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土地比较法-住宅、综合" sheetId="39" r:id="rId23"/>
    <sheet name="土地案例" sheetId="79" r:id="rId24"/>
    <sheet name="Sheet4" sheetId="80" r:id="rId25"/>
    <sheet name="收益法（汇总）" sheetId="70" r:id="rId26"/>
    <sheet name="收益法（2幢）" sheetId="15" r:id="rId27"/>
    <sheet name="收益法（12幢）" sheetId="77" r:id="rId28"/>
    <sheet name="收益法（13幢）" sheetId="78" r:id="rId29"/>
    <sheet name="比较法-商业" sheetId="33" state="hidden" r:id="rId30"/>
    <sheet name="酒店收入计算" sheetId="66"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7">'收益法（12幢）'!$A$1:$AK$69</definedName>
    <definedName name="_xlnm.Print_Area" localSheetId="28">'收益法（13幢）'!$A$1:$AK$69</definedName>
    <definedName name="_xlnm.Print_Area" localSheetId="26">'收益法（2幢）'!$A$1:$AK$69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C11" i="39" l="1"/>
  <c r="I38" i="39" l="1"/>
  <c r="I46" i="39"/>
  <c r="G46" i="39"/>
  <c r="G38" i="39"/>
  <c r="G7" i="39"/>
  <c r="G5" i="39"/>
  <c r="E46" i="39"/>
  <c r="E38" i="39"/>
  <c r="E75" i="39"/>
  <c r="D75" i="39"/>
  <c r="I7" i="39"/>
  <c r="E7" i="39"/>
  <c r="I5" i="39"/>
  <c r="E5" i="39"/>
  <c r="R3" i="79" l="1"/>
  <c r="R4" i="79"/>
  <c r="R5" i="79"/>
  <c r="R6" i="79"/>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2" i="79"/>
  <c r="E71" i="39"/>
  <c r="F71" i="39" s="1"/>
  <c r="G71" i="39" s="1"/>
  <c r="H71" i="39" s="1"/>
  <c r="I71" i="39" s="1"/>
  <c r="J71" i="39" s="1"/>
  <c r="K71" i="39" s="1"/>
  <c r="L71" i="39" s="1"/>
  <c r="M71" i="39" s="1"/>
  <c r="N71" i="39" s="1"/>
  <c r="O71" i="39" s="1"/>
  <c r="D71" i="39"/>
  <c r="P3" i="79"/>
  <c r="P4" i="79"/>
  <c r="P5" i="79"/>
  <c r="P6" i="79"/>
  <c r="P7" i="79"/>
  <c r="P8" i="79"/>
  <c r="P9" i="79"/>
  <c r="P10" i="79"/>
  <c r="P11" i="79"/>
  <c r="P12" i="79"/>
  <c r="P13" i="79"/>
  <c r="P14" i="79"/>
  <c r="P15" i="79"/>
  <c r="P16" i="79"/>
  <c r="P17" i="79"/>
  <c r="P18" i="79"/>
  <c r="P19" i="79"/>
  <c r="P20" i="79"/>
  <c r="P21" i="79"/>
  <c r="P22" i="79"/>
  <c r="P23" i="79"/>
  <c r="P24" i="79"/>
  <c r="P25" i="79"/>
  <c r="P26" i="79"/>
  <c r="P27" i="79"/>
  <c r="P28" i="79"/>
  <c r="P29" i="79"/>
  <c r="P30" i="79"/>
  <c r="P31" i="79"/>
  <c r="P32" i="79"/>
  <c r="P33" i="79"/>
  <c r="P34" i="79"/>
  <c r="P35" i="79"/>
  <c r="P36" i="79"/>
  <c r="P37" i="79"/>
  <c r="P38" i="79"/>
  <c r="P39" i="79"/>
  <c r="P40" i="79"/>
  <c r="P41" i="79"/>
  <c r="P42" i="79"/>
  <c r="P43" i="79"/>
  <c r="P44" i="79"/>
  <c r="P45" i="79"/>
  <c r="P46" i="79"/>
  <c r="P47" i="79"/>
  <c r="P48" i="79"/>
  <c r="P49" i="79"/>
  <c r="P2" i="79"/>
  <c r="C38" i="39"/>
  <c r="J52" i="78"/>
  <c r="Q51" i="78" s="1"/>
  <c r="J52" i="77"/>
  <c r="Q51" i="77" s="1"/>
  <c r="Y6" i="1"/>
  <c r="Y7" i="1"/>
  <c r="Y8" i="1"/>
  <c r="J52" i="15"/>
  <c r="Q72" i="78"/>
  <c r="Q59" i="78"/>
  <c r="K59" i="78"/>
  <c r="P61" i="78" s="1"/>
  <c r="F59" i="78"/>
  <c r="Q58" i="78"/>
  <c r="J50" i="78"/>
  <c r="J51" i="78" s="1"/>
  <c r="M47" i="78"/>
  <c r="D46" i="78"/>
  <c r="F33" i="78"/>
  <c r="F61" i="78" s="1"/>
  <c r="F31" i="78"/>
  <c r="F23" i="78"/>
  <c r="D24" i="78" s="1"/>
  <c r="D23" i="78"/>
  <c r="F21" i="78"/>
  <c r="F20" i="78"/>
  <c r="M19" i="78"/>
  <c r="F18" i="78"/>
  <c r="M17" i="78"/>
  <c r="F17" i="78"/>
  <c r="F15" i="78"/>
  <c r="P74" i="77"/>
  <c r="Q72" i="77"/>
  <c r="Q59" i="77"/>
  <c r="K59" i="77"/>
  <c r="P61" i="77" s="1"/>
  <c r="F59" i="77"/>
  <c r="Q58" i="77"/>
  <c r="J50" i="77"/>
  <c r="J51" i="77" s="1"/>
  <c r="M47" i="77"/>
  <c r="D46" i="77"/>
  <c r="F33" i="77"/>
  <c r="F61" i="77" s="1"/>
  <c r="F31" i="77"/>
  <c r="F23" i="77"/>
  <c r="D24" i="77" s="1"/>
  <c r="F21" i="77"/>
  <c r="F20" i="77"/>
  <c r="M19" i="77"/>
  <c r="F18" i="77"/>
  <c r="M17" i="77"/>
  <c r="F17" i="77"/>
  <c r="F15" i="77"/>
  <c r="F21" i="6"/>
  <c r="F20" i="6"/>
  <c r="F19" i="6"/>
  <c r="C11" i="4"/>
  <c r="D3" i="4"/>
  <c r="D22" i="77" l="1"/>
  <c r="D23" i="77"/>
  <c r="D22" i="78"/>
  <c r="P74" i="78"/>
  <c r="J4" i="7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61" i="15" s="1"/>
  <c r="P74"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8" i="76"/>
  <c r="E9" i="76"/>
  <c r="B10" i="76"/>
  <c r="E12" i="76"/>
  <c r="B12" i="76"/>
  <c r="E13" i="76"/>
  <c r="E10" i="76"/>
  <c r="B7" i="76"/>
  <c r="B13" i="76"/>
  <c r="B9" i="76"/>
  <c r="E11" i="76"/>
  <c r="E7" i="76"/>
  <c r="B11"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5" i="73"/>
  <c r="F3" i="73"/>
  <c r="F6" i="73"/>
  <c r="D5" i="73"/>
  <c r="F4" i="73"/>
  <c r="D3" i="73"/>
  <c r="D6" i="73"/>
  <c r="I1" i="73" l="1"/>
  <c r="B39" i="1" s="1"/>
  <c r="D7" i="73"/>
  <c r="D4" i="73"/>
  <c r="M11" i="78" l="1"/>
  <c r="F11" i="78"/>
  <c r="M11" i="77"/>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C10"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9" i="1"/>
  <c r="AO13" i="1"/>
  <c r="AO12" i="1"/>
  <c r="B11" i="70" l="1"/>
  <c r="B13" i="70"/>
  <c r="B12" i="70"/>
  <c r="B10" i="70"/>
  <c r="B9" i="70"/>
  <c r="B75" i="43"/>
  <c r="B55" i="43"/>
  <c r="B66" i="43"/>
  <c r="C25" i="40"/>
  <c r="C29" i="39"/>
  <c r="S25" i="40"/>
  <c r="S29" i="39"/>
  <c r="S18" i="36"/>
  <c r="U18" i="36"/>
  <c r="S21" i="34"/>
  <c r="F94" i="40"/>
  <c r="H25" i="40"/>
  <c r="G94"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s="1"/>
  <c r="Q43" i="39"/>
  <c r="Z43" i="39" s="1"/>
  <c r="Q44" i="39"/>
  <c r="Z44" i="39" s="1"/>
  <c r="Q45" i="39"/>
  <c r="Z45" i="39" s="1"/>
  <c r="Q38" i="39"/>
  <c r="Z38" i="39"/>
  <c r="Q36" i="39"/>
  <c r="Z36" i="39" s="1"/>
  <c r="Q37" i="39"/>
  <c r="Z37" i="39" s="1"/>
  <c r="B131" i="39"/>
  <c r="H45" i="39"/>
  <c r="U45" i="39" s="1"/>
  <c r="B129" i="39"/>
  <c r="H44" i="39"/>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E101" i="39"/>
  <c r="F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19" i="39"/>
  <c r="AC19" i="39" s="1"/>
  <c r="J1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B44" i="39"/>
  <c r="U44" i="39"/>
  <c r="H37" i="39"/>
  <c r="AB37" i="39" s="1"/>
  <c r="AC37" i="39"/>
  <c r="W37" i="39"/>
  <c r="H25" i="39"/>
  <c r="AB25" i="39" s="1"/>
  <c r="J25" i="39"/>
  <c r="F25" i="39"/>
  <c r="AA25" i="39" s="1"/>
  <c r="F15" i="39"/>
  <c r="AA15" i="39" s="1"/>
  <c r="H15" i="39"/>
  <c r="U15" i="39" s="1"/>
  <c r="J15" i="39"/>
  <c r="W15" i="39" s="1"/>
  <c r="H41" i="39"/>
  <c r="W14" i="39"/>
  <c r="J19" i="40"/>
  <c r="AC19" i="40" s="1"/>
  <c r="J50" i="40"/>
  <c r="B54" i="72"/>
  <c r="H103" i="9"/>
  <c r="D8" i="53" s="1"/>
  <c r="B16" i="53"/>
  <c r="B33" i="72" s="1"/>
  <c r="C7" i="37"/>
  <c r="C7" i="34"/>
  <c r="C7" i="36"/>
  <c r="W35" i="40"/>
  <c r="A118" i="9"/>
  <c r="A4" i="52"/>
  <c r="B41" i="72" s="1"/>
  <c r="F11" i="39"/>
  <c r="AA11" i="39"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J11" i="39" l="1"/>
  <c r="W11" i="39" s="1"/>
  <c r="H11" i="39"/>
  <c r="G101" i="39"/>
  <c r="J27" i="39"/>
  <c r="AC27" i="39" s="1"/>
  <c r="H27" i="39"/>
  <c r="U27" i="39" s="1"/>
  <c r="F27" i="39"/>
  <c r="S27" i="39" s="1"/>
  <c r="F31" i="39"/>
  <c r="H31" i="39"/>
  <c r="AB31" i="39" s="1"/>
  <c r="W23" i="39"/>
  <c r="U17" i="39"/>
  <c r="AC45" i="39"/>
  <c r="AB45" i="39"/>
  <c r="W43" i="39"/>
  <c r="W40" i="39"/>
  <c r="S42" i="39"/>
  <c r="AA41" i="39"/>
  <c r="U40" i="39"/>
  <c r="AB34" i="39"/>
  <c r="S11" i="39"/>
  <c r="F12" i="39"/>
  <c r="S12" i="39" s="1"/>
  <c r="W8" i="39"/>
  <c r="AB8" i="39"/>
  <c r="W9" i="39"/>
  <c r="U9" i="39"/>
  <c r="M20" i="15"/>
  <c r="F34" i="77"/>
  <c r="F62" i="77" s="1"/>
  <c r="F34" i="78"/>
  <c r="F62" i="78" s="1"/>
  <c r="M20" i="77"/>
  <c r="M20" i="78"/>
  <c r="F3" i="35"/>
  <c r="G1" i="77"/>
  <c r="G1" i="78"/>
  <c r="G14" i="3"/>
  <c r="BL15" i="3"/>
  <c r="AZ15" i="3" s="1"/>
  <c r="F29" i="6"/>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48" i="35"/>
  <c r="D48" i="35"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16" i="78"/>
  <c r="F38" i="67"/>
  <c r="F9" i="78"/>
  <c r="L48" i="15"/>
  <c r="M29" i="15"/>
  <c r="G1" i="73"/>
  <c r="F38" i="78"/>
  <c r="J15" i="67"/>
  <c r="F9" i="77"/>
  <c r="M28" i="78"/>
  <c r="F9" i="15"/>
  <c r="M9" i="67"/>
  <c r="M23" i="78"/>
  <c r="F37" i="77"/>
  <c r="F16" i="15"/>
  <c r="M28" i="77"/>
  <c r="M9" i="78"/>
  <c r="F13" i="67"/>
  <c r="L48" i="67"/>
  <c r="M26" i="77"/>
  <c r="M22" i="78"/>
  <c r="M22" i="15"/>
  <c r="L48" i="78"/>
  <c r="M8" i="15"/>
  <c r="F8" i="15"/>
  <c r="F36" i="78"/>
  <c r="C76" i="15"/>
  <c r="M24" i="78"/>
  <c r="F6" i="78"/>
  <c r="M22" i="67"/>
  <c r="M9" i="77"/>
  <c r="F13" i="15"/>
  <c r="F37" i="67"/>
  <c r="M6" i="67"/>
  <c r="L47" i="15"/>
  <c r="F36" i="67"/>
  <c r="F38" i="15"/>
  <c r="C76" i="77"/>
  <c r="F8" i="77"/>
  <c r="M8" i="67"/>
  <c r="F43" i="67"/>
  <c r="F40" i="67"/>
  <c r="F6" i="15"/>
  <c r="M22" i="77"/>
  <c r="M26" i="78"/>
  <c r="F26" i="78"/>
  <c r="L48" i="77"/>
  <c r="C76" i="67"/>
  <c r="F26" i="67"/>
  <c r="F42" i="15"/>
  <c r="F7" i="67"/>
  <c r="F8" i="78"/>
  <c r="F40" i="77"/>
  <c r="F13" i="78"/>
  <c r="M29" i="78"/>
  <c r="M29" i="77"/>
  <c r="L47" i="77"/>
  <c r="M27" i="78"/>
  <c r="M9" i="15"/>
  <c r="F43" i="78"/>
  <c r="M23" i="77"/>
  <c r="L47" i="67"/>
  <c r="F7" i="78"/>
  <c r="M27" i="77"/>
  <c r="F37" i="78"/>
  <c r="F13" i="77"/>
  <c r="F38" i="77"/>
  <c r="M24" i="77"/>
  <c r="F8" i="67"/>
  <c r="M28" i="15"/>
  <c r="F42" i="78"/>
  <c r="F16" i="77"/>
  <c r="C76" i="78"/>
  <c r="F43" i="77"/>
  <c r="F26" i="77"/>
  <c r="M28" i="67"/>
  <c r="F36" i="77"/>
  <c r="F37" i="15"/>
  <c r="M8" i="78"/>
  <c r="F6" i="77"/>
  <c r="J15" i="77"/>
  <c r="F7" i="77"/>
  <c r="F40" i="15"/>
  <c r="M24" i="15"/>
  <c r="F42" i="67"/>
  <c r="F43" i="15"/>
  <c r="L47" i="78"/>
  <c r="F16" i="67"/>
  <c r="M23" i="15"/>
  <c r="J15" i="15"/>
  <c r="F9" i="67"/>
  <c r="M8" i="77"/>
  <c r="M6" i="78"/>
  <c r="M26" i="15"/>
  <c r="F40" i="78"/>
  <c r="F36" i="15"/>
  <c r="F26" i="15"/>
  <c r="M29" i="67"/>
  <c r="J15" i="78"/>
  <c r="M6" i="77"/>
  <c r="M23" i="67"/>
  <c r="F6" i="67"/>
  <c r="M26" i="67"/>
  <c r="M24" i="67"/>
  <c r="M6" i="15"/>
  <c r="F42" i="77"/>
  <c r="F7" i="15"/>
  <c r="AA12" i="39" l="1"/>
  <c r="AC11" i="39"/>
  <c r="U12" i="39"/>
  <c r="W27" i="39"/>
  <c r="AB27" i="39"/>
  <c r="AA31" i="39"/>
  <c r="S31" i="39"/>
  <c r="J53" i="78"/>
  <c r="J53" i="77"/>
  <c r="F53" i="9"/>
  <c r="F32" i="78"/>
  <c r="F60" i="78" s="1"/>
  <c r="F28" i="78"/>
  <c r="C28" i="78" s="1"/>
  <c r="M18" i="77"/>
  <c r="M18" i="78"/>
  <c r="F32" i="77"/>
  <c r="F60" i="77" s="1"/>
  <c r="F28" i="77"/>
  <c r="C28" i="77" s="1"/>
  <c r="F51" i="78"/>
  <c r="Q71" i="78"/>
  <c r="F65" i="78"/>
  <c r="F68" i="78"/>
  <c r="F64" i="78"/>
  <c r="M59" i="78"/>
  <c r="L59" i="78"/>
  <c r="N59" i="78"/>
  <c r="L58" i="78"/>
  <c r="F50" i="78"/>
  <c r="M7" i="78"/>
  <c r="J6" i="78" s="1"/>
  <c r="C6" i="78"/>
  <c r="C5" i="78" s="1"/>
  <c r="C27" i="78"/>
  <c r="F71" i="78"/>
  <c r="F66" i="78"/>
  <c r="L56" i="78"/>
  <c r="J57" i="78"/>
  <c r="J55" i="78" s="1"/>
  <c r="J58" i="78" s="1"/>
  <c r="Q50" i="78" s="1"/>
  <c r="I54" i="78"/>
  <c r="Q71" i="77"/>
  <c r="C27" i="77"/>
  <c r="F68" i="77"/>
  <c r="F66" i="77"/>
  <c r="F71" i="77"/>
  <c r="M7" i="77"/>
  <c r="J6" i="77" s="1"/>
  <c r="F50" i="77"/>
  <c r="C6" i="77"/>
  <c r="C5" i="77" s="1"/>
  <c r="N59" i="77"/>
  <c r="L58" i="77"/>
  <c r="M59" i="77"/>
  <c r="L59" i="77"/>
  <c r="F65" i="77"/>
  <c r="F51" i="77"/>
  <c r="L56" i="77"/>
  <c r="J57" i="77"/>
  <c r="J55" i="77" s="1"/>
  <c r="J58" i="77" s="1"/>
  <c r="Q50" i="77" s="1"/>
  <c r="I54" i="77"/>
  <c r="F64" i="77"/>
  <c r="C4" i="4"/>
  <c r="K4" i="4" s="1"/>
  <c r="B46" i="48" s="1"/>
  <c r="B4" i="72" s="1"/>
  <c r="D22" i="43"/>
  <c r="E56"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5"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M19" i="6"/>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K16" i="1"/>
  <c r="AB45" i="21"/>
  <c r="AC33" i="21"/>
  <c r="W33" i="21"/>
  <c r="S33" i="21"/>
  <c r="AA33" i="21"/>
  <c r="W32" i="21"/>
  <c r="AC32" i="21"/>
  <c r="AB9" i="21"/>
  <c r="U9" i="21"/>
  <c r="AA32" i="21"/>
  <c r="S32" i="21"/>
  <c r="W9" i="21"/>
  <c r="AC9" i="21"/>
  <c r="AB32" i="21"/>
  <c r="U32" i="21"/>
  <c r="AA10" i="21"/>
  <c r="S10" i="21"/>
  <c r="M17" i="15"/>
  <c r="M17" i="67"/>
  <c r="F31" i="67"/>
  <c r="F31" i="15"/>
  <c r="F59" i="15"/>
  <c r="F59" i="67"/>
  <c r="C16" i="78"/>
  <c r="C17" i="15"/>
  <c r="C16" i="77"/>
  <c r="C16" i="15"/>
  <c r="C17" i="77"/>
  <c r="C16" i="67"/>
  <c r="Q52" i="78" l="1"/>
  <c r="F1" i="78"/>
  <c r="F1" i="77"/>
  <c r="Q52" i="77"/>
  <c r="C48" i="68"/>
  <c r="C30" i="69"/>
  <c r="C49" i="77"/>
  <c r="C48" i="77" s="1"/>
  <c r="C66" i="77" s="1"/>
  <c r="C49" i="78"/>
  <c r="C48" i="78" s="1"/>
  <c r="C66" i="78" s="1"/>
  <c r="Q61" i="77"/>
  <c r="Q74" i="77"/>
  <c r="C32" i="77"/>
  <c r="C38" i="77"/>
  <c r="Q74" i="78"/>
  <c r="Q61" i="78"/>
  <c r="O7" i="1"/>
  <c r="O16" i="1" s="1"/>
  <c r="J10" i="77"/>
  <c r="J5" i="77" s="1"/>
  <c r="E7" i="70"/>
  <c r="Q73" i="77"/>
  <c r="Q60" i="77"/>
  <c r="Q73" i="78"/>
  <c r="Q60" i="78"/>
  <c r="C38" i="78"/>
  <c r="C32" i="78"/>
  <c r="J10" i="78"/>
  <c r="J5" i="78" s="1"/>
  <c r="F24" i="77"/>
  <c r="F24" i="78"/>
  <c r="B4" i="62"/>
  <c r="B71" i="72" s="1"/>
  <c r="M21" i="6"/>
  <c r="I21" i="6" s="1"/>
  <c r="S21" i="6" s="1"/>
  <c r="S8" i="1"/>
  <c r="S3" i="43"/>
  <c r="S4" i="43"/>
  <c r="C23" i="43"/>
  <c r="C21" i="43" s="1"/>
  <c r="S2" i="43"/>
  <c r="S7" i="43"/>
  <c r="T7" i="43" s="1"/>
  <c r="V7" i="43" s="1"/>
  <c r="S6" i="43"/>
  <c r="AQ7" i="1"/>
  <c r="AR6" i="1"/>
  <c r="E3" i="6"/>
  <c r="D3" i="34"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17" i="78"/>
  <c r="C14" i="77"/>
  <c r="C60" i="77" l="1"/>
  <c r="C60" i="78"/>
  <c r="C18" i="77"/>
  <c r="C15" i="77"/>
  <c r="J24" i="78"/>
  <c r="J26" i="78"/>
  <c r="J18" i="78"/>
  <c r="J18" i="77"/>
  <c r="J24" i="77"/>
  <c r="J26" i="77"/>
  <c r="C24" i="77"/>
  <c r="C24" i="78"/>
  <c r="AQ8" i="1"/>
  <c r="T8" i="1"/>
  <c r="AR8" i="1"/>
  <c r="D14" i="12"/>
  <c r="D17" i="12" s="1"/>
  <c r="C17" i="12" s="1"/>
  <c r="D37" i="11"/>
  <c r="M18" i="9"/>
  <c r="B118" i="9" s="1"/>
  <c r="D3" i="37"/>
  <c r="C17" i="4"/>
  <c r="B4" i="52" s="1"/>
  <c r="B43" i="72" s="1"/>
  <c r="D3" i="33"/>
  <c r="D3" i="21"/>
  <c r="L18" i="9"/>
  <c r="E6" i="6"/>
  <c r="D10" i="11" s="1"/>
  <c r="C10" i="11" s="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20" i="12"/>
  <c r="C20" i="12" s="1"/>
  <c r="M19" i="9"/>
  <c r="C118" i="9" s="1"/>
  <c r="D19" i="6"/>
  <c r="D25" i="6"/>
  <c r="D26" i="6"/>
  <c r="D15" i="6"/>
  <c r="C18" i="4"/>
  <c r="D22" i="6"/>
  <c r="D8" i="6"/>
  <c r="D21" i="6"/>
  <c r="D23" i="6"/>
  <c r="D24" i="6"/>
  <c r="D14" i="6"/>
  <c r="D20" i="6"/>
  <c r="D5" i="6"/>
  <c r="D12" i="6"/>
  <c r="D9" i="6"/>
  <c r="D11" i="6"/>
  <c r="D10" i="6"/>
  <c r="D13" i="6"/>
  <c r="L19" i="9"/>
  <c r="D28" i="6"/>
  <c r="D29" i="6"/>
  <c r="E61" i="40"/>
  <c r="H25" i="6"/>
  <c r="R25" i="6" s="1"/>
  <c r="H22" i="6"/>
  <c r="H23" i="6"/>
  <c r="H21" i="6"/>
  <c r="H26" i="6"/>
  <c r="H24" i="6"/>
  <c r="C13" i="12"/>
  <c r="P16" i="1"/>
  <c r="C11" i="12" s="1"/>
  <c r="C26" i="12"/>
  <c r="D25" i="12" s="1"/>
  <c r="F34" i="1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78"/>
  <c r="C19" i="77" l="1"/>
  <c r="C20" i="77" s="1"/>
  <c r="C26" i="77" s="1"/>
  <c r="C15" i="78"/>
  <c r="C18" i="78"/>
  <c r="R20" i="6"/>
  <c r="R7" i="1" s="1"/>
  <c r="D6" i="6"/>
  <c r="C37" i="11"/>
  <c r="AA7" i="34"/>
  <c r="R49" i="34"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M21" i="77"/>
  <c r="M21" i="78"/>
  <c r="F35" i="77"/>
  <c r="F35" i="78"/>
  <c r="C18" i="12" l="1"/>
  <c r="C19" i="78"/>
  <c r="C20" i="78" s="1"/>
  <c r="C23" i="77"/>
  <c r="C29" i="77" s="1"/>
  <c r="J59" i="77" s="1"/>
  <c r="J60" i="77" s="1"/>
  <c r="Q48" i="77" s="1"/>
  <c r="J20" i="78"/>
  <c r="F63" i="78"/>
  <c r="C62" i="78" s="1"/>
  <c r="C34" i="78"/>
  <c r="C34" i="77"/>
  <c r="F63" i="77"/>
  <c r="C62" i="77" s="1"/>
  <c r="J20"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B6" i="76"/>
  <c r="F35" i="67"/>
  <c r="M21" i="67"/>
  <c r="C21" i="12" l="1"/>
  <c r="C22" i="12" s="1"/>
  <c r="C30" i="12" s="1"/>
  <c r="C28" i="12" s="1"/>
  <c r="J14" i="77"/>
  <c r="Q49" i="77"/>
  <c r="C36" i="77"/>
  <c r="C33" i="77"/>
  <c r="C31" i="77" s="1"/>
  <c r="C13" i="77"/>
  <c r="J19" i="77"/>
  <c r="J17" i="77" s="1"/>
  <c r="C57" i="77"/>
  <c r="C26" i="78"/>
  <c r="C23" i="78"/>
  <c r="I5" i="6"/>
  <c r="B2" i="76"/>
  <c r="B3" i="76" s="1"/>
  <c r="B3" i="43"/>
  <c r="C49" i="21"/>
  <c r="F63" i="67"/>
  <c r="C62" i="67" s="1"/>
  <c r="C34" i="67"/>
  <c r="J20" i="67"/>
  <c r="C24" i="68"/>
  <c r="J20" i="15"/>
  <c r="F63" i="15"/>
  <c r="C62" i="15" s="1"/>
  <c r="C34" i="15"/>
  <c r="R16" i="1"/>
  <c r="C33" i="68"/>
  <c r="I63" i="40"/>
  <c r="H65" i="40"/>
  <c r="C39" i="11"/>
  <c r="C43" i="11" s="1"/>
  <c r="C41" i="11" s="1"/>
  <c r="I70" i="39"/>
  <c r="C37" i="77" l="1"/>
  <c r="C30" i="77" s="1"/>
  <c r="C39" i="77" s="1"/>
  <c r="C75" i="77"/>
  <c r="Q70" i="77"/>
  <c r="C56" i="77"/>
  <c r="C65" i="77" s="1"/>
  <c r="J22" i="77"/>
  <c r="J13" i="77"/>
  <c r="J23" i="77" s="1"/>
  <c r="C64" i="77"/>
  <c r="C61" i="77"/>
  <c r="C59" i="77" s="1"/>
  <c r="C29" i="78"/>
  <c r="C27" i="12"/>
  <c r="C25" i="12" s="1"/>
  <c r="C32" i="12" s="1"/>
  <c r="B2" i="12" s="1"/>
  <c r="B3" i="12" s="1"/>
  <c r="C39" i="68"/>
  <c r="C43" i="68" s="1"/>
  <c r="C42" i="68"/>
  <c r="J63" i="40"/>
  <c r="I65" i="40"/>
  <c r="C46" i="11"/>
  <c r="C45" i="11" s="1"/>
  <c r="C49" i="11" s="1"/>
  <c r="C51" i="11" s="1"/>
  <c r="C52" i="11" s="1"/>
  <c r="B2" i="11" s="1"/>
  <c r="B3" i="11" s="1"/>
  <c r="J70" i="39"/>
  <c r="L51" i="77"/>
  <c r="J19" i="78" l="1"/>
  <c r="J17" i="78" s="1"/>
  <c r="J59" i="78"/>
  <c r="J60" i="78" s="1"/>
  <c r="Q48" i="78" s="1"/>
  <c r="C57" i="78"/>
  <c r="C61" i="78" s="1"/>
  <c r="C59" i="78" s="1"/>
  <c r="L57" i="77"/>
  <c r="L60" i="77" s="1"/>
  <c r="Q66" i="77" s="1"/>
  <c r="Q49" i="78"/>
  <c r="J16" i="77"/>
  <c r="J25" i="77" s="1"/>
  <c r="Q67" i="77"/>
  <c r="Q69" i="77"/>
  <c r="Q68" i="77" s="1"/>
  <c r="C58" i="77"/>
  <c r="C67" i="77" s="1"/>
  <c r="C80" i="77"/>
  <c r="C79" i="77" s="1"/>
  <c r="C33" i="78"/>
  <c r="C31" i="78" s="1"/>
  <c r="C36" i="78"/>
  <c r="J14" i="78"/>
  <c r="J13" i="78" s="1"/>
  <c r="J23" i="78" s="1"/>
  <c r="C13" i="78"/>
  <c r="C75" i="78" s="1"/>
  <c r="C64" i="78"/>
  <c r="C41" i="68"/>
  <c r="C46" i="68"/>
  <c r="C45" i="68" s="1"/>
  <c r="K63" i="40"/>
  <c r="J65" i="40"/>
  <c r="K70" i="39"/>
  <c r="C56" i="11"/>
  <c r="C57" i="11" s="1"/>
  <c r="J22" i="78" l="1"/>
  <c r="J16" i="78" s="1"/>
  <c r="J25" i="78" s="1"/>
  <c r="L46" i="77"/>
  <c r="Q57" i="77"/>
  <c r="C37" i="78"/>
  <c r="C30" i="78" s="1"/>
  <c r="C39" i="78" s="1"/>
  <c r="C80" i="78" s="1"/>
  <c r="C79" i="78" s="1"/>
  <c r="Q70" i="78"/>
  <c r="C56" i="78"/>
  <c r="C65" i="78" s="1"/>
  <c r="C58" i="78" s="1"/>
  <c r="C67" i="78" s="1"/>
  <c r="C49" i="68"/>
  <c r="C51" i="68" s="1"/>
  <c r="L63" i="40"/>
  <c r="K65" i="40"/>
  <c r="L70" i="39"/>
  <c r="E2" i="70"/>
  <c r="C34" i="69"/>
  <c r="C17" i="67"/>
  <c r="L57" i="78" l="1"/>
  <c r="L60" i="78" s="1"/>
  <c r="Q57" i="78" s="1"/>
  <c r="Q69" i="78"/>
  <c r="Q68" i="78" s="1"/>
  <c r="M63" i="40"/>
  <c r="L65" i="40"/>
  <c r="M70" i="39"/>
  <c r="C35" i="69"/>
  <c r="C38" i="69"/>
  <c r="D10" i="69"/>
  <c r="L51" i="78"/>
  <c r="Q67" i="78" l="1"/>
  <c r="L46" i="78"/>
  <c r="Q66" i="78"/>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F41" i="77"/>
  <c r="F69" i="77" l="1"/>
  <c r="C68" i="77" s="1"/>
  <c r="J29" i="77"/>
  <c r="C40" i="77"/>
  <c r="Q56" i="77" s="1"/>
  <c r="Q62" i="77" s="1"/>
  <c r="Q66" i="67"/>
  <c r="Q57" i="67"/>
  <c r="C58" i="67"/>
  <c r="C67" i="67" s="1"/>
  <c r="C19" i="15"/>
  <c r="C43" i="77" l="1"/>
  <c r="B2" i="77"/>
  <c r="B3" i="77" s="1"/>
  <c r="C46" i="77"/>
  <c r="Q47" i="77"/>
  <c r="Q53" i="77" s="1"/>
  <c r="C83" i="77"/>
  <c r="C82" i="77" s="1"/>
  <c r="C71" i="77"/>
  <c r="Q65" i="77"/>
  <c r="Q75"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F41" i="78"/>
  <c r="F69" i="78" l="1"/>
  <c r="C68" i="78" s="1"/>
  <c r="J29" i="78"/>
  <c r="C40" i="78"/>
  <c r="C66" i="15"/>
  <c r="C60" i="15"/>
  <c r="C59" i="15" s="1"/>
  <c r="AG6" i="1"/>
  <c r="C80" i="15"/>
  <c r="C79" i="15" s="1"/>
  <c r="C65" i="15"/>
  <c r="Q68" i="15"/>
  <c r="L57" i="15"/>
  <c r="L60" i="15" s="1"/>
  <c r="M27" i="67"/>
  <c r="L51" i="15"/>
  <c r="F41" i="67"/>
  <c r="M27" i="15"/>
  <c r="F41" i="15"/>
  <c r="Q67" i="15" l="1"/>
  <c r="Q65" i="78"/>
  <c r="Q75" i="78" s="1"/>
  <c r="C83" i="78"/>
  <c r="C82" i="78" s="1"/>
  <c r="Q56" i="78"/>
  <c r="Q62" i="78" s="1"/>
  <c r="Q47" i="78"/>
  <c r="Q53" i="78" s="1"/>
  <c r="C43" i="78"/>
  <c r="B2" i="78"/>
  <c r="B3" i="78" s="1"/>
  <c r="C71" i="78"/>
  <c r="C46" i="78"/>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3" i="67"/>
  <c r="D2" i="34"/>
  <c r="D2" i="35"/>
  <c r="D2" i="33"/>
  <c r="D2" i="36"/>
  <c r="D2" i="37"/>
  <c r="E2" i="68"/>
  <c r="F20" i="31"/>
  <c r="D2" i="21"/>
  <c r="B20" i="31" l="1"/>
  <c r="B2" i="36"/>
  <c r="B3" i="36" s="1"/>
  <c r="B2" i="35"/>
  <c r="B3" i="35" s="1"/>
  <c r="B2" i="37"/>
  <c r="B3" i="37" s="1"/>
  <c r="B2" i="34"/>
  <c r="B3" i="34" s="1"/>
  <c r="B2" i="21"/>
  <c r="B3" i="21" s="1"/>
  <c r="B2" i="70"/>
  <c r="B3" i="70" s="1"/>
  <c r="D19" i="9"/>
  <c r="D20" i="9"/>
  <c r="D102" i="9" l="1"/>
  <c r="D21" i="9"/>
  <c r="D103"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C102" i="9" l="1"/>
  <c r="C21" i="9"/>
  <c r="D22" i="9"/>
  <c r="G19" i="9"/>
  <c r="G21" i="9" s="1"/>
  <c r="B3" i="68"/>
  <c r="D34" i="9"/>
  <c r="D35" i="9"/>
  <c r="C20" i="9"/>
  <c r="C32" i="9" l="1"/>
  <c r="C35" i="9" s="1"/>
  <c r="F118" i="9" s="1"/>
  <c r="C103" i="9"/>
  <c r="G20" i="9"/>
  <c r="H118" i="9" l="1"/>
  <c r="C104" i="9" s="1"/>
  <c r="C34" i="9"/>
  <c r="D118" i="9" s="1"/>
  <c r="G118" i="9"/>
  <c r="G4" i="52" s="1"/>
  <c r="B52" i="72" s="1"/>
  <c r="F119" i="9"/>
  <c r="F5" i="52" s="1"/>
  <c r="B53" i="72" s="1"/>
  <c r="F4" i="52"/>
  <c r="B51" i="72" s="1"/>
  <c r="H119" i="9" l="1"/>
  <c r="H5" i="52" s="1"/>
  <c r="D14" i="74"/>
  <c r="H101" i="9"/>
  <c r="D5" i="53" s="1"/>
  <c r="I118" i="9"/>
  <c r="C105" i="9" s="1"/>
  <c r="H4" i="52"/>
  <c r="D119" i="9"/>
  <c r="D5" i="52" s="1"/>
  <c r="B49" i="72" s="1"/>
  <c r="D4" i="52"/>
  <c r="B47" i="72" s="1"/>
  <c r="E14" i="74"/>
  <c r="B5" i="74"/>
  <c r="F14" i="74"/>
  <c r="H107" i="9"/>
  <c r="I4" i="52" l="1"/>
  <c r="E118" i="9"/>
  <c r="E4" i="52" s="1"/>
  <c r="B48" i="72" s="1"/>
  <c r="D45" i="9"/>
  <c r="C72" i="9" s="1"/>
  <c r="H102" i="9"/>
  <c r="D7" i="53" s="1"/>
  <c r="B21" i="72" s="1"/>
  <c r="M48" i="9"/>
  <c r="D5" i="74"/>
  <c r="C5" i="74"/>
  <c r="D13" i="53"/>
  <c r="D122" i="9"/>
  <c r="H108" i="9"/>
  <c r="D15" i="53" s="1"/>
  <c r="B31" i="72" s="1"/>
  <c r="B20" i="72"/>
  <c r="D6" i="53"/>
  <c r="B22" i="72" s="1"/>
  <c r="C85" i="9" l="1"/>
  <c r="C64" i="9"/>
  <c r="C63" i="9" s="1"/>
  <c r="C67" i="9" s="1"/>
  <c r="C68" i="9" s="1"/>
  <c r="D54" i="9" s="1"/>
  <c r="C93" i="9"/>
  <c r="C86" i="9" s="1"/>
  <c r="C95" i="9" s="1"/>
  <c r="C96" i="9" s="1"/>
  <c r="E96" i="9" s="1"/>
  <c r="E97" i="9" s="1"/>
  <c r="D55" i="9"/>
  <c r="M53" i="9" s="1"/>
  <c r="D53" i="9"/>
  <c r="D52" i="9"/>
  <c r="C78" i="9"/>
  <c r="C73" i="9" s="1"/>
  <c r="C79" i="9" s="1"/>
  <c r="G14" i="74"/>
  <c r="B6" i="74" s="1"/>
  <c r="D123" i="9"/>
  <c r="D9" i="52" s="1"/>
  <c r="D8" i="52"/>
  <c r="D14" i="53"/>
  <c r="B32" i="72" s="1"/>
  <c r="B30" i="72"/>
  <c r="C97" i="9" l="1"/>
  <c r="D58" i="9" s="1"/>
  <c r="D56" i="9" s="1"/>
  <c r="M54" i="9" s="1"/>
  <c r="N57" i="9" s="1"/>
  <c r="N58" i="9" s="1"/>
  <c r="C80" i="9"/>
  <c r="E80" i="9" s="1"/>
  <c r="E81" i="9" s="1"/>
  <c r="C6" i="74"/>
  <c r="D6" i="74"/>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<sst xmlns="http://schemas.openxmlformats.org/spreadsheetml/2006/main" count="8618" uniqueCount="3263">
  <si>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</si>
  <si>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</si>
  <si>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</si>
  <si>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</si>
  <si>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</si>
  <si>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</si>
  <si>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</si>
  <si>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</si>
  <si>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</si>
  <si>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</si>
  <si>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</si>
  <si>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</si>
  <si>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</si>
  <si>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</si>
  <si>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</si>
  <si>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</si>
  <si>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</si>
  <si>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</si>
  <si>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</si>
  <si>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</si>
  <si>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</si>
  <si>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</si>
  <si>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</si>
  <si>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</si>
  <si>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</si>
  <si>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</si>
  <si>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</si>
  <si>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</si>
  <si>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</si>
  <si>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</si>
  <si>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</si>
  <si>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</si>
  <si>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</si>
  <si>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</si>
  <si>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</si>
  <si>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</si>
  <si>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</si>
  <si>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</si>
  <si>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</si>
  <si>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</si>
  <si>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</si>
  <si>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</si>
  <si>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</si>
  <si>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</si>
  <si>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</si>
  <si>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</si>
  <si>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</si>
  <si>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</si>
  <si>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</si>
  <si>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</si>
  <si>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</si>
  <si>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</si>
  <si>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</si>
  <si>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</si>
  <si>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</si>
  <si>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</si>
  <si>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</si>
  <si>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</si>
  <si>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</si>
  <si>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</si>
  <si>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</si>
  <si>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</si>
  <si>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</si>
  <si>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</si>
  <si>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</si>
  <si>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</si>
  <si>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</si>
  <si>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</si>
  <si>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</si>
  <si>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</si>
  <si>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</si>
  <si>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</si>
  <si>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</si>
  <si>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</si>
  <si>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</si>
  <si>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</si>
  <si>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</si>
  <si>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</si>
  <si>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</si>
  <si>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</si>
  <si>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</si>
  <si>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</si>
  <si>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</si>
  <si>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</si>
  <si>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</si>
  <si>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</si>
  <si>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</si>
  <si>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</si>
  <si>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</si>
  <si>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</si>
  <si>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</si>
  <si>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</si>
  <si>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</si>
  <si>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</si>
  <si>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</si>
  <si>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</si>
  <si>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</si>
  <si>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</si>
  <si>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</si>
  <si>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</si>
  <si>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</si>
  <si>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</si>
  <si>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</si>
  <si>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</si>
  <si>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</si>
  <si>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</si>
  <si>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</si>
  <si>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</si>
  <si>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</si>
  <si>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</si>
  <si>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</si>
  <si>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</si>
  <si>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</si>
  <si>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</si>
  <si>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</si>
  <si>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</si>
  <si>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</si>
  <si>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</si>
  <si>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</si>
  <si>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</si>
  <si>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</si>
  <si>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</si>
  <si>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</si>
  <si>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</si>
  <si>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</si>
  <si>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</si>
  <si>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</si>
  <si>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</si>
  <si>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</si>
  <si>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</si>
  <si>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</si>
  <si>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</si>
  <si>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</si>
  <si>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</si>
  <si>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</si>
  <si>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</si>
  <si>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</si>
  <si>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</si>
  <si>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</si>
  <si>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</si>
  <si>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</si>
  <si>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</si>
  <si>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</si>
  <si>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</si>
  <si>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</si>
  <si>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</si>
  <si>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</si>
  <si>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</si>
  <si>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</si>
  <si>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</si>
  <si>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</si>
  <si>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</si>
  <si>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</si>
  <si>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</si>
  <si>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</si>
  <si>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</si>
  <si>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</si>
  <si>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</si>
  <si>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</si>
  <si>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</si>
  <si>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</si>
  <si>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</si>
  <si>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</si>
  <si>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</si>
  <si>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</si>
  <si>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</si>
  <si>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</si>
  <si>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</si>
  <si>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</si>
  <si>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</si>
  <si>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</si>
  <si>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</si>
  <si>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</si>
  <si>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</si>
  <si>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</si>
  <si>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</si>
  <si>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</si>
  <si>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</si>
  <si>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</si>
  <si>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</si>
  <si>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</si>
  <si>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</si>
  <si>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</si>
  <si>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</si>
  <si>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</si>
  <si>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</si>
  <si>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</si>
  <si>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</si>
  <si>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</si>
  <si>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</si>
  <si>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</si>
  <si>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</si>
  <si>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</si>
  <si>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</si>
  <si>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</si>
  <si>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</si>
  <si>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</si>
  <si>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</si>
  <si>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</si>
  <si>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</si>
  <si>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</si>
  <si>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</si>
  <si>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</si>
  <si>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</si>
  <si>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</si>
  <si>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</si>
  <si>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</si>
  <si>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</si>
  <si>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</si>
  <si>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</si>
  <si>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</si>
  <si>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</si>
  <si>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</si>
  <si>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</si>
  <si>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</si>
  <si>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</si>
  <si>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</si>
  <si>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</si>
  <si>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</si>
  <si>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</si>
  <si>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</si>
  <si>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</si>
  <si>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</si>
  <si>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</si>
  <si>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</si>
  <si>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</si>
  <si>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</si>
  <si>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</si>
  <si>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</si>
  <si>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</si>
  <si>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</si>
  <si>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</si>
  <si>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</si>
  <si>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</si>
  <si>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</si>
  <si>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</si>
  <si>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</si>
  <si>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</si>
  <si>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</si>
  <si>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</si>
  <si>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</si>
  <si>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</si>
  <si>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</si>
  <si>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</si>
  <si>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</si>
  <si>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</si>
  <si>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</si>
  <si>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</si>
  <si>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</si>
  <si>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</si>
  <si>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</si>
  <si>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</si>
  <si>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</si>
  <si>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</si>
  <si>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</si>
  <si>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</si>
  <si>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</si>
  <si>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</si>
  <si>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</si>
  <si>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</si>
  <si>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</si>
  <si>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</si>
  <si>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</si>
  <si>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</si>
  <si>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</si>
  <si>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</si>
  <si>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</si>
  <si>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</si>
  <si>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</si>
  <si>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</si>
  <si>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</si>
  <si>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</si>
  <si>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</si>
  <si>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</si>
  <si>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</si>
  <si>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</si>
  <si>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</si>
  <si>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</si>
  <si>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</si>
  <si>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</si>
  <si>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</si>
  <si>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</si>
  <si>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</si>
  <si>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</si>
  <si>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</si>
  <si>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</si>
  <si>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</si>
  <si>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</si>
  <si>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</si>
  <si>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</si>
  <si>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</si>
  <si>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</si>
  <si>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</si>
  <si>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</si>
  <si>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</si>
  <si>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</si>
  <si>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</si>
  <si>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</si>
  <si>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</si>
  <si>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</si>
  <si>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</si>
  <si>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</si>
  <si>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</si>
  <si>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</si>
  <si>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</si>
  <si>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</si>
  <si>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</si>
  <si>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</si>
  <si>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</si>
  <si>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</si>
  <si>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</si>
  <si>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</si>
  <si>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</si>
  <si>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</si>
  <si>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</si>
  <si>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</si>
  <si>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</si>
  <si>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</si>
  <si>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</si>
  <si>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</si>
  <si>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</si>
  <si>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</si>
  <si>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</si>
  <si>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</si>
  <si>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</si>
  <si>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</si>
  <si>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</si>
  <si>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</si>
  <si>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</si>
  <si>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</si>
  <si>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</si>
  <si>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</si>
  <si>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</si>
  <si>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</si>
  <si>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</si>
  <si>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</si>
  <si>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</si>
  <si>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</si>
  <si>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</si>
  <si>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</si>
  <si>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</si>
  <si>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</si>
  <si>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</si>
  <si>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</si>
  <si>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</si>
  <si>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</si>
  <si>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</si>
  <si>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</si>
  <si>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</si>
  <si>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</si>
  <si>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</si>
  <si>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</si>
  <si>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</si>
  <si>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</si>
  <si>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</si>
  <si>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</si>
  <si>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</si>
  <si>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</si>
  <si>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</si>
  <si>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</si>
  <si>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</si>
  <si>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</si>
  <si>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</si>
  <si>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</si>
  <si>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</si>
  <si>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</si>
  <si>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</si>
  <si>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</si>
  <si>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</si>
  <si>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</si>
  <si>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</si>
  <si>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</si>
  <si>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</si>
  <si>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</si>
  <si>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</si>
  <si>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</si>
  <si>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</si>
  <si>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</si>
  <si>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</si>
  <si>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</si>
  <si>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</si>
  <si>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</si>
  <si>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</si>
  <si>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</si>
  <si>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</si>
  <si>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</si>
  <si>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</si>
  <si>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</si>
  <si>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</si>
  <si>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</si>
  <si>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</si>
  <si>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</si>
  <si>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</si>
  <si>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</si>
  <si>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</si>
  <si>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</si>
  <si>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</si>
  <si>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</si>
  <si>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</si>
  <si>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</si>
  <si>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</si>
  <si>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</si>
  <si>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</si>
  <si>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</si>
  <si>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</si>
  <si>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</si>
  <si>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</si>
  <si>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</si>
  <si>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</si>
  <si>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</si>
  <si>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</si>
  <si>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</si>
  <si>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</si>
  <si>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</si>
  <si>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</si>
  <si>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</si>
  <si>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</si>
  <si>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</si>
  <si>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</si>
  <si>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</si>
  <si>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</si>
  <si>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</si>
  <si>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</si>
  <si>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</si>
  <si>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</si>
  <si>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</si>
  <si>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</si>
  <si>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</si>
  <si>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</si>
  <si>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</si>
  <si>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</si>
  <si>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</si>
  <si>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</si>
  <si>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</si>
  <si>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</si>
  <si>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</si>
  <si>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</si>
  <si>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</si>
  <si>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</si>
  <si>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</si>
  <si>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</si>
  <si>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</si>
  <si>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</si>
  <si>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</si>
  <si>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</si>
  <si>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</si>
  <si>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</si>
  <si>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</si>
  <si>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</si>
  <si>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</si>
  <si>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</si>
  <si>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</si>
  <si>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</si>
  <si>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</si>
  <si>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</si>
  <si>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</si>
  <si>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</si>
  <si>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</si>
  <si>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</si>
  <si>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</si>
  <si>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</si>
  <si>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</si>
  <si>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</si>
  <si>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</si>
  <si>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</si>
  <si>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</si>
  <si>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</si>
  <si>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</si>
  <si>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</si>
  <si>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</si>
  <si>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</si>
  <si>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</si>
  <si>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</si>
  <si>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</si>
  <si>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</si>
  <si>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</si>
  <si>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</si>
  <si>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</si>
  <si>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</si>
  <si>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</si>
  <si>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</si>
  <si>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</si>
  <si>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</si>
  <si>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</si>
  <si>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</si>
  <si>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</si>
  <si>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</si>
  <si>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</si>
  <si>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</si>
  <si>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</si>
  <si>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</si>
  <si>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</si>
  <si>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</si>
  <si>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</si>
  <si>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</si>
  <si>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</si>
  <si>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</si>
  <si>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</si>
  <si>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</si>
  <si>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</si>
  <si>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</si>
  <si>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</si>
  <si>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</si>
  <si>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</si>
  <si>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</si>
  <si>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</si>
  <si>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</si>
  <si>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</si>
  <si>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</si>
  <si>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</si>
  <si>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</si>
  <si>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</si>
  <si>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</si>
  <si>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</si>
  <si>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</si>
  <si>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</si>
  <si>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</si>
  <si>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</si>
  <si>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</si>
  <si>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</si>
  <si>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</si>
  <si>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</si>
  <si>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</si>
  <si>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</si>
  <si>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</si>
  <si>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</si>
  <si>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</si>
  <si>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</si>
  <si>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</si>
  <si>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</si>
  <si>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</si>
  <si>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</si>
  <si>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</si>
  <si>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</si>
  <si>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</si>
  <si>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</si>
  <si>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</si>
  <si>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</si>
  <si>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</si>
  <si>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</si>
  <si>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</si>
  <si>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</si>
  <si>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</si>
  <si>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</si>
  <si>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</si>
  <si>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</si>
  <si>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</si>
  <si>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</si>
  <si>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</si>
  <si>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</si>
  <si>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</si>
  <si>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</si>
  <si>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</si>
  <si>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</si>
  <si>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</si>
  <si>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</si>
  <si>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</si>
  <si>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</si>
  <si>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</si>
  <si>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</si>
  <si>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</si>
  <si>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</si>
  <si>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</si>
  <si>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</si>
  <si>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</si>
  <si>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</si>
  <si>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</si>
  <si>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</si>
  <si>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</si>
  <si>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</si>
  <si>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</si>
  <si>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</si>
  <si>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</si>
  <si>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</si>
  <si>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</si>
  <si>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</si>
  <si>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</si>
  <si>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</si>
  <si>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</si>
  <si>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</si>
  <si>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</si>
  <si>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</si>
  <si>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</si>
  <si>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</si>
  <si>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</si>
  <si>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</si>
  <si>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</si>
  <si>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</si>
  <si>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</si>
  <si>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</si>
  <si>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</si>
  <si>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</si>
  <si>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</si>
  <si>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</si>
  <si>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</si>
  <si>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</si>
  <si>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</si>
  <si>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</si>
  <si>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</si>
  <si>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</si>
  <si>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</si>
  <si>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</si>
  <si>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</si>
  <si>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</si>
  <si>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</si>
  <si>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</si>
  <si>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</si>
  <si>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</si>
  <si>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</si>
  <si>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</si>
  <si>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</si>
  <si>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</si>
  <si>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</si>
  <si>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</si>
  <si>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</si>
  <si>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</si>
  <si>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</si>
  <si>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</si>
  <si>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</si>
  <si>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</si>
  <si>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</si>
  <si>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</si>
  <si>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</si>
  <si>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</si>
  <si>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</si>
  <si>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</si>
  <si>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</si>
  <si>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</si>
  <si>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</si>
  <si>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</si>
  <si>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</si>
  <si>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</si>
  <si>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</si>
  <si>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</si>
  <si>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</si>
  <si>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</si>
  <si>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</si>
  <si>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</si>
  <si>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</si>
  <si>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</si>
  <si>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</si>
  <si>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</si>
  <si>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</si>
  <si>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</si>
  <si>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</si>
  <si>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</si>
  <si>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</si>
  <si>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</si>
  <si>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</si>
  <si>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</si>
  <si>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</si>
  <si>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</si>
  <si>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</si>
  <si>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</si>
  <si>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</si>
  <si>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</si>
  <si>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</si>
  <si>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</si>
  <si>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</si>
  <si>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</si>
  <si>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</si>
  <si>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</si>
  <si>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</si>
  <si>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</si>
  <si>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</si>
  <si>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</si>
  <si>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</si>
  <si>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</si>
  <si>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</si>
  <si>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</si>
  <si>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</si>
  <si>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</si>
  <si>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</si>
  <si>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</si>
  <si>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</si>
  <si>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</si>
  <si>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</si>
  <si>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</si>
  <si>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</si>
  <si>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</si>
  <si>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</si>
  <si>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</si>
  <si>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</si>
  <si>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</si>
  <si>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</si>
  <si>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</si>
  <si>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</si>
  <si>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</si>
  <si>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</si>
  <si>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</si>
  <si>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</si>
  <si>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</si>
  <si>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</si>
  <si>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</si>
  <si>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</si>
  <si>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</si>
  <si>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</si>
  <si>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</si>
  <si>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</si>
  <si>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</si>
  <si>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</si>
  <si>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</si>
  <si>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</si>
  <si>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</si>
  <si>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</si>
  <si>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</si>
  <si>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</si>
  <si>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</si>
  <si>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</si>
  <si>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</si>
  <si>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</si>
  <si>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</si>
  <si>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</si>
  <si>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</si>
  <si>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</si>
  <si>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</si>
  <si>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</si>
  <si>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</si>
  <si>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</si>
  <si>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</si>
  <si>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</si>
  <si>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</si>
  <si>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</si>
  <si>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</si>
  <si>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</si>
  <si>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</si>
  <si>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</si>
  <si>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</si>
  <si>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</si>
  <si>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</si>
  <si>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</si>
  <si>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</si>
  <si>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</si>
  <si>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</si>
  <si>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</si>
  <si>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</si>
  <si>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</si>
  <si>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</si>
  <si>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</si>
  <si>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</si>
  <si>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</si>
  <si>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</si>
  <si>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</si>
  <si>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</si>
  <si>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</si>
  <si>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</si>
  <si>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</si>
  <si>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</si>
  <si>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</si>
  <si>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</si>
  <si>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</si>
  <si>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</si>
  <si>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</si>
  <si>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</si>
  <si>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</si>
  <si>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</si>
  <si>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</si>
  <si>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</si>
  <si>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</si>
  <si>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</si>
  <si>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</si>
  <si>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</si>
  <si>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</si>
  <si>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</si>
  <si>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</si>
  <si>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</si>
  <si>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</si>
  <si>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</si>
  <si>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</si>
  <si>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</si>
  <si>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</si>
  <si>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</si>
  <si>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</si>
  <si>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</si>
  <si>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</si>
  <si>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</si>
  <si>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</si>
  <si>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</si>
  <si>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</si>
  <si>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</si>
  <si>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</si>
  <si>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</si>
  <si>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</si>
  <si>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</si>
  <si>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</si>
  <si>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</si>
  <si>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</si>
  <si>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</si>
  <si>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</si>
  <si>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</si>
  <si>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</si>
  <si>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</si>
  <si>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</si>
  <si>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</si>
  <si>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</si>
  <si>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</si>
  <si>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</si>
  <si>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</si>
  <si>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</si>
  <si>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</si>
  <si>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</si>
  <si>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</si>
  <si>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</si>
  <si>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</si>
  <si>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</si>
  <si>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</si>
  <si>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</si>
  <si>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</si>
  <si>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</si>
  <si>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</si>
  <si>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</si>
  <si>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</si>
  <si>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</si>
  <si>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</si>
  <si>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</si>
  <si>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</si>
  <si>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</si>
  <si>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</si>
  <si>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</si>
  <si>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</si>
  <si>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</si>
  <si>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</si>
  <si>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</si>
  <si>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</si>
  <si>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</si>
  <si>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</si>
  <si>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</si>
  <si>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</si>
  <si>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</si>
  <si>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</si>
  <si>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</si>
  <si>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</si>
  <si>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</si>
  <si>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</si>
  <si>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</si>
  <si>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</si>
  <si>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</si>
  <si>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</si>
  <si>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</si>
  <si>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</si>
  <si>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</si>
  <si>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</si>
  <si>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</si>
  <si>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</si>
  <si>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</si>
  <si>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</si>
  <si>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</si>
  <si>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</si>
  <si>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</si>
  <si>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</si>
  <si>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</si>
  <si>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</si>
  <si>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</si>
  <si>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</si>
  <si>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</si>
  <si>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</si>
  <si>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</si>
  <si>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</si>
  <si>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</si>
  <si>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</si>
  <si>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</si>
  <si>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</si>
  <si>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</si>
  <si>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</si>
  <si>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</si>
  <si>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</si>
  <si>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</si>
  <si>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</si>
  <si>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</si>
  <si>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</si>
  <si>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</si>
  <si>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</si>
  <si>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</si>
  <si>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</si>
  <si>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</si>
  <si>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</si>
  <si>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</si>
  <si>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</si>
  <si>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</si>
  <si>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</si>
  <si>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</si>
  <si>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</si>
  <si>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</si>
  <si>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</si>
  <si>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</si>
  <si>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</si>
  <si>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</si>
  <si>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</si>
  <si>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</si>
  <si>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</si>
  <si>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</si>
  <si>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</si>
  <si>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</si>
  <si>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</si>
  <si>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</si>
  <si>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</si>
  <si>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</si>
  <si>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</si>
  <si>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</si>
  <si>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</si>
  <si>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</si>
  <si>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</si>
  <si>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</si>
  <si>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</si>
  <si>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</si>
  <si>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</si>
  <si>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</si>
  <si>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</si>
  <si>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</si>
  <si>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</si>
  <si>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</si>
  <si>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</si>
  <si>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</si>
  <si>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</si>
  <si>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</si>
  <si>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</si>
  <si>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</si>
  <si>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</si>
  <si>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</si>
  <si>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</si>
  <si>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</si>
  <si>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</si>
  <si>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</si>
  <si>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</si>
  <si>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</si>
  <si>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</si>
  <si>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</si>
  <si>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</si>
  <si>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</si>
  <si>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</si>
  <si>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</si>
  <si>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</si>
  <si>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</si>
  <si>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</si>
  <si>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</si>
  <si>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</si>
  <si>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</si>
  <si>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</si>
  <si>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</si>
  <si>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</si>
  <si>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</si>
  <si>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</si>
  <si>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</si>
  <si>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</si>
  <si>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</si>
  <si>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</si>
  <si>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</si>
  <si>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</si>
  <si>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</si>
  <si>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</si>
  <si>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</si>
  <si>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</si>
  <si>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</si>
  <si>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</si>
  <si>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</si>
  <si>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</si>
  <si>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</si>
  <si>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</si>
  <si>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</si>
  <si>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</si>
  <si>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</si>
  <si>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</si>
  <si>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</si>
  <si>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</si>
  <si>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</si>
  <si>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</si>
  <si>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</si>
  <si>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</si>
  <si>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</si>
  <si>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</si>
  <si>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</si>
  <si>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</si>
  <si>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</si>
  <si>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</si>
  <si>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</si>
  <si>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</si>
  <si>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</si>
  <si>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</si>
  <si>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</si>
  <si>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</si>
  <si>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</si>
  <si>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</si>
  <si>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</si>
  <si>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</si>
  <si>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</si>
  <si>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</si>
  <si>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</si>
  <si>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</si>
  <si>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</si>
  <si>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</si>
  <si>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</si>
  <si>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</si>
  <si>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</si>
  <si>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</si>
  <si>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</si>
  <si>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</si>
  <si>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</si>
  <si>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</si>
  <si>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</si>
  <si>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</si>
  <si>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</si>
  <si>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</si>
  <si>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</si>
  <si>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</si>
  <si>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</si>
  <si>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</si>
  <si>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</si>
  <si>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</si>
  <si>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</si>
  <si>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</si>
  <si>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</si>
  <si>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</si>
  <si>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</si>
  <si>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</si>
  <si>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</si>
  <si>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</si>
  <si>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</si>
  <si>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</si>
  <si>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</si>
  <si>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</si>
  <si>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</si>
  <si>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</si>
  <si>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</si>
  <si>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</si>
  <si>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</si>
  <si>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</si>
  <si>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</si>
  <si>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</si>
  <si>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</si>
  <si>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</si>
  <si>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</si>
  <si>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</si>
  <si>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</si>
  <si>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</si>
  <si>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</si>
  <si>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</si>
  <si>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</si>
  <si>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</si>
  <si>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</si>
  <si>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</si>
  <si>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</si>
  <si>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</si>
  <si>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</si>
  <si>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</si>
  <si>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</si>
  <si>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</si>
  <si>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</si>
  <si>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</si>
  <si>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</si>
  <si>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</si>
  <si>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</si>
  <si>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</si>
  <si>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</si>
  <si>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</si>
  <si>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</si>
  <si>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</si>
  <si>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</si>
  <si>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</si>
  <si>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</si>
  <si>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</si>
  <si>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</si>
  <si>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</si>
  <si>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</si>
  <si>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</si>
  <si>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</si>
  <si>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</si>
  <si>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</si>
  <si>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</si>
  <si>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</si>
  <si>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</si>
  <si>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</si>
  <si>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</si>
  <si>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</si>
  <si>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</si>
  <si>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</si>
  <si>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</si>
  <si>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</si>
  <si>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</si>
  <si>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</si>
  <si>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</si>
  <si>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</si>
  <si>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</si>
  <si>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</si>
  <si>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</si>
  <si>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</si>
  <si>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</si>
  <si>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</si>
  <si>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</si>
  <si>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</si>
  <si>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</si>
  <si>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</si>
  <si>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</si>
  <si>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</si>
  <si>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</si>
  <si>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</si>
  <si>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</si>
  <si>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</si>
  <si>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</si>
  <si>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</si>
  <si>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</si>
  <si>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</si>
  <si>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</si>
  <si>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</si>
  <si>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</si>
  <si>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</si>
  <si>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</si>
  <si>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</si>
  <si>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</si>
  <si>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</si>
  <si>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</si>
  <si>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</si>
  <si>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</si>
  <si>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</si>
  <si>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</si>
  <si>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</si>
  <si>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</si>
  <si>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</si>
  <si>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</si>
  <si>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</si>
  <si>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</si>
  <si>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</si>
  <si>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</si>
  <si>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</si>
  <si>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</si>
  <si>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</si>
  <si>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</si>
  <si>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</si>
  <si>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</si>
  <si>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</si>
  <si>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</si>
  <si>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</si>
  <si>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</si>
  <si>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</si>
  <si>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</si>
  <si>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</si>
  <si>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</si>
  <si>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</si>
  <si>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</si>
  <si>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</si>
  <si>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</si>
  <si>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</si>
  <si>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</si>
  <si>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</si>
  <si>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</si>
  <si>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</si>
  <si>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</si>
  <si>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</si>
  <si>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</si>
  <si>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</si>
  <si>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</si>
  <si>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</si>
  <si>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</si>
  <si>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</si>
  <si>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</si>
  <si>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</si>
  <si>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</si>
  <si>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</si>
  <si>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</si>
  <si>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</si>
  <si>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</si>
  <si>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</si>
  <si>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</si>
  <si>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</si>
  <si>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</si>
  <si>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</si>
  <si>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</si>
  <si>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</si>
  <si>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</si>
  <si>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</si>
  <si>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</si>
  <si>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</si>
  <si>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</si>
  <si>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</si>
  <si>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</si>
  <si>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</si>
  <si>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</si>
  <si>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</si>
  <si>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</si>
  <si>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</si>
  <si>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</si>
  <si>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</si>
  <si>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</si>
  <si>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</si>
  <si>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</si>
  <si>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</si>
  <si>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</si>
  <si>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</si>
  <si>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</si>
  <si>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</si>
  <si>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</si>
  <si>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</si>
  <si>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</si>
  <si>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</si>
  <si>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</si>
  <si>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</si>
  <si>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</si>
  <si>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</si>
  <si>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</si>
  <si>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</si>
  <si>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</si>
  <si>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</si>
  <si>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</si>
  <si>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</si>
  <si>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</si>
  <si>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</si>
  <si>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</si>
  <si>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</si>
  <si>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</si>
  <si>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</si>
  <si>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</si>
  <si>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</si>
  <si>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</si>
  <si>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</si>
  <si>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</si>
  <si>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</si>
  <si>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</si>
  <si>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</si>
  <si>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</si>
  <si>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</si>
  <si>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</si>
  <si>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</si>
  <si>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</si>
  <si>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</si>
  <si>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</si>
  <si>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</si>
  <si>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</si>
  <si>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</si>
  <si>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</si>
  <si>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</si>
  <si>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</si>
  <si>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</si>
  <si>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</si>
  <si>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</si>
  <si>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</si>
  <si>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</si>
  <si>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</si>
  <si>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</si>
  <si>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</si>
  <si>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</si>
  <si>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</si>
  <si>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</si>
  <si>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</si>
  <si>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</si>
  <si>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</si>
  <si>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</si>
  <si>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</si>
  <si>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</si>
  <si>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</si>
  <si>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</si>
  <si>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</si>
  <si>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</si>
  <si>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</si>
  <si>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</si>
  <si>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</si>
  <si>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</si>
  <si>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</si>
  <si>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</si>
  <si>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</si>
  <si>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</si>
  <si>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</si>
  <si>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</si>
  <si>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</si>
  <si>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</si>
  <si>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</si>
  <si>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</si>
  <si>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</si>
  <si>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</si>
  <si>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</si>
  <si>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</si>
  <si>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</si>
  <si>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</si>
  <si>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</si>
  <si>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</si>
  <si>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</si>
  <si>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</si>
  <si>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</si>
  <si>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</si>
  <si>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</si>
  <si>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</si>
  <si>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</si>
  <si>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</si>
  <si>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</si>
  <si>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</si>
  <si>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</si>
  <si>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</si>
  <si>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</si>
  <si>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</si>
  <si>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</si>
  <si>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</si>
  <si>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</si>
  <si>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</si>
  <si>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</si>
  <si>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</si>
  <si>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</si>
  <si>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</si>
  <si>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</si>
  <si>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</si>
  <si>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</si>
  <si>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</si>
  <si>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</si>
  <si>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</si>
  <si>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</si>
  <si>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</si>
  <si>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</si>
  <si>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</si>
  <si>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</si>
  <si>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</si>
  <si>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</si>
  <si>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</si>
  <si>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</si>
  <si>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</si>
  <si>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</si>
  <si>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</si>
  <si>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</si>
  <si>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</si>
  <si>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</si>
  <si>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</si>
  <si>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</si>
  <si>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</si>
  <si>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</si>
  <si>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</si>
  <si>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</si>
  <si>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</si>
  <si>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</si>
  <si>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</si>
  <si>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</si>
  <si>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</si>
  <si>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</si>
  <si>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</si>
  <si>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</si>
  <si>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</si>
  <si>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</si>
  <si>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</si>
  <si>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</si>
  <si>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</si>
  <si>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</si>
  <si>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</si>
  <si>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</si>
  <si>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</si>
  <si>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</si>
  <si>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</si>
  <si>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</si>
  <si>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</si>
  <si>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</si>
  <si>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</si>
  <si>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</si>
  <si>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</si>
  <si>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</si>
  <si>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</si>
  <si>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</si>
  <si>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</si>
  <si>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</si>
  <si>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</si>
  <si>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</si>
  <si>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</si>
  <si>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</si>
  <si>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</si>
  <si>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</si>
  <si>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</si>
  <si>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</si>
  <si>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</si>
  <si>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</si>
  <si>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</si>
  <si>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</si>
  <si>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</si>
  <si>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</si>
  <si>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</si>
  <si>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</si>
  <si>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</si>
  <si>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</si>
  <si>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</si>
  <si>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</si>
  <si>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</si>
  <si>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</si>
  <si>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</si>
  <si>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</si>
  <si>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</si>
  <si>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</si>
  <si>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</si>
  <si>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</si>
  <si>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</si>
  <si>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</si>
  <si>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</si>
  <si>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</si>
  <si>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</si>
  <si>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</si>
  <si>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</si>
  <si>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</si>
  <si>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</si>
  <si>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</si>
  <si>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</si>
  <si>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</si>
  <si>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</si>
  <si>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</si>
  <si>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</si>
  <si>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</si>
  <si>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</si>
  <si>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</si>
  <si>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</si>
  <si>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</si>
  <si>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</si>
  <si>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</si>
  <si>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</si>
  <si>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</si>
  <si>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</si>
  <si>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</si>
  <si>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</si>
  <si>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</si>
  <si>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</si>
  <si>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</si>
  <si>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</si>
  <si>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</si>
  <si>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</si>
  <si>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</si>
  <si>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</si>
  <si>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</si>
  <si>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</si>
  <si>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</si>
  <si>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</si>
  <si>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</si>
  <si>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</si>
  <si>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</si>
  <si>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</si>
  <si>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</si>
  <si>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</si>
  <si>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</si>
  <si>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</si>
  <si>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</si>
  <si>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</si>
  <si>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</si>
  <si>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</si>
  <si>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</si>
  <si>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</si>
  <si>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</si>
  <si>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</si>
  <si>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</si>
  <si>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</si>
  <si>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</si>
  <si>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</si>
  <si>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</si>
  <si>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</si>
  <si>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</si>
  <si>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</si>
  <si>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</si>
  <si>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</si>
  <si>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</si>
  <si>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</si>
  <si>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</si>
  <si>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</si>
  <si>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</si>
  <si>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</si>
  <si>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</si>
  <si>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</si>
  <si>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</si>
  <si>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</si>
  <si>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</si>
  <si>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</si>
  <si>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</si>
  <si>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</si>
  <si>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</si>
  <si>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</si>
  <si>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</si>
  <si>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</si>
  <si>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</si>
  <si>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</si>
  <si>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</si>
  <si>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</si>
  <si>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</si>
  <si>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</si>
  <si>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</si>
  <si>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</si>
  <si>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</si>
  <si>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</si>
  <si>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</si>
  <si>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</si>
  <si>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</si>
  <si>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</si>
  <si>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</si>
  <si>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</si>
  <si>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</si>
  <si>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</si>
  <si>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</si>
  <si>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</si>
  <si>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</si>
  <si>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</si>
  <si>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</si>
  <si>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</si>
  <si>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</si>
  <si>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</si>
  <si>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</si>
  <si>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</si>
  <si>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</si>
  <si>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</si>
  <si>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</si>
  <si>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</si>
  <si>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</si>
  <si>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</si>
  <si>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</si>
  <si>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</si>
  <si>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</si>
  <si>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</si>
  <si>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</si>
  <si>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</si>
  <si>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</si>
  <si>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</si>
  <si>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</si>
  <si>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</si>
  <si>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</si>
  <si>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</si>
  <si>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</si>
  <si>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</si>
  <si>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</si>
  <si>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</si>
  <si>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</si>
  <si>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</si>
  <si>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</si>
  <si>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</si>
  <si>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</si>
  <si>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</si>
  <si>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</si>
  <si>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</si>
  <si>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</si>
  <si>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</si>
  <si>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</si>
  <si>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</si>
  <si>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</si>
  <si>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</si>
  <si>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</si>
  <si>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</si>
  <si>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</si>
  <si>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</si>
  <si>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</si>
  <si>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</si>
  <si>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</si>
  <si>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</si>
  <si>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</si>
  <si>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</si>
  <si>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</si>
  <si>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</si>
  <si>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</si>
  <si>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</si>
  <si>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</si>
  <si>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</si>
  <si>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</si>
  <si>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</si>
  <si>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</si>
  <si>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</si>
  <si>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</si>
  <si>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</si>
  <si>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</si>
  <si>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</si>
  <si>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</si>
  <si>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</si>
  <si>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</si>
  <si>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</si>
  <si>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</si>
  <si>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</si>
  <si>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</si>
  <si>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</si>
  <si>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</si>
  <si>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</si>
  <si>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</si>
  <si>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</si>
  <si>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</si>
  <si>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</si>
  <si>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</si>
  <si>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</si>
  <si>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</si>
  <si>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</si>
  <si>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</si>
  <si>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</si>
  <si>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</si>
  <si>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</si>
  <si>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</si>
  <si>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</si>
  <si>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</si>
  <si>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</si>
  <si>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</si>
  <si>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</si>
  <si>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</si>
  <si>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</si>
  <si>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</si>
  <si>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</si>
  <si>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</si>
  <si>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</si>
  <si>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</si>
  <si>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</si>
  <si>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</si>
  <si>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</si>
  <si>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</si>
  <si>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</si>
  <si>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</si>
  <si>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</si>
  <si>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</si>
  <si>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</si>
  <si>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</si>
  <si>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</si>
  <si>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</si>
  <si>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</si>
  <si>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</si>
  <si>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</si>
  <si>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</si>
  <si>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</si>
  <si>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</si>
  <si>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</si>
  <si>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</si>
  <si>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</si>
  <si>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</si>
  <si>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</si>
  <si>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</si>
  <si>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</si>
  <si>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</si>
  <si>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</si>
  <si>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</si>
  <si>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</si>
  <si>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</si>
  <si>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</si>
  <si>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</si>
  <si>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</si>
  <si>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</si>
  <si>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</si>
  <si>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</si>
  <si>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</si>
  <si>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</si>
  <si>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</si>
  <si>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</si>
  <si>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</si>
  <si>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</si>
  <si>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</si>
  <si>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</si>
  <si>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</si>
  <si>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</si>
  <si>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</si>
  <si>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</si>
  <si>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</si>
  <si>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</si>
  <si>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</si>
  <si>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</si>
  <si>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</si>
  <si>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</si>
  <si>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</si>
  <si>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</si>
  <si>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</si>
  <si>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</si>
  <si>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</si>
  <si>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</si>
  <si>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</si>
  <si>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</si>
  <si>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</si>
  <si>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</si>
  <si>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</si>
  <si>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</si>
  <si>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</si>
  <si>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</si>
  <si>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</si>
  <si>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</si>
  <si>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</si>
  <si>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</si>
  <si>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</si>
  <si>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</si>
  <si>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</si>
  <si>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</si>
  <si>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</si>
  <si>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</si>
  <si>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</si>
  <si>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</si>
  <si>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</si>
  <si>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</si>
  <si>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</si>
  <si>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</si>
  <si>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</si>
  <si>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</si>
  <si>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</si>
  <si>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</si>
  <si>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</si>
  <si>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</si>
  <si>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</si>
  <si>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</si>
  <si>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</si>
  <si>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</si>
  <si>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</si>
  <si>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</si>
  <si>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</si>
  <si>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</si>
  <si>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</si>
  <si>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</si>
  <si>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</si>
  <si>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</si>
  <si>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</si>
  <si>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</si>
  <si>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</si>
  <si>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</si>
  <si>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</si>
  <si>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</si>
  <si>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</si>
  <si>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</si>
  <si>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</si>
  <si>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</si>
  <si>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</si>
  <si>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</si>
  <si>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</si>
  <si>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</si>
  <si>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</si>
  <si>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</si>
  <si>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</si>
  <si>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</si>
  <si>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</si>
  <si>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</si>
  <si>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</si>
  <si>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</si>
  <si>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</si>
  <si>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</si>
  <si>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</si>
  <si>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</si>
  <si>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</si>
  <si>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</si>
  <si>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</si>
  <si>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</si>
  <si>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</si>
  <si>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</si>
  <si>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</si>
  <si>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</si>
  <si>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</si>
  <si>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</si>
  <si>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</si>
  <si>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</si>
  <si>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</si>
  <si>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</si>
  <si>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</si>
  <si>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</si>
  <si>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</si>
  <si>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</si>
  <si>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</si>
  <si>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</si>
  <si>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</si>
  <si>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</si>
  <si>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</si>
  <si>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</si>
  <si>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</si>
  <si>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</si>
  <si>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</si>
  <si>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</si>
  <si>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</si>
  <si>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</si>
  <si>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</si>
  <si>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</si>
  <si>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</si>
  <si>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</si>
  <si>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</si>
  <si>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</si>
  <si>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</si>
  <si>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</si>
  <si>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</si>
  <si>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</si>
  <si>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</si>
  <si>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</si>
  <si>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</si>
  <si>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</si>
  <si>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</si>
  <si>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</si>
  <si>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</si>
  <si>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</si>
  <si>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</si>
  <si>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</si>
  <si>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</si>
  <si>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</si>
  <si>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</si>
  <si>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</si>
  <si>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</si>
  <si>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</si>
  <si>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</si>
  <si>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</si>
  <si>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</si>
  <si>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</si>
  <si>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</si>
  <si>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</si>
  <si>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</si>
  <si>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</si>
  <si>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</si>
  <si>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</si>
  <si>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</si>
  <si>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</si>
  <si>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</si>
  <si>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</si>
  <si>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</si>
  <si>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</si>
  <si>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</si>
  <si>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</si>
  <si>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</si>
  <si>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</si>
  <si>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</si>
  <si>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</si>
  <si>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</si>
  <si>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</si>
  <si>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</si>
  <si>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</si>
  <si>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</si>
  <si>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</si>
  <si>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</si>
  <si>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</si>
  <si>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</si>
  <si>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</si>
  <si>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</si>
  <si>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</si>
  <si>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</si>
  <si>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</si>
  <si>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</si>
  <si>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</si>
  <si>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</si>
  <si>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</si>
  <si>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</si>
  <si>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</si>
  <si>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</si>
  <si>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</si>
  <si>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</si>
  <si>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</si>
  <si>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</si>
  <si>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</si>
  <si>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</si>
  <si>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</si>
  <si>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</si>
  <si>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</si>
  <si>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</si>
  <si>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</si>
  <si>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</si>
  <si>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</si>
  <si>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</si>
  <si>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</si>
  <si>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</si>
  <si>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</si>
  <si>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</si>
  <si>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</si>
  <si>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</si>
  <si>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</si>
  <si>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</si>
  <si>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</si>
  <si>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</si>
  <si>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</si>
  <si>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</si>
  <si>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</si>
  <si>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</si>
  <si>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</si>
  <si>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</si>
  <si>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</si>
  <si>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</si>
  <si>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</si>
  <si>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</si>
  <si>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</si>
  <si>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</si>
  <si>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</si>
  <si>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</si>
  <si>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</si>
  <si>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</si>
  <si>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</si>
  <si>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</si>
  <si>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</si>
  <si>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</si>
  <si>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</si>
  <si>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</si>
  <si>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</si>
  <si>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</si>
  <si>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</si>
  <si>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</si>
  <si>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</si>
  <si>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</si>
  <si>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</si>
  <si>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</si>
  <si>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</si>
  <si>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</si>
  <si>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</si>
  <si>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</si>
  <si>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</si>
  <si>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</si>
  <si>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</si>
  <si>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</si>
  <si>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</si>
  <si>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</si>
  <si>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</si>
  <si>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</si>
  <si>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</si>
  <si>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</si>
  <si>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</si>
  <si>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</si>
  <si>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</si>
  <si>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</si>
  <si>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</si>
  <si>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</si>
  <si>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</si>
  <si>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</si>
  <si>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</si>
  <si>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</si>
  <si>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</si>
  <si>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</si>
  <si>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</si>
  <si>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</si>
  <si>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</si>
  <si>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</si>
  <si>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</si>
  <si>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</si>
  <si>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</si>
  <si>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</si>
  <si>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</si>
  <si>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</si>
  <si>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</si>
  <si>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</si>
  <si>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</si>
  <si>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</si>
  <si>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</si>
  <si>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</si>
  <si>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</si>
  <si>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</si>
  <si>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</si>
  <si>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</si>
  <si>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</si>
  <si>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</si>
  <si>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</si>
  <si>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</si>
  <si>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</si>
  <si>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</si>
  <si>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</si>
  <si>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</si>
  <si>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</si>
  <si>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</si>
  <si>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</si>
  <si>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</si>
  <si>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</si>
  <si>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</si>
  <si>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</si>
  <si>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</si>
  <si>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</si>
  <si>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</si>
  <si>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</si>
  <si>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</si>
  <si>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</si>
  <si>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</si>
  <si>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</si>
  <si>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</si>
  <si>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</si>
  <si>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</si>
  <si>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</si>
  <si>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</si>
  <si>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</si>
  <si>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</si>
  <si>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</si>
  <si>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</si>
  <si>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</si>
  <si>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</si>
  <si>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</si>
  <si>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</si>
  <si>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</si>
  <si>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</si>
  <si>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</si>
  <si>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</si>
  <si>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</si>
  <si>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</si>
  <si>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</si>
  <si>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</si>
  <si>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</si>
  <si>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</si>
  <si>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</si>
  <si>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</si>
  <si>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</si>
  <si>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</si>
  <si>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</si>
  <si>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</si>
  <si>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</si>
  <si>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</si>
  <si>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</si>
  <si>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</si>
  <si>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</si>
  <si>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</si>
  <si>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</si>
  <si>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</si>
  <si>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</si>
  <si>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</si>
  <si>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</si>
  <si>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</si>
  <si>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</si>
  <si>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</si>
  <si>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</si>
  <si>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</si>
  <si>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</si>
  <si>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</si>
  <si>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</si>
  <si>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</si>
  <si>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</si>
  <si>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</si>
  <si>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</si>
  <si>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</si>
  <si>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</si>
  <si>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</si>
  <si>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</si>
  <si>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</si>
  <si>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</si>
  <si>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</si>
  <si>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</si>
  <si>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</si>
  <si>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</si>
  <si>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</si>
  <si>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</si>
  <si>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</si>
  <si>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</si>
  <si>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</si>
  <si>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</si>
  <si>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</si>
  <si>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</si>
  <si>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</si>
  <si>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</si>
  <si>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</si>
  <si>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</si>
  <si>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</si>
  <si>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</si>
  <si>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</si>
  <si>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</si>
  <si>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</si>
  <si>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</si>
  <si>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</si>
  <si>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</si>
  <si>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</si>
  <si>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</si>
  <si>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</si>
  <si>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</si>
  <si>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</si>
  <si>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</si>
  <si>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</si>
  <si>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</si>
  <si>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</si>
  <si>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</si>
  <si>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</si>
  <si>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</si>
  <si>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</si>
  <si>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</si>
  <si>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</si>
  <si>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</si>
  <si>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</si>
  <si>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</si>
  <si>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</si>
  <si>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</si>
  <si>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</si>
  <si>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</si>
  <si>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</si>
  <si>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</si>
  <si>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</si>
  <si>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</si>
  <si>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</si>
  <si>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</si>
  <si>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</si>
  <si>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</si>
  <si>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</si>
  <si>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</si>
  <si>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</si>
  <si>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</si>
  <si>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</si>
  <si>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</si>
  <si>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</si>
  <si>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</si>
  <si>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</si>
  <si>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</si>
  <si>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</si>
  <si>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</si>
  <si>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</si>
  <si>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</si>
  <si>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</si>
  <si>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</si>
  <si>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</si>
  <si>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</si>
  <si>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</si>
  <si>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</si>
  <si>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</si>
  <si>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</si>
  <si>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</si>
  <si>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</si>
  <si>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</si>
  <si>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</si>
  <si>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</si>
  <si>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</si>
  <si>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</si>
  <si>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</si>
  <si>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</si>
  <si>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</si>
  <si>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</si>
  <si>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</si>
  <si>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</si>
  <si>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</si>
  <si>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</si>
  <si>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</si>
  <si>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</si>
  <si>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</si>
  <si>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</si>
  <si>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</si>
  <si>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</si>
  <si>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</si>
  <si>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</si>
  <si>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</si>
  <si>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</si>
  <si>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</si>
  <si>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</si>
  <si>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</si>
  <si>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</si>
  <si>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</si>
  <si>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</si>
  <si>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</si>
  <si>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</si>
  <si>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</si>
  <si>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</si>
  <si>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</si>
  <si>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</si>
  <si>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</si>
  <si>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</si>
  <si>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</si>
  <si>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</si>
  <si>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</si>
  <si>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</si>
  <si>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</si>
  <si>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</si>
  <si>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</si>
  <si>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</si>
  <si>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</si>
  <si>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</si>
  <si>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</si>
  <si>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</si>
  <si>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</si>
  <si>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</si>
  <si>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</si>
  <si>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</si>
  <si>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</si>
  <si>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</si>
  <si>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</si>
  <si>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</si>
  <si>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</si>
  <si>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</si>
  <si>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</si>
  <si>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</si>
  <si>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</si>
  <si>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</si>
  <si>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</si>
  <si>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</si>
  <si>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</si>
  <si>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</si>
  <si>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</si>
  <si>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</si>
  <si>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</si>
  <si>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</si>
  <si>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</si>
  <si>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</si>
  <si>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</si>
  <si>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</si>
  <si>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</si>
  <si>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</si>
  <si>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</si>
  <si>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</si>
  <si>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</si>
  <si>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</si>
  <si>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</si>
  <si>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</si>
  <si>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</si>
  <si>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</si>
  <si>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</si>
  <si>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</si>
  <si>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</si>
  <si>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</si>
  <si>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</si>
  <si>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</si>
  <si>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</si>
  <si>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</si>
  <si>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</si>
  <si>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</si>
  <si>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</si>
  <si>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</si>
  <si>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</si>
  <si>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</si>
  <si>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</si>
  <si>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</si>
  <si>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</si>
  <si>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</si>
  <si>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</si>
  <si>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</si>
  <si>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</si>
  <si>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</si>
  <si>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</si>
  <si>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</si>
  <si>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</si>
  <si>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</si>
  <si>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</si>
  <si>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</si>
  <si>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</si>
  <si>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</si>
  <si>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</si>
  <si>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</si>
  <si>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</si>
  <si>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</si>
  <si>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</si>
  <si>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</si>
  <si>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</si>
  <si>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</si>
  <si>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</si>
  <si>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</si>
  <si>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</si>
  <si>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</si>
  <si>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</si>
  <si>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</si>
  <si>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</si>
  <si>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</si>
  <si>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</si>
  <si>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</si>
  <si>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</si>
  <si>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</si>
  <si>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</si>
  <si>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</si>
  <si>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</si>
  <si>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</si>
  <si>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</si>
  <si>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</si>
  <si>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</si>
  <si>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</si>
  <si>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</si>
  <si>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</si>
  <si>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</si>
  <si>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</si>
  <si>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</si>
  <si>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</si>
  <si>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</si>
  <si>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</si>
  <si>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</si>
  <si>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</si>
  <si>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</si>
  <si>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</si>
  <si>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</si>
  <si>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</si>
  <si>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</si>
  <si>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</si>
  <si>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</si>
  <si>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</si>
  <si>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</si>
  <si>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</si>
  <si>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</si>
  <si>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</si>
  <si>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</si>
  <si>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</si>
  <si>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</si>
  <si>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</si>
  <si>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</si>
  <si>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</si>
  <si>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</si>
  <si>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</si>
  <si>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</si>
  <si>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</si>
  <si>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</si>
  <si>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</si>
  <si>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</si>
  <si>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</si>
  <si>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</si>
  <si>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</si>
  <si>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</si>
  <si>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</si>
  <si>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</si>
  <si>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</si>
  <si>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</si>
  <si>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</si>
  <si>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</si>
  <si>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</si>
  <si>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</si>
  <si>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</si>
  <si>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</si>
  <si>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</si>
  <si>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</si>
  <si>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</si>
  <si>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</si>
  <si>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</si>
  <si>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</si>
  <si>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</si>
  <si>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</si>
  <si>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</si>
  <si>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</si>
  <si>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</si>
  <si>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</si>
  <si>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</si>
  <si>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</si>
  <si>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</si>
  <si>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</si>
  <si>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</si>
  <si>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</si>
  <si>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</si>
  <si>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</si>
  <si>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</si>
  <si>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</si>
  <si>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</si>
  <si>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</si>
  <si>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</si>
  <si>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</si>
  <si>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</si>
  <si>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</si>
  <si>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</si>
  <si>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</si>
  <si>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</si>
  <si>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</si>
  <si>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</si>
  <si>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</si>
  <si>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</si>
  <si>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</si>
  <si>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</si>
  <si>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</si>
  <si>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</si>
  <si>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</si>
  <si>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</si>
  <si>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</si>
  <si>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</si>
  <si>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</si>
  <si>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</si>
  <si>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</si>
  <si>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</si>
  <si>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</si>
  <si>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</si>
  <si>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</si>
  <si>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</si>
  <si>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</si>
  <si>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</si>
  <si>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</si>
  <si>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</si>
  <si>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</si>
  <si>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</si>
  <si>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</si>
  <si>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</si>
  <si>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</si>
  <si>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</si>
  <si>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</si>
  <si>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</si>
  <si>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</si>
  <si>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</si>
  <si>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</si>
  <si>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</si>
  <si>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</si>
  <si>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</si>
  <si>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</si>
  <si>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</si>
  <si>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</si>
  <si>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</si>
  <si>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</si>
  <si>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</si>
  <si>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</si>
  <si>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</si>
  <si>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</si>
  <si>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</si>
  <si>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</si>
  <si>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</si>
  <si>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</si>
  <si>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</si>
  <si>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</si>
  <si>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</si>
  <si>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</si>
  <si>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</si>
  <si>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</si>
  <si>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</si>
  <si>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</si>
  <si>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</si>
  <si>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</si>
  <si>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</si>
  <si>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</si>
  <si>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</si>
  <si>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</si>
  <si>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</si>
  <si>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</si>
  <si>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</si>
  <si>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</si>
  <si>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</si>
  <si>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</si>
  <si>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</si>
  <si>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</si>
  <si>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</si>
  <si>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</si>
  <si>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</si>
  <si>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</si>
  <si>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</si>
  <si>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</si>
  <si>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</si>
  <si>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</si>
  <si>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</si>
  <si>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</si>
  <si>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</si>
  <si>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</si>
  <si>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</si>
  <si>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</si>
  <si>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</si>
  <si>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</si>
  <si>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</si>
  <si>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</si>
  <si>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</si>
  <si>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</si>
  <si>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</si>
  <si>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</si>
  <si>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</si>
  <si>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</si>
  <si>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</si>
  <si>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</si>
  <si>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</si>
  <si>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</si>
  <si>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</si>
  <si>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</si>
  <si>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</si>
  <si>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</si>
  <si>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</si>
  <si>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</si>
  <si>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</si>
  <si>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</si>
  <si>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</si>
  <si>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</si>
  <si>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</si>
  <si>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</si>
  <si>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</si>
  <si>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</si>
  <si>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</si>
  <si>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</si>
  <si>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</si>
  <si>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</si>
  <si>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</si>
  <si>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</si>
  <si>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</si>
  <si>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</si>
  <si>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</si>
  <si>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</si>
  <si>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</si>
  <si>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</si>
  <si>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</si>
  <si>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</si>
  <si>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</si>
  <si>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</si>
  <si>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</si>
  <si>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</si>
  <si>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</si>
  <si>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</si>
  <si>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</si>
  <si>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</si>
  <si>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</si>
  <si>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</si>
  <si>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</si>
  <si>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</si>
  <si>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</si>
  <si>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</si>
  <si>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</si>
  <si>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</si>
  <si>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</si>
  <si>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</si>
  <si>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</si>
  <si>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</si>
  <si>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</si>
  <si>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</si>
  <si>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</si>
  <si>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</si>
  <si>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</si>
  <si>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</si>
  <si>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</si>
  <si>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</si>
  <si>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</si>
  <si>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</si>
  <si>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</si>
  <si>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</si>
  <si>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</si>
  <si>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</si>
  <si>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</si>
  <si>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</si>
  <si>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</si>
  <si>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</si>
  <si>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</si>
  <si>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</si>
  <si>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</si>
  <si>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</si>
  <si>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</si>
  <si>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</si>
  <si>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</si>
  <si>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</si>
  <si>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</si>
  <si>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</si>
  <si>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</si>
  <si>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</si>
  <si>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</si>
  <si>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</si>
  <si>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</si>
  <si>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</si>
  <si>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</si>
  <si>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</si>
  <si>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</si>
  <si>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</si>
  <si>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</si>
  <si>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</si>
  <si>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</si>
  <si>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</si>
  <si>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</si>
  <si>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</si>
  <si>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</si>
  <si>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</si>
  <si>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</si>
  <si>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</si>
  <si>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</si>
  <si>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</si>
  <si>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</si>
  <si>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</si>
  <si>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</si>
  <si>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</si>
  <si>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</si>
  <si>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</si>
  <si>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</si>
  <si>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</si>
  <si>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</si>
  <si>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</si>
  <si>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</si>
  <si>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</si>
  <si>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</si>
  <si>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</si>
  <si>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</si>
  <si>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</si>
  <si>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</si>
  <si>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</si>
  <si>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</si>
  <si>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</si>
  <si>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</si>
  <si>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</si>
  <si>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</si>
  <si>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</si>
  <si>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</si>
  <si>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</si>
  <si>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</si>
  <si>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</si>
  <si>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</si>
  <si>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</si>
  <si>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</si>
  <si>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</si>
  <si>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</si>
  <si>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</si>
  <si>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</si>
  <si>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</si>
  <si>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</si>
  <si>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</si>
  <si>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</si>
  <si>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</si>
  <si>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</si>
  <si>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</si>
  <si>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</si>
  <si>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</si>
  <si>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</si>
  <si>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</si>
  <si>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</si>
  <si>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</si>
  <si>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</si>
  <si>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</si>
  <si>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</si>
  <si>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</si>
  <si>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</si>
  <si>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</si>
  <si>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</si>
  <si>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</si>
  <si>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</si>
  <si>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</si>
  <si>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</si>
  <si>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</si>
  <si>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</si>
  <si>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</si>
  <si>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</si>
  <si>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</si>
  <si>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</si>
  <si>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</si>
  <si>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</si>
  <si>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</si>
  <si>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</si>
  <si>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</si>
  <si>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</si>
  <si>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</si>
  <si>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</si>
  <si>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</si>
  <si>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</si>
  <si>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</si>
  <si>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</si>
  <si>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</si>
  <si>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</si>
  <si>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</si>
  <si>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</si>
  <si>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</si>
  <si>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</si>
  <si>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</si>
  <si>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</si>
  <si>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</si>
  <si>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</si>
  <si>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</si>
  <si>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</si>
  <si>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</si>
  <si>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</si>
  <si>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</si>
  <si>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</si>
  <si>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</si>
  <si>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</si>
  <si>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</si>
  <si>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</si>
  <si>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</si>
  <si>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</si>
  <si>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</si>
  <si>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</si>
  <si>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</si>
  <si>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</si>
  <si>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</si>
  <si>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</si>
  <si>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</si>
  <si>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</si>
  <si>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</si>
  <si>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</si>
  <si>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</si>
  <si>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</si>
  <si>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</si>
  <si>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</si>
  <si>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</si>
  <si>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</si>
  <si>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</si>
  <si>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</si>
  <si>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</si>
  <si>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</si>
  <si>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</si>
  <si>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</si>
  <si>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</si>
  <si>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</si>
  <si>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</si>
  <si>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</si>
  <si>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</si>
  <si>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</si>
  <si>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</si>
  <si>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</si>
  <si>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</si>
  <si>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</si>
  <si>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</si>
  <si>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</si>
  <si>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</si>
  <si>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</si>
  <si>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</si>
  <si>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</si>
  <si>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</si>
  <si>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</si>
  <si>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</si>
  <si>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</si>
  <si>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</si>
  <si>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</si>
  <si>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</si>
  <si>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</si>
  <si>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</si>
  <si>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</si>
  <si>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</si>
  <si>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</si>
  <si>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</si>
  <si>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</si>
  <si>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</si>
  <si>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</si>
  <si>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</si>
  <si>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</si>
  <si>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</si>
  <si>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</si>
  <si>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</si>
  <si>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</si>
  <si>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</si>
  <si>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</si>
  <si>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</si>
  <si>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</si>
  <si>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</si>
  <si>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</si>
  <si>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</si>
  <si>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</si>
  <si>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</si>
  <si>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</si>
  <si>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</si>
  <si>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</si>
  <si>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</si>
  <si>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</si>
  <si>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</si>
  <si>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</si>
  <si>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</si>
  <si>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</si>
  <si>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</si>
  <si>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</si>
  <si>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</si>
  <si>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</si>
  <si>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</si>
  <si>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</si>
  <si>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</si>
  <si>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</si>
  <si>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</si>
  <si>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</si>
  <si>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</si>
  <si>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</si>
  <si>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</si>
  <si>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</si>
  <si>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</si>
  <si>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</si>
  <si>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</si>
  <si>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</si>
  <si>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</si>
  <si>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</si>
  <si>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</si>
  <si>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</si>
  <si>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</si>
  <si>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</si>
  <si>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</si>
  <si>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</si>
  <si>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</si>
  <si>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</si>
  <si>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</si>
  <si>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</si>
  <si>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</si>
  <si>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</si>
  <si>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</si>
  <si>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</si>
  <si>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</si>
  <si>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</si>
  <si>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</si>
  <si>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</si>
  <si>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</si>
  <si>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</si>
  <si>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</si>
  <si>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</si>
  <si>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</si>
  <si>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</si>
  <si>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</si>
  <si>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</si>
  <si>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</si>
  <si>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</si>
  <si>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</si>
  <si>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</si>
  <si>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</si>
  <si>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</si>
  <si>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</si>
  <si>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</si>
  <si>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</si>
  <si>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</si>
  <si>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</si>
  <si>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</si>
  <si>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</si>
  <si>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</si>
  <si>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</si>
  <si>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</si>
  <si>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</si>
  <si>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</si>
  <si>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</si>
  <si>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</si>
  <si>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</si>
  <si>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</si>
  <si>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</si>
  <si>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</si>
  <si>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</si>
  <si>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</si>
  <si>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</si>
  <si>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</si>
  <si>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</si>
  <si>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</si>
  <si>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</si>
  <si>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</si>
  <si>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</si>
  <si>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</si>
  <si>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</si>
  <si>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</si>
  <si>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</si>
  <si>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</si>
  <si>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</si>
  <si>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</si>
  <si>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</si>
  <si>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</si>
  <si>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</si>
  <si>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</si>
  <si>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</si>
  <si>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</si>
  <si>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</si>
  <si>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</si>
  <si>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</si>
  <si>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</si>
  <si>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</si>
  <si>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</si>
  <si>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</si>
  <si>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</si>
  <si>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</si>
  <si>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</si>
  <si>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</si>
  <si>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</si>
  <si>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</si>
  <si>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</si>
  <si>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</si>
  <si>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</si>
  <si>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</si>
  <si>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</si>
  <si>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</si>
  <si>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</si>
  <si>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</si>
  <si>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</si>
  <si>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</si>
  <si>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</si>
  <si>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</si>
  <si>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</si>
  <si>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</si>
  <si>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</si>
  <si>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</si>
  <si>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</si>
  <si>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</si>
  <si>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</si>
  <si>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</si>
  <si>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</si>
  <si>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</si>
  <si>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</si>
  <si>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</si>
  <si>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</si>
  <si>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</si>
  <si>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</si>
  <si>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</si>
  <si>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</si>
  <si>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</si>
  <si>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</si>
  <si>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</si>
  <si>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</si>
  <si>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</si>
  <si>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</si>
  <si>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</si>
  <si>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</si>
  <si>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</si>
  <si>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</si>
  <si>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</si>
  <si>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</si>
  <si>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</si>
  <si>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</si>
  <si>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</si>
  <si>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</si>
  <si>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</si>
  <si>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</si>
  <si>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</si>
  <si>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</si>
  <si>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</si>
  <si>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</si>
  <si>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</si>
  <si>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</si>
  <si>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</si>
  <si>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</si>
  <si>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</si>
  <si>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</si>
  <si>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</si>
  <si>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</si>
  <si>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</si>
  <si>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</si>
  <si>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</si>
  <si>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</si>
  <si>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</si>
  <si>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</si>
  <si>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</si>
  <si>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</si>
  <si>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</si>
  <si>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</si>
  <si>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</si>
  <si>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</si>
  <si>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</si>
  <si>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</si>
  <si>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</si>
  <si>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</si>
  <si>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</si>
  <si>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</si>
  <si>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</si>
  <si>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</si>
  <si>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</si>
  <si>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</si>
  <si>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</si>
  <si>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</si>
  <si>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</si>
  <si>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</si>
  <si>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</si>
  <si>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</si>
  <si>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</si>
  <si>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</si>
  <si>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</si>
  <si>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</si>
  <si>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</si>
  <si>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</si>
  <si>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</si>
  <si>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</si>
  <si>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</si>
  <si>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</si>
  <si>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</si>
  <si>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</si>
  <si>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</si>
  <si>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</si>
  <si>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</si>
  <si>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</si>
  <si>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</si>
  <si>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</si>
  <si>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</si>
  <si>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</si>
  <si>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</si>
  <si>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</si>
  <si>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</si>
  <si>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</si>
  <si>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</si>
  <si>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</si>
  <si>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</si>
  <si>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</si>
  <si>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</si>
  <si>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</si>
  <si>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</si>
  <si>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</si>
  <si>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</si>
  <si>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</si>
  <si>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</si>
  <si>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</si>
  <si>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</si>
  <si>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</si>
  <si>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</si>
  <si>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</si>
  <si>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</si>
  <si>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</si>
  <si>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</si>
  <si>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</si>
  <si>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</si>
  <si>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</si>
  <si>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</si>
  <si>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</si>
  <si>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</si>
  <si>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</si>
  <si>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</si>
  <si>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</si>
  <si>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</si>
  <si>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</si>
  <si>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</si>
  <si>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</si>
  <si>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</si>
  <si>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</si>
  <si>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</si>
  <si>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</si>
  <si>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</si>
  <si>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</si>
  <si>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</si>
  <si>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</si>
  <si>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</si>
  <si>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</si>
  <si>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</si>
  <si>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</si>
  <si>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</si>
  <si>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</si>
  <si>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</si>
  <si>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</si>
  <si>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</si>
  <si>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</si>
  <si>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</si>
  <si>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</si>
  <si>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</si>
  <si>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</si>
  <si>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</si>
  <si>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</si>
  <si>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</si>
  <si>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</si>
  <si>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</si>
  <si>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</si>
  <si>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</si>
  <si>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</si>
  <si>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</si>
  <si>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</si>
  <si>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</si>
  <si>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</si>
  <si>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</si>
  <si>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</si>
  <si>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</si>
  <si>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</si>
  <si>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</si>
  <si>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</si>
  <si>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</si>
  <si>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</si>
  <si>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</si>
  <si>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</si>
  <si>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</si>
  <si>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</si>
  <si>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</si>
  <si>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</si>
  <si>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</si>
  <si>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</si>
  <si>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</si>
  <si>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</si>
  <si>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</si>
  <si>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</si>
  <si>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</si>
  <si>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</si>
  <si>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</si>
  <si>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</si>
  <si>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</si>
  <si>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</si>
  <si>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</si>
  <si>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</si>
  <si>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</si>
  <si>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</si>
  <si>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</si>
  <si>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</si>
  <si>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</si>
  <si>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</si>
  <si>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</si>
  <si>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</si>
  <si>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</si>
  <si>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</si>
  <si>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</si>
  <si>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</si>
  <si>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</si>
  <si>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</si>
  <si>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</si>
  <si>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</si>
  <si>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</si>
  <si>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</si>
  <si>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</si>
  <si>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</si>
  <si>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</si>
  <si>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</si>
  <si>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</si>
  <si>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</si>
  <si>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</si>
  <si>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</si>
  <si>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</si>
  <si>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</si>
  <si>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</si>
  <si>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</si>
  <si>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</si>
  <si>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</si>
  <si>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</si>
  <si>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</si>
  <si>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</si>
  <si>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</si>
  <si>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</si>
  <si>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</si>
  <si>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</si>
  <si>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</si>
  <si>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</si>
  <si>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</si>
  <si>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</si>
  <si>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</si>
  <si>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</si>
  <si>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</si>
  <si>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</si>
  <si>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</si>
  <si>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</si>
  <si>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</si>
  <si>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</si>
  <si>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</si>
  <si>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</si>
  <si>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</si>
  <si>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</si>
  <si>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</si>
  <si>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</si>
  <si>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</si>
  <si>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</si>
  <si>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王鹏</t>
  </si>
  <si>
    <t>抵押</t>
  </si>
  <si>
    <t>房地产抵押价值</t>
  </si>
  <si>
    <t>中信信托有限责任公司</t>
    <phoneticPr fontId="6" type="noConversion"/>
  </si>
  <si>
    <t>南京东浩胶粉有限公司</t>
    <phoneticPr fontId="6" type="noConversion"/>
  </si>
  <si>
    <t>其他：</t>
  </si>
  <si>
    <t>江苏省南京市</t>
    <phoneticPr fontId="6" type="noConversion"/>
  </si>
  <si>
    <t>溧水区经济开发区驿府街68号</t>
    <phoneticPr fontId="6" type="noConversion"/>
  </si>
  <si>
    <t>企业</t>
  </si>
  <si>
    <t>出让</t>
  </si>
  <si>
    <t>否</t>
  </si>
  <si>
    <t>《不动产权证书》</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</si>
  <si>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2017</t>
    </r>
    <r>
      <rPr>
        <sz val="12"/>
        <color theme="9" tint="-0.249977111117893"/>
        <rFont val="宋体"/>
        <family val="3"/>
        <charset val="134"/>
      </rPr>
      <t>）宁溧不动产权第</t>
    </r>
    <r>
      <rPr>
        <sz val="12"/>
        <color theme="9" tint="-0.249977111117893"/>
        <rFont val="Arial"/>
        <family val="2"/>
      </rPr>
      <t>0024334</t>
    </r>
    <r>
      <rPr>
        <sz val="12"/>
        <color theme="9" tint="-0.249977111117893"/>
        <rFont val="宋体"/>
        <family val="3"/>
        <charset val="134"/>
      </rPr>
      <t>号</t>
    </r>
    <r>
      <rPr>
        <sz val="12"/>
        <color theme="9" tint="-0.249977111117893"/>
        <rFont val="Arial"/>
        <family val="2"/>
      </rPr>
      <t>]</t>
    </r>
    <phoneticPr fontId="6" type="noConversion"/>
  </si>
  <si>
    <t>通路</t>
  </si>
  <si>
    <t>通电</t>
  </si>
  <si>
    <t>通讯</t>
  </si>
  <si>
    <t>通上水</t>
  </si>
  <si>
    <t>通下水</t>
  </si>
  <si>
    <t>现房</t>
  </si>
  <si>
    <t>办公项目</t>
  </si>
  <si>
    <r>
      <t>2</t>
    </r>
    <r>
      <rPr>
        <sz val="10"/>
        <color indexed="8"/>
        <rFont val="宋体"/>
        <family val="3"/>
        <charset val="134"/>
      </rPr>
      <t>幢</t>
    </r>
    <phoneticPr fontId="3" type="noConversion"/>
  </si>
  <si>
    <r>
      <t>12</t>
    </r>
    <r>
      <rPr>
        <sz val="10"/>
        <color indexed="8"/>
        <rFont val="宋体"/>
        <family val="3"/>
        <charset val="134"/>
      </rPr>
      <t>幢</t>
    </r>
    <phoneticPr fontId="3" type="noConversion"/>
  </si>
  <si>
    <r>
      <t>13</t>
    </r>
    <r>
      <rPr>
        <sz val="10"/>
        <color indexed="8"/>
        <rFont val="宋体"/>
        <family val="3"/>
        <charset val="134"/>
      </rPr>
      <t>幢</t>
    </r>
    <phoneticPr fontId="3" type="noConversion"/>
  </si>
  <si>
    <t>是</t>
  </si>
  <si>
    <t>地上</t>
  </si>
  <si>
    <t>办公楼</t>
  </si>
  <si>
    <t>成新度</t>
  </si>
  <si>
    <t>砖混</t>
  </si>
  <si>
    <t>非生产用房</t>
  </si>
  <si>
    <t>2幢（办公）</t>
  </si>
  <si>
    <t>2幢（办公）</t>
    <phoneticPr fontId="7" type="noConversion"/>
  </si>
  <si>
    <r>
      <t>12</t>
    </r>
    <r>
      <rPr>
        <sz val="10"/>
        <color indexed="8"/>
        <rFont val="宋体"/>
        <family val="3"/>
        <charset val="134"/>
      </rPr>
      <t>幢（综合楼）</t>
    </r>
    <phoneticPr fontId="7" type="noConversion"/>
  </si>
  <si>
    <r>
      <t>13</t>
    </r>
    <r>
      <rPr>
        <sz val="10"/>
        <color indexed="8"/>
        <rFont val="宋体"/>
        <family val="3"/>
        <charset val="134"/>
      </rPr>
      <t>幢（综合楼）</t>
    </r>
    <phoneticPr fontId="7" type="noConversion"/>
  </si>
  <si>
    <t>12幢（综合楼）</t>
  </si>
  <si>
    <t>13幢（综合楼）</t>
  </si>
  <si>
    <t>收益法（2幢）</t>
  </si>
  <si>
    <t>收益法（12幢）</t>
  </si>
  <si>
    <t>收益法（13幢）</t>
  </si>
  <si>
    <t>钢混</t>
  </si>
  <si>
    <t>成本法</t>
  </si>
  <si>
    <t>收益法（汇总）</t>
  </si>
  <si>
    <t>项目全部</t>
  </si>
  <si>
    <t>请录依据文件名称：http://www.nanjing.gov.cn/xxgk/szf/201603/t20160310_3814123.html  市政府关于印发《南京市城市基础设施配套费征收管理办法》 宁政规字〔2016〕5号的通知</t>
    <phoneticPr fontId="3" type="noConversion"/>
  </si>
  <si>
    <t>其他省市请录依据文件名称：http://nj.jsds.gov.cn/art/2017/6/30/art_11158_453876.html  南京市城镇土地使用税税率表</t>
    <phoneticPr fontId="3" type="noConversion"/>
  </si>
  <si>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</si>
  <si>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</si>
  <si>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</si>
  <si>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</si>
  <si>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</si>
  <si>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</si>
  <si>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</si>
  <si>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</si>
  <si>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</si>
  <si>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</si>
  <si>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</si>
  <si>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</si>
  <si>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</si>
  <si>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</si>
  <si>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永阳街道S246以东、幸庄路以南地块</t>
  </si>
  <si>
    <t>南京市</t>
  </si>
  <si>
    <t>商业/办公用地</t>
  </si>
  <si>
    <t>挂牌</t>
  </si>
  <si>
    <t>Bb商办混合用地</t>
  </si>
  <si>
    <t>≤2.0</t>
  </si>
  <si>
    <t>2017-09-19</t>
  </si>
  <si>
    <t>江苏辛庄建设发展集团有限公司</t>
  </si>
  <si>
    <t>40年</t>
  </si>
  <si>
    <t>溧水区永阳街道宝塔寺文化休闲中心街区地块</t>
  </si>
  <si>
    <t>商业用地</t>
  </si>
  <si>
    <t>≤1.2</t>
  </si>
  <si>
    <t>2017-09-11</t>
  </si>
  <si>
    <t>南京溧水商贸旅游集团有限公司</t>
  </si>
  <si>
    <t>溧水区白马镇店上村</t>
  </si>
  <si>
    <t>商业、其他商服用地</t>
  </si>
  <si>
    <t>容积率≤1.20</t>
  </si>
  <si>
    <t>2017-06-26</t>
  </si>
  <si>
    <t>南京恩瑞文化发展有限公司</t>
  </si>
  <si>
    <t>东至陶村;西至经三路;南至晶盈路;北至纬三路</t>
  </si>
  <si>
    <t>1≤容积率≤1.10</t>
  </si>
  <si>
    <t>2017-05-12</t>
  </si>
  <si>
    <t>南京天泉建筑安装工程有限公司</t>
  </si>
  <si>
    <t>东至空地;西至空地;南至道路;北至迪通4S店</t>
  </si>
  <si>
    <t>1≤容积率≤1.20</t>
  </si>
  <si>
    <t>2017-02-23</t>
  </si>
  <si>
    <t>江苏日德汽车销售服务有限公司</t>
  </si>
  <si>
    <t>商住、中低价位、中小套型普通商品住房用地</t>
  </si>
  <si>
    <t>1＜容积率≤1.80</t>
  </si>
  <si>
    <t>南京远拓房地产开发有限公司</t>
  </si>
  <si>
    <t>东至空地;西至空地;南至城西干道;北至区间路</t>
  </si>
  <si>
    <t>南京托马斯汽车销售服务有限公司</t>
  </si>
  <si>
    <t>机场路以北、123省道两侧C</t>
  </si>
  <si>
    <t>2.0＜容≤3.0</t>
  </si>
  <si>
    <t>2017-02-07</t>
  </si>
  <si>
    <t>上海红星美凯龙美龙置业有限公司</t>
  </si>
  <si>
    <t>容积率≤1.50</t>
  </si>
  <si>
    <t>2017-01-04</t>
  </si>
  <si>
    <t>南京天利置业有限公司</t>
  </si>
  <si>
    <t>宁溧公路西侧、创业路以东、纬一路以南、规划路以北</t>
  </si>
  <si>
    <t>商办混合用地</t>
  </si>
  <si>
    <t>1.0≤容积率≤1.5</t>
  </si>
  <si>
    <t>2016-12-29</t>
  </si>
  <si>
    <t>南京鼎达建设发展有限公司</t>
  </si>
  <si>
    <t>商业40年</t>
  </si>
  <si>
    <t>宁溧公路以西、41号路以北</t>
  </si>
  <si>
    <t>1.0＜容积率≤2.5</t>
  </si>
  <si>
    <t>2016-12-27</t>
  </si>
  <si>
    <t>无锡幸福基业房地产开发有限公司</t>
  </si>
  <si>
    <t>溧水区石湫镇宁高新通道以西、茅山西路以南F</t>
  </si>
  <si>
    <t>零售商业用地</t>
  </si>
  <si>
    <t>2016-10-25</t>
  </si>
  <si>
    <t>南京市高淳区碧桂园房地产开发有限公司</t>
  </si>
  <si>
    <t>≤2.2</t>
  </si>
  <si>
    <t>2016-10-20</t>
  </si>
  <si>
    <t>溧水区石湫镇243省道西侧、溧塘水库南侧</t>
  </si>
  <si>
    <t>商务办公用地</t>
  </si>
  <si>
    <t>容积率≤1.5</t>
  </si>
  <si>
    <t>2016-09-20</t>
  </si>
  <si>
    <t>江苏广电石湫影视基地有限公司</t>
  </si>
  <si>
    <t>容积率≤1.0</t>
  </si>
  <si>
    <t>容积率≤1.2</t>
  </si>
  <si>
    <t>东至空地、西至空地、南至空地、北至空地</t>
  </si>
  <si>
    <t>商业、住宿餐饮用地</t>
  </si>
  <si>
    <t>≤1</t>
  </si>
  <si>
    <t>2016-09-15</t>
  </si>
  <si>
    <t>≤1.50</t>
  </si>
  <si>
    <t>2016-09-13</t>
  </si>
  <si>
    <t>商业、批发零售用地</t>
  </si>
  <si>
    <t>≤0.80</t>
  </si>
  <si>
    <t>开发区41号路以北、宁溧公路以西</t>
  </si>
  <si>
    <t>容积率≤2.5</t>
  </si>
  <si>
    <t>2016-08-23</t>
  </si>
  <si>
    <t>南京云海特种金属股份有限公司</t>
  </si>
  <si>
    <t>1.0＜far≤2.5</t>
  </si>
  <si>
    <t>2016-01-15</t>
  </si>
  <si>
    <t>南京溧水城市建设集团有限公司</t>
  </si>
  <si>
    <t>永阳镇幸庄路以南、致远路以西</t>
  </si>
  <si>
    <t>1.0＜far≤4.0</t>
  </si>
  <si>
    <t>开发区城北二号路以南、城西干道东</t>
  </si>
  <si>
    <t>1.0＜容积率≤2.0</t>
  </si>
  <si>
    <t>2016-01-06</t>
  </si>
  <si>
    <t>南京润华物流有限公司</t>
  </si>
  <si>
    <t>开发区秦淮大道以西、红光东路以北</t>
  </si>
  <si>
    <t>1.0＜容积率≤3.5</t>
  </si>
  <si>
    <t>南京西普水泥工程集团有限公司</t>
  </si>
  <si>
    <t>旅馆用地</t>
  </si>
  <si>
    <t>2015-12-11</t>
  </si>
  <si>
    <t>溧水经济技术开发总公司</t>
  </si>
  <si>
    <t>1.0＜容积率≤3.0</t>
  </si>
  <si>
    <t>2015-11-26</t>
  </si>
  <si>
    <t>南京尊瑞建设发展有限公司</t>
  </si>
  <si>
    <t>商业用地(汽车市场)</t>
  </si>
  <si>
    <t>2015-11-17</t>
  </si>
  <si>
    <t>南京华迈达汽车服务有限公司</t>
  </si>
  <si>
    <t>容积率≤3.0</t>
  </si>
  <si>
    <t>溧水县苏众汽车城</t>
  </si>
  <si>
    <t>≤1.0</t>
  </si>
  <si>
    <t>2015-09-18</t>
  </si>
  <si>
    <t>南京周园文化旅游发展有限公司</t>
  </si>
  <si>
    <t>随园路东、幸源路北</t>
  </si>
  <si>
    <t>≤2.5</t>
  </si>
  <si>
    <t>南京奕城置业有限公司</t>
  </si>
  <si>
    <t>天生桥大道以北</t>
  </si>
  <si>
    <t>文体娱乐用地</t>
  </si>
  <si>
    <t>＜1.0</t>
  </si>
  <si>
    <t>2015-03-09</t>
  </si>
  <si>
    <t>南京溧水文化旅游集团有限公司</t>
  </si>
  <si>
    <t>1.0＜容积率≤1.5</t>
  </si>
  <si>
    <t>晶桥镇经十五路以东、纬十四路以北</t>
  </si>
  <si>
    <t>其他商服用地</t>
  </si>
  <si>
    <t>2015-02-13</t>
  </si>
  <si>
    <t>南京高飞建设有限公司</t>
  </si>
  <si>
    <t>晶桥镇经十五路以东、纬九路以南</t>
  </si>
  <si>
    <t>246省道以东、幸庄路以南</t>
  </si>
  <si>
    <t>南京世伟泰电子科技有限公司</t>
  </si>
  <si>
    <t>晶桥镇经十六路以东、纬十三路以北</t>
  </si>
  <si>
    <t>城北二号路以南</t>
  </si>
  <si>
    <t>1.0＜容积率≤2.1</t>
  </si>
  <si>
    <t>2014-11-26</t>
  </si>
  <si>
    <t>南京市盛金置业工程有限公司</t>
  </si>
  <si>
    <t>青年东路以南</t>
    <phoneticPr fontId="143" type="noConversion"/>
  </si>
  <si>
    <t>开发区群力路以西、宁溧公路以东</t>
    <phoneticPr fontId="143" type="noConversion"/>
  </si>
  <si>
    <t>栖凤路东、秀园西路南</t>
    <phoneticPr fontId="143" type="noConversion"/>
  </si>
  <si>
    <t>白马镇周园以东</t>
    <phoneticPr fontId="143" type="noConversion"/>
  </si>
  <si>
    <t>天生桥大道以北</t>
    <phoneticPr fontId="143" type="noConversion"/>
  </si>
  <si>
    <t>常溧路以南、水保路以东</t>
    <phoneticPr fontId="143" type="noConversion"/>
  </si>
  <si>
    <t>永阳镇体育公园路以北、致远路以东</t>
    <phoneticPr fontId="143" type="noConversion"/>
  </si>
  <si>
    <t>正常</t>
  </si>
  <si>
    <t>商务办公用地</t>
    <phoneticPr fontId="31" type="noConversion"/>
  </si>
  <si>
    <r>
      <rPr>
        <sz val="10"/>
        <rFont val="宋体"/>
        <family val="3"/>
        <charset val="134"/>
      </rPr>
      <t>东至空地</t>
    </r>
    <r>
      <rPr>
        <sz val="10"/>
        <rFont val="Arial"/>
        <family val="2"/>
      </rPr>
      <t>*;</t>
    </r>
    <r>
      <rPr>
        <sz val="10"/>
        <rFont val="宋体"/>
        <family val="3"/>
        <charset val="134"/>
      </rPr>
      <t>西至薛李东路</t>
    </r>
    <r>
      <rPr>
        <sz val="10"/>
        <rFont val="Arial"/>
        <family val="2"/>
      </rPr>
      <t>;</t>
    </r>
    <r>
      <rPr>
        <sz val="10"/>
        <rFont val="宋体"/>
        <family val="3"/>
        <charset val="134"/>
      </rPr>
      <t>南至天利广场</t>
    </r>
    <r>
      <rPr>
        <sz val="10"/>
        <rFont val="Arial"/>
        <family val="2"/>
      </rPr>
      <t>;</t>
    </r>
    <r>
      <rPr>
        <sz val="10"/>
        <rFont val="宋体"/>
        <family val="3"/>
        <charset val="134"/>
      </rPr>
      <t>北至常溧路</t>
    </r>
    <phoneticPr fontId="143" type="noConversion"/>
  </si>
  <si>
    <t>40</t>
    <phoneticPr fontId="31" type="noConversion"/>
  </si>
  <si>
    <t>溧水经济技术开发总公司</t>
    <phoneticPr fontId="143" type="noConversion"/>
  </si>
  <si>
    <t>滨湖东路以西、徐母路北</t>
    <phoneticPr fontId="143" type="noConversion"/>
  </si>
  <si>
    <t>规则</t>
    <phoneticPr fontId="31" type="noConversion"/>
  </si>
  <si>
    <t>较规则</t>
  </si>
  <si>
    <t>较规则</t>
    <phoneticPr fontId="31" type="noConversion"/>
  </si>
  <si>
    <t>五通</t>
  </si>
  <si>
    <t>五通</t>
    <phoneticPr fontId="31" type="noConversion"/>
  </si>
  <si>
    <t>较好</t>
  </si>
  <si>
    <t>较好</t>
    <phoneticPr fontId="31" type="noConversion"/>
  </si>
  <si>
    <t>是</t>
    <phoneticPr fontId="31" type="noConversion"/>
  </si>
  <si>
    <t>否</t>
    <phoneticPr fontId="31" type="noConversion"/>
  </si>
  <si>
    <t>是</t>
    <phoneticPr fontId="31" type="noConversion"/>
  </si>
  <si>
    <t>未包含在土地购买价格中</t>
  </si>
  <si>
    <t>已包含在土地取得成本中</t>
  </si>
  <si>
    <t>较差</t>
  </si>
  <si>
    <t>一般</t>
  </si>
  <si>
    <t>六通</t>
  </si>
  <si>
    <t>次干道</t>
    <phoneticPr fontId="31" type="noConversion"/>
  </si>
  <si>
    <t>支路</t>
  </si>
  <si>
    <t>支路</t>
    <phoneticPr fontId="31" type="noConversion"/>
  </si>
  <si>
    <t>主干道</t>
    <phoneticPr fontId="31" type="noConversion"/>
  </si>
  <si>
    <r>
      <rPr>
        <sz val="10"/>
        <rFont val="宋体"/>
        <family val="3"/>
        <charset val="134"/>
      </rPr>
      <t>东至空地</t>
    </r>
    <r>
      <rPr>
        <sz val="10"/>
        <rFont val="Arial"/>
        <family val="2"/>
      </rPr>
      <t>;</t>
    </r>
    <r>
      <rPr>
        <sz val="10"/>
        <rFont val="宋体"/>
        <family val="3"/>
        <charset val="134"/>
      </rPr>
      <t>西至空地</t>
    </r>
    <r>
      <rPr>
        <sz val="10"/>
        <rFont val="Arial"/>
        <family val="2"/>
      </rPr>
      <t>;</t>
    </r>
    <r>
      <rPr>
        <sz val="10"/>
        <rFont val="宋体"/>
        <family val="3"/>
        <charset val="134"/>
      </rPr>
      <t>南至道路</t>
    </r>
    <r>
      <rPr>
        <sz val="10"/>
        <rFont val="Arial"/>
        <family val="2"/>
      </rPr>
      <t>;</t>
    </r>
    <r>
      <rPr>
        <sz val="10"/>
        <rFont val="宋体"/>
        <family val="3"/>
        <charset val="134"/>
      </rPr>
      <t>北至迪通</t>
    </r>
    <r>
      <rPr>
        <sz val="10"/>
        <rFont val="Arial"/>
        <family val="2"/>
      </rPr>
      <t>4S</t>
    </r>
    <r>
      <rPr>
        <sz val="10"/>
        <rFont val="宋体"/>
        <family val="3"/>
        <charset val="134"/>
      </rPr>
      <t>店</t>
    </r>
    <phoneticPr fontId="143" type="noConversion"/>
  </si>
  <si>
    <t>晶桥镇经十六路以东、纬九路以南</t>
    <phoneticPr fontId="143" type="noConversion"/>
  </si>
  <si>
    <t>大连万达商业地产股份有限公司</t>
    <phoneticPr fontId="143" type="noConversion"/>
  </si>
  <si>
    <r>
      <rPr>
        <sz val="10"/>
        <rFont val="宋体"/>
        <family val="3"/>
        <charset val="134"/>
      </rPr>
      <t>南京市溧水区城南新区</t>
    </r>
    <r>
      <rPr>
        <sz val="10"/>
        <rFont val="Arial"/>
        <family val="2"/>
      </rPr>
      <t>D</t>
    </r>
    <phoneticPr fontId="143" type="noConversion"/>
  </si>
  <si>
    <t>随园路东、幸源路北</t>
    <phoneticPr fontId="143" type="noConversion"/>
  </si>
  <si>
    <r>
      <rPr>
        <sz val="10"/>
        <rFont val="宋体"/>
        <family val="3"/>
        <charset val="134"/>
      </rPr>
      <t>楼面价</t>
    </r>
    <phoneticPr fontId="143" type="noConversion"/>
  </si>
  <si>
    <r>
      <rPr>
        <sz val="10"/>
        <rFont val="宋体"/>
        <family val="3"/>
        <charset val="134"/>
      </rPr>
      <t>地面价</t>
    </r>
    <phoneticPr fontId="143" type="noConversion"/>
  </si>
  <si>
    <t>单位面积地价</t>
  </si>
  <si>
    <t>南京奕城置业有限公司</t>
    <phoneticPr fontId="143" type="noConversion"/>
  </si>
  <si>
    <t>http://www.sohu.com/a/122390080_350010</t>
    <phoneticPr fontId="143" type="noConversion"/>
  </si>
  <si>
    <r>
      <t>25.52</t>
    </r>
    <r>
      <rPr>
        <sz val="11"/>
        <color indexed="8"/>
        <rFont val="宋体"/>
        <family val="3"/>
        <charset val="134"/>
      </rPr>
      <t>年</t>
    </r>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</si>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</sst>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6"/>
        <bgColor indexed="64"/>
      </patternFill>
    </fill>
    <fill>
      <patternFill patternType="solid">
        <fgColor rgb="FF00B05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56" fillId="0" borderId="0"/>
    <xf numFmtId="0" fontId="255" fillId="0" borderId="0" applyNumberFormat="0" applyFill="0" applyBorder="0" applyAlignment="0" applyProtection="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20" fillId="7" borderId="24" xfId="0" applyFont="1" applyFill="1" applyBorder="1" applyAlignment="1" applyProtection="1">
      <alignment horizontal="center" vertical="center"/>
      <protection locked="0"/>
    </xf>
    <xf numFmtId="0" fontId="122" fillId="6" borderId="0" xfId="0" applyFont="1" applyFill="1" applyAlignment="1" applyProtection="1">
      <alignment horizontal="left" vertical="center"/>
      <protection locked="0"/>
    </xf>
    <xf numFmtId="10" fontId="106" fillId="0" borderId="53" xfId="0" applyNumberFormat="1" applyFont="1" applyFill="1" applyBorder="1" applyAlignment="1" applyProtection="1">
      <alignment horizontal="center" vertical="center"/>
      <protection locked="0"/>
    </xf>
    <xf numFmtId="0" fontId="244" fillId="6" borderId="0" xfId="0" applyFont="1" applyFill="1" applyAlignment="1" applyProtection="1">
      <alignment vertical="center"/>
      <protection locked="0"/>
    </xf>
    <xf numFmtId="0" fontId="56" fillId="0" borderId="0" xfId="13"/>
    <xf numFmtId="0" fontId="56" fillId="0" borderId="0" xfId="13" applyFill="1"/>
    <xf numFmtId="0" fontId="0" fillId="0" borderId="0" xfId="0" applyFill="1">
      <alignment vertical="center"/>
    </xf>
    <xf numFmtId="0" fontId="19" fillId="0" borderId="0" xfId="13" applyFo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9" fillId="0" borderId="0" xfId="13" applyFont="1" applyFill="1"/>
    <xf numFmtId="0" fontId="56" fillId="16" borderId="0" xfId="13" applyFill="1"/>
    <xf numFmtId="0" fontId="0" fillId="16" borderId="0" xfId="0" applyFill="1">
      <alignment vertical="center"/>
    </xf>
    <xf numFmtId="0" fontId="56" fillId="17" borderId="0" xfId="13" applyFill="1"/>
    <xf numFmtId="0" fontId="0" fillId="17" borderId="0" xfId="0" applyFill="1">
      <alignment vertical="center"/>
    </xf>
    <xf numFmtId="0" fontId="19" fillId="17" borderId="0" xfId="13" applyFont="1" applyFill="1"/>
    <xf numFmtId="0" fontId="19" fillId="18" borderId="0" xfId="13" applyFont="1" applyFill="1"/>
    <xf numFmtId="0" fontId="56" fillId="18" borderId="0" xfId="13" applyFill="1"/>
    <xf numFmtId="0" fontId="0" fillId="18" borderId="0" xfId="0" applyFill="1">
      <alignment vertical="center"/>
    </xf>
    <xf numFmtId="0" fontId="106" fillId="0" borderId="23" xfId="0" applyNumberFormat="1" applyFont="1" applyFill="1" applyBorder="1" applyAlignment="1" applyProtection="1">
      <alignment horizontal="center" vertical="center" wrapText="1"/>
      <protection locked="0"/>
    </xf>
    <xf numFmtId="0" fontId="255" fillId="0" borderId="0" xfId="14" applyFill="1">
      <alignment vertical="center"/>
    </xf>
    <xf numFmtId="177" fontId="140" fillId="5" borderId="1" xfId="1" applyNumberFormat="1" applyFont="1" applyFill="1" applyBorder="1" applyAlignment="1" applyProtection="1">
      <alignment horizontal="center" vertical="center"/>
      <protection locked="0"/>
    </xf>
    <xf numFmtId="177" fontId="148" fillId="5" borderId="1" xfId="1" applyNumberFormat="1" applyFont="1" applyFill="1" applyBorder="1" applyAlignment="1" applyProtection="1">
      <alignment horizontal="center" vertical="center"/>
      <protection locked="0"/>
    </xf>
    <xf numFmtId="177" fontId="148" fillId="5" borderId="23" xfId="1" applyNumberFormat="1" applyFont="1" applyFill="1" applyBorder="1" applyAlignment="1" applyProtection="1">
      <alignment horizontal="center" vertical="center"/>
    </xf>
    <xf numFmtId="9" fontId="108" fillId="19" borderId="5"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4" builtinId="8"/>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102375</xdr:rowOff>
    </xdr:from>
    <xdr:to>
      <xdr:col>12</xdr:col>
      <xdr:colOff>458696</xdr:colOff>
      <xdr:row>73</xdr:row>
      <xdr:rowOff>159525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902975"/>
          <a:ext cx="8688296" cy="7772400"/>
        </a:xfrm>
        <a:prstGeom prst="rect">
          <a:avLst/>
        </a:prstGeom>
      </xdr:spPr>
    </xdr:pic>
    <xdr:clientData/>
  </xdr:twoCellAnchor>
  <xdr:twoCellAnchor editAs="oneCell">
    <xdr:from>
      <xdr:col>0</xdr:col>
      <xdr:colOff>0</xdr:colOff>
      <xdr:row>75</xdr:row>
      <xdr:rowOff>0</xdr:rowOff>
    </xdr:from>
    <xdr:to>
      <xdr:col>12</xdr:col>
      <xdr:colOff>458696</xdr:colOff>
      <xdr:row>120</xdr:row>
      <xdr:rowOff>57150</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858750"/>
          <a:ext cx="8688296" cy="7772400"/>
        </a:xfrm>
        <a:prstGeom prst="rect">
          <a:avLst/>
        </a:prstGeom>
      </xdr:spPr>
    </xdr:pic>
    <xdr:clientData/>
  </xdr:twoCellAnchor>
  <xdr:twoCellAnchor editAs="oneCell">
    <xdr:from>
      <xdr:col>0</xdr:col>
      <xdr:colOff>0</xdr:colOff>
      <xdr:row>120</xdr:row>
      <xdr:rowOff>169050</xdr:rowOff>
    </xdr:from>
    <xdr:to>
      <xdr:col>14</xdr:col>
      <xdr:colOff>457200</xdr:colOff>
      <xdr:row>151</xdr:row>
      <xdr:rowOff>15841</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0743050"/>
          <a:ext cx="10058400" cy="5161741"/>
        </a:xfrm>
        <a:prstGeom prst="rect">
          <a:avLst/>
        </a:prstGeom>
      </xdr:spPr>
    </xdr:pic>
    <xdr:clientData/>
  </xdr:twoCellAnchor>
  <xdr:twoCellAnchor editAs="oneCell">
    <xdr:from>
      <xdr:col>0</xdr:col>
      <xdr:colOff>0</xdr:colOff>
      <xdr:row>0</xdr:row>
      <xdr:rowOff>0</xdr:rowOff>
    </xdr:from>
    <xdr:to>
      <xdr:col>11</xdr:col>
      <xdr:colOff>190500</xdr:colOff>
      <xdr:row>27</xdr:row>
      <xdr:rowOff>38100</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7734300" cy="46672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hyperlink" Target="http://www.sohu.com/a/122390080_350010"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江苏省南京市溧水区经济开发区驿府街68号房地产抵押价值预评估</v>
      </c>
    </row>
    <row r="3" spans="1:2" s="1592" customFormat="1">
      <c r="A3" s="1590" t="s">
        <v>1222</v>
      </c>
      <c r="B3" s="1591">
        <f>'预评函-封皮'!B40</f>
        <v>0</v>
      </c>
    </row>
    <row r="4" spans="1:2" s="1592" customFormat="1">
      <c r="A4" s="1590" t="s">
        <v>1223</v>
      </c>
      <c r="B4" s="1591" t="str">
        <f ca="1">'预评函-封皮'!B46</f>
        <v>郑燚（注册号：1120070131)、王鹏（注册号：1120050019)</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受贵公司委托，我公司对江苏省南京市溧水区经济开发区驿府街68号房地产抵押价值进行了预评估。</v>
      </c>
    </row>
    <row r="7" spans="1:2" s="1592" customFormat="1">
      <c r="A7" s="1590" t="s">
        <v>1265</v>
      </c>
      <c r="B7" s="1591" t="str">
        <f>'预评函-1'!A7</f>
        <v>估价对象为江苏省南京市溧水区经济开发区驿府街68号房地产，为南京东浩胶粉有限公司所有。根据，估价对象（分摊）出让国有建设用地使用权面积为12572.36平方米，建筑面积为26215.04平方米。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江苏省南京市溧水区经济开发区驿府街68号房地产,为南京东浩胶粉有限公司开发建设的办公项目，该项目尚在开发建设中。根据，估价对象（分摊）出让国有建设用地使用权面积为12572.36平方米，规划建筑面积为26215.04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为估价委托人在向中信信托有限责任公司办理贷款手续过程中，确定房地产抵押贷款额度提供参考依据而评估房地产抵押价值。</v>
      </c>
    </row>
    <row r="12" spans="1:2" s="1592" customFormat="1">
      <c r="A12" s="1590" t="s">
        <v>1227</v>
      </c>
      <c r="B12" s="1591" t="str">
        <f>'预评函-1'!A15</f>
        <v>2017年12月7日（评估专业人员实地查勘之日）</v>
      </c>
    </row>
    <row r="13" spans="1:2" s="1592" customFormat="1">
      <c r="A13" s="1590" t="s">
        <v>1228</v>
      </c>
      <c r="B13" s="1591" t="str">
        <f>'预评函-1'!A18</f>
        <v>本次估价的“房地产价值”是指在正常市场情况下，在价值时点2017年12月7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15037</v>
      </c>
    </row>
    <row r="21" spans="1:2" s="1592" customFormat="1">
      <c r="A21" s="1590" t="s">
        <v>1236</v>
      </c>
      <c r="B21" s="1591">
        <f ca="1">'预评函-2'!D7</f>
        <v>5736</v>
      </c>
    </row>
    <row r="22" spans="1:2" s="1592" customFormat="1">
      <c r="A22" s="1590" t="s">
        <v>1237</v>
      </c>
      <c r="B22" s="1591" t="str">
        <f ca="1">'预评函-2'!D6</f>
        <v>壹亿伍仟零叁拾柒万元整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15037</v>
      </c>
    </row>
    <row r="31" spans="1:2" s="1592" customFormat="1">
      <c r="A31" s="1590" t="s">
        <v>1275</v>
      </c>
      <c r="B31" s="1591">
        <f ca="1">'预评函-2'!D15</f>
        <v>5736</v>
      </c>
    </row>
    <row r="32" spans="1:2" s="1592" customFormat="1">
      <c r="A32" s="1590" t="s">
        <v>1242</v>
      </c>
      <c r="B32" s="1591" t="str">
        <f ca="1">'预评函-2'!D14</f>
        <v>壹亿伍仟零叁拾柒万元整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江苏省南京市溧水区经济开发区驿府街68号房地产</v>
      </c>
    </row>
    <row r="42" spans="1:2" s="1592" customFormat="1">
      <c r="A42" s="1590" t="s">
        <v>1289</v>
      </c>
      <c r="B42" s="1591" t="str">
        <f>'预评函-3'!B2</f>
        <v>建筑面积</v>
      </c>
    </row>
    <row r="43" spans="1:2" s="1592" customFormat="1">
      <c r="A43" s="1590" t="s">
        <v>1290</v>
      </c>
      <c r="B43" s="1591">
        <f>'预评函-3'!B4</f>
        <v>26215.040000000001</v>
      </c>
    </row>
    <row r="44" spans="1:2" s="1592" customFormat="1">
      <c r="A44" s="1590" t="s">
        <v>1274</v>
      </c>
      <c r="B44" s="1591" t="str">
        <f>'预评函-3'!C2</f>
        <v>(分摊)土地面积</v>
      </c>
    </row>
    <row r="45" spans="1:2" s="1592" customFormat="1">
      <c r="A45" s="1590" t="s">
        <v>1246</v>
      </c>
      <c r="B45" s="1591">
        <f>'预评函-3'!C4</f>
        <v>12572.36</v>
      </c>
    </row>
    <row r="46" spans="1:2" s="1592" customFormat="1">
      <c r="A46" s="1590" t="s">
        <v>1272</v>
      </c>
      <c r="B46" s="1591" t="str">
        <f>'预评函-3'!D2</f>
        <v>出让国有建设用地使用权价值</v>
      </c>
    </row>
    <row r="47" spans="1:2" s="1592" customFormat="1">
      <c r="A47" s="1590" t="s">
        <v>1247</v>
      </c>
      <c r="B47" s="1591">
        <f ca="1">'预评函-3'!D4</f>
        <v>4195</v>
      </c>
    </row>
    <row r="48" spans="1:2" s="1592" customFormat="1">
      <c r="A48" s="1590" t="s">
        <v>1248</v>
      </c>
      <c r="B48" s="1591">
        <f ca="1">'预评函-3'!E4</f>
        <v>1600</v>
      </c>
    </row>
    <row r="49" spans="1:2" s="1592" customFormat="1">
      <c r="A49" s="1590" t="s">
        <v>1249</v>
      </c>
      <c r="B49" s="1591" t="str">
        <f ca="1">'预评函-3'!D5</f>
        <v>肆仟壹佰玖拾伍万元整</v>
      </c>
    </row>
    <row r="50" spans="1:2" s="1592" customFormat="1">
      <c r="A50" s="1590" t="s">
        <v>1273</v>
      </c>
      <c r="B50" s="1591" t="str">
        <f>'预评函-3'!F2</f>
        <v>在建建筑物价值</v>
      </c>
    </row>
    <row r="51" spans="1:2" s="1592" customFormat="1">
      <c r="A51" s="1590" t="s">
        <v>1250</v>
      </c>
      <c r="B51" s="1591">
        <f ca="1">'预评函-3'!F4</f>
        <v>10842</v>
      </c>
    </row>
    <row r="52" spans="1:2" s="1592" customFormat="1">
      <c r="A52" s="1590" t="s">
        <v>1251</v>
      </c>
      <c r="B52" s="1591">
        <f ca="1">'预评函-3'!G4</f>
        <v>4136</v>
      </c>
    </row>
    <row r="53" spans="1:2" s="1592" customFormat="1">
      <c r="A53" s="1590" t="s">
        <v>1279</v>
      </c>
      <c r="B53" s="1591" t="str">
        <f ca="1">'预评函-3'!F5</f>
        <v>壹亿零捌佰肆拾贰万元整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（1）根据估价对象《不动产权证书》原件、，截至价值时点，估价对象抵押权未见登记。</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郑燚</v>
      </c>
    </row>
    <row r="71" spans="1:2">
      <c r="A71" s="1590" t="s">
        <v>1262</v>
      </c>
      <c r="B71" s="1591">
        <f ca="1">'预评函-4'!B4</f>
        <v>1120070131</v>
      </c>
    </row>
    <row r="72" spans="1:2">
      <c r="A72" s="1590" t="s">
        <v>1263</v>
      </c>
      <c r="B72" s="1599" t="str">
        <f>'预评函-4'!A5</f>
        <v>王鹏</v>
      </c>
    </row>
    <row r="73" spans="1:2" s="1586" customFormat="1" ht="15" thickBot="1">
      <c r="A73" s="1593" t="s">
        <v>1264</v>
      </c>
      <c r="B73" s="1594">
        <f ca="1">'预评函-4'!B5</f>
        <v>1120050019</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757</v>
      </c>
      <c r="C17" s="2014"/>
    </row>
    <row r="18" spans="1:3">
      <c r="A18" s="2013" t="s">
        <v>1769</v>
      </c>
      <c r="B18" s="2013" t="s">
        <v>3075</v>
      </c>
      <c r="C18" s="2014"/>
    </row>
    <row r="19" spans="1:3">
      <c r="A19" s="2013" t="s">
        <v>1770</v>
      </c>
      <c r="B19" s="2013" t="s">
        <v>3076</v>
      </c>
      <c r="C19" s="2014"/>
    </row>
    <row r="20" spans="1:3">
      <c r="A20" s="2013" t="s">
        <v>1771</v>
      </c>
      <c r="B20" s="2013" t="s">
        <v>3077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南京东浩胶粉有限公司拟使用江苏省南京市溧水区经济开发区驿府街68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13"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1" t="s">
        <v>864</v>
      </c>
      <c r="C54" s="2018" t="s">
        <v>1282</v>
      </c>
    </row>
    <row r="55" spans="1:4">
      <c r="A55" s="3013"/>
      <c r="B55" s="2021" t="s">
        <v>865</v>
      </c>
      <c r="C55" s="2018" t="s">
        <v>1283</v>
      </c>
    </row>
    <row r="56" spans="1:4">
      <c r="A56" s="3013"/>
      <c r="B56" s="2021" t="s">
        <v>866</v>
      </c>
      <c r="C56" s="2018" t="s">
        <v>1287</v>
      </c>
    </row>
    <row r="57" spans="1:4">
      <c r="A57" s="3013"/>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1778</v>
      </c>
      <c r="B1" s="3022" t="str">
        <f>IF(B10="北京市","北京市",C10)&amp;F10&amp;IF(结果表!G1="在建","出让国有建设用地使用权及在建建筑物",IF(结果表!G1="土地","出让国有建设用地使用权",))&amp;B9&amp;"预评估"</f>
        <v>江苏省南京市溧水区经济开发区驿府街68号房地产抵押价值预评估</v>
      </c>
      <c r="C1" s="3023"/>
      <c r="D1" s="3023"/>
      <c r="E1" s="3023"/>
      <c r="F1" s="3023"/>
      <c r="G1" s="3023"/>
      <c r="H1" s="3023"/>
      <c r="I1" s="302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江苏省南京市溧水区经济开发区驿府街68号房地产抵押价值</v>
      </c>
    </row>
    <row r="2" spans="1:19" ht="18" customHeight="1">
      <c r="A2" s="2025" t="s">
        <v>1779</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江苏省南京市溧水区经济开发区驿府街68号房地产</v>
      </c>
    </row>
    <row r="3" spans="1:19" ht="18" customHeight="1">
      <c r="A3" s="2034" t="s">
        <v>1780</v>
      </c>
      <c r="B3" s="2035">
        <v>43076</v>
      </c>
      <c r="C3" s="2036" t="s">
        <v>1781</v>
      </c>
      <c r="D3" s="2035">
        <f>B3</f>
        <v>43076</v>
      </c>
      <c r="E3" s="2025"/>
      <c r="F3" s="2025"/>
      <c r="G3" s="2025"/>
      <c r="H3" s="2025"/>
      <c r="I3" s="2025"/>
      <c r="J3" s="2025"/>
      <c r="K3" s="2026"/>
      <c r="L3" s="2027"/>
      <c r="M3" s="2027"/>
      <c r="N3" s="2028"/>
      <c r="O3" s="2029"/>
      <c r="P3" s="2028"/>
      <c r="Q3" s="2028"/>
      <c r="R3" s="2028"/>
      <c r="S3" s="2030"/>
    </row>
    <row r="4" spans="1:19" ht="18" customHeight="1" thickBot="1">
      <c r="A4" s="2037" t="s">
        <v>1782</v>
      </c>
      <c r="B4" s="2038" t="s">
        <v>3039</v>
      </c>
      <c r="C4" s="1036">
        <f ca="1">SUMIF(注册房地产估价师,B4,估价师及机构信息!B3:B24)</f>
        <v>1120070131</v>
      </c>
      <c r="D4" s="2038" t="s">
        <v>3040</v>
      </c>
      <c r="E4" s="1037">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933" t="s">
        <v>3043</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7" t="s">
        <v>1785</v>
      </c>
      <c r="B7" s="2934" t="s">
        <v>3044</v>
      </c>
      <c r="C7" s="2048"/>
      <c r="D7" s="2049"/>
      <c r="E7" s="2033"/>
      <c r="F7" s="2041"/>
      <c r="G7" s="2041"/>
      <c r="H7" s="2041"/>
      <c r="I7" s="2041"/>
      <c r="J7" s="2041"/>
      <c r="K7" s="2051"/>
      <c r="L7" s="2027"/>
      <c r="M7" s="2027"/>
      <c r="N7" s="2028"/>
      <c r="O7" s="2029"/>
      <c r="P7" s="2028"/>
      <c r="Q7" s="2028"/>
      <c r="R7" s="2028"/>
    </row>
    <row r="8" spans="1:19" ht="18" customHeight="1">
      <c r="A8" s="2047" t="s">
        <v>1786</v>
      </c>
      <c r="B8" s="2052" t="s">
        <v>3041</v>
      </c>
      <c r="C8" s="2053"/>
      <c r="D8" s="3025" t="s">
        <v>1787</v>
      </c>
      <c r="E8" s="2054"/>
      <c r="F8" s="2055"/>
      <c r="G8" s="2025"/>
      <c r="H8" s="2025"/>
      <c r="I8" s="2025"/>
      <c r="J8" s="2041"/>
      <c r="K8" s="2042"/>
      <c r="L8" s="2027"/>
      <c r="M8" s="2027"/>
      <c r="N8" s="2028"/>
      <c r="O8" s="2029"/>
      <c r="P8" s="2028"/>
      <c r="Q8" s="2028"/>
      <c r="R8" s="2028"/>
    </row>
    <row r="9" spans="1:19" ht="18" customHeight="1" thickBot="1">
      <c r="A9" s="2039" t="s">
        <v>1788</v>
      </c>
      <c r="B9" s="2056" t="s">
        <v>3042</v>
      </c>
      <c r="C9" s="2057"/>
      <c r="D9" s="3026"/>
      <c r="E9" s="2056"/>
      <c r="F9" s="2058"/>
      <c r="G9" s="2059"/>
      <c r="H9" s="2059"/>
      <c r="I9" s="2059"/>
      <c r="J9" s="2041"/>
      <c r="K9" s="2051"/>
      <c r="L9" s="2027"/>
      <c r="M9" s="2027"/>
      <c r="N9" s="2028"/>
      <c r="O9" s="2029"/>
      <c r="P9" s="2028"/>
      <c r="Q9" s="2028"/>
      <c r="R9" s="2028"/>
    </row>
    <row r="10" spans="1:19" ht="18" customHeight="1" thickTop="1">
      <c r="A10" s="2060" t="s">
        <v>1789</v>
      </c>
      <c r="B10" s="2061" t="s">
        <v>3045</v>
      </c>
      <c r="C10" s="2935" t="s">
        <v>3046</v>
      </c>
      <c r="D10" s="2046"/>
      <c r="E10" s="2062" t="s">
        <v>1790</v>
      </c>
      <c r="F10" s="2936" t="s">
        <v>3047</v>
      </c>
      <c r="G10" s="2063"/>
      <c r="H10" s="2064"/>
      <c r="I10" s="2046"/>
      <c r="J10" s="2041"/>
      <c r="K10" s="2051"/>
      <c r="L10" s="2027"/>
      <c r="M10" s="2027"/>
      <c r="N10" s="2028"/>
      <c r="O10" s="2029"/>
      <c r="P10" s="2028"/>
      <c r="Q10" s="2028"/>
      <c r="R10" s="2028"/>
    </row>
    <row r="11" spans="1:19" ht="18" customHeight="1">
      <c r="A11" s="2065" t="s">
        <v>1791</v>
      </c>
      <c r="B11" s="2066" t="s">
        <v>3048</v>
      </c>
      <c r="C11" s="2067" t="str">
        <f>B7</f>
        <v>南京东浩胶粉有限公司</v>
      </c>
      <c r="D11" s="2068"/>
      <c r="E11" s="2041"/>
      <c r="F11" s="2041"/>
      <c r="G11" s="2041"/>
      <c r="H11" s="2041"/>
      <c r="I11" s="2041"/>
      <c r="J11" s="2041"/>
      <c r="K11" s="2051"/>
      <c r="L11" s="2027"/>
      <c r="M11" s="2027"/>
      <c r="N11" s="2028"/>
      <c r="O11" s="2029"/>
      <c r="P11" s="2028"/>
      <c r="Q11" s="2028"/>
      <c r="R11" s="2028"/>
    </row>
    <row r="12" spans="1:19" ht="18" customHeight="1">
      <c r="A12" s="2069" t="s">
        <v>1792</v>
      </c>
      <c r="B12" s="2066" t="s">
        <v>3049</v>
      </c>
      <c r="C12" s="2070" t="s">
        <v>1793</v>
      </c>
      <c r="D12" s="2071" t="s">
        <v>1794</v>
      </c>
      <c r="E12" s="2071" t="s">
        <v>1795</v>
      </c>
      <c r="F12" s="2071" t="s">
        <v>1796</v>
      </c>
      <c r="G12" s="2071" t="s">
        <v>1797</v>
      </c>
      <c r="H12" s="2071" t="s">
        <v>1798</v>
      </c>
      <c r="I12" s="2071" t="s">
        <v>1799</v>
      </c>
      <c r="J12" s="2041"/>
      <c r="K12" s="2051"/>
      <c r="L12" s="2027"/>
      <c r="M12" s="2027"/>
      <c r="N12" s="2028"/>
      <c r="O12" s="2029"/>
      <c r="P12" s="2028"/>
      <c r="Q12" s="2028"/>
      <c r="R12" s="2028"/>
    </row>
    <row r="13" spans="1:19" ht="18" customHeight="1">
      <c r="A13" s="2072"/>
      <c r="B13" s="2073"/>
      <c r="C13" s="2074" t="s">
        <v>1800</v>
      </c>
      <c r="D13" s="2075"/>
      <c r="E13" s="2075"/>
      <c r="F13" s="2075">
        <v>52394</v>
      </c>
      <c r="G13" s="2075"/>
      <c r="H13" s="2075"/>
      <c r="I13" s="1046"/>
      <c r="J13" s="2041"/>
      <c r="K13" s="2051"/>
      <c r="L13" s="2027"/>
      <c r="M13" s="2027"/>
      <c r="N13" s="2028"/>
      <c r="O13" s="2029"/>
      <c r="P13" s="2028"/>
      <c r="Q13" s="2028"/>
      <c r="R13" s="2028"/>
    </row>
    <row r="14" spans="1:19" ht="18" customHeight="1">
      <c r="A14" s="2072"/>
      <c r="B14" s="2073"/>
      <c r="C14" s="2074" t="s">
        <v>1801</v>
      </c>
      <c r="D14" s="1049"/>
      <c r="E14" s="1049"/>
      <c r="F14" s="2966">
        <v>40</v>
      </c>
      <c r="G14" s="1049"/>
      <c r="H14" s="1049"/>
      <c r="I14" s="1049"/>
      <c r="J14" s="2041"/>
      <c r="K14" s="2076"/>
      <c r="L14" s="2027"/>
      <c r="M14" s="2027"/>
      <c r="N14" s="2028"/>
      <c r="O14" s="2029"/>
      <c r="P14" s="2028"/>
      <c r="Q14" s="2028"/>
      <c r="R14" s="2028"/>
    </row>
    <row r="15" spans="1:19" ht="18" customHeight="1">
      <c r="A15" s="2060"/>
      <c r="B15" s="2077"/>
      <c r="C15" s="2074" t="s">
        <v>1802</v>
      </c>
      <c r="D15" s="1048" t="str">
        <f>IF(B12="出让",IF(D13="","",ROUNDDOWN(MIN((D13-$D$3)/365,D14),2)),D14)</f>
        <v/>
      </c>
      <c r="E15" s="1048" t="str">
        <f>IF(B12="出让",IF(E13="","",ROUNDDOWN(MIN((E13-$D$3)/365,E14),2)),E14)</f>
        <v/>
      </c>
      <c r="F15" s="1048">
        <f>IF(B12="出让",IF(F13="","",ROUNDDOWN(MIN((F13-$D$3)/365,F14),2)),F14)</f>
        <v>25.52</v>
      </c>
      <c r="G15" s="1048" t="str">
        <f>IF(B12="出让",IF(G13="","",ROUNDDOWN(MIN((G13-$D$3)/365,G14),2)),G14)</f>
        <v/>
      </c>
      <c r="H15" s="1048" t="str">
        <f>IF(B12="出让",IF(H13="","",ROUNDDOWN(MIN((H13-$D$3)/365,H14),2)),H14)</f>
        <v/>
      </c>
      <c r="I15" s="1048" t="str">
        <f>IF(B12="出让",IF(I13="","",ROUNDDOWN(MIN((I13-$D$3)/365,I14),2)),I14)</f>
        <v/>
      </c>
      <c r="J15" s="2041"/>
      <c r="K15" s="2078"/>
      <c r="L15" s="2079"/>
      <c r="M15" s="2079"/>
      <c r="N15" s="2080"/>
      <c r="O15" s="2079"/>
      <c r="P15" s="2080"/>
      <c r="Q15" s="2028"/>
      <c r="R15" s="2028"/>
    </row>
    <row r="16" spans="1:19" ht="30.75" customHeight="1">
      <c r="A16" s="2062" t="s">
        <v>1803</v>
      </c>
      <c r="B16" s="3032"/>
      <c r="C16" s="3033"/>
      <c r="D16" s="3034"/>
      <c r="E16" s="2081" t="s">
        <v>1804</v>
      </c>
      <c r="F16" s="3035"/>
      <c r="G16" s="3036"/>
      <c r="H16" s="3036"/>
      <c r="I16" s="3037"/>
      <c r="J16" s="2028"/>
      <c r="K16" s="2078"/>
      <c r="L16" s="2079"/>
      <c r="M16" s="2079"/>
      <c r="N16" s="2080"/>
      <c r="O16" s="2079"/>
      <c r="P16" s="2080"/>
      <c r="Q16" s="2028"/>
      <c r="R16" s="2028"/>
    </row>
    <row r="17" spans="1:22" ht="18" customHeight="1">
      <c r="A17" s="2082" t="s">
        <v>1805</v>
      </c>
      <c r="B17" s="2034" t="s">
        <v>1806</v>
      </c>
      <c r="C17" s="1053">
        <f>'数据-汇总表'!E3</f>
        <v>26215.040000000001</v>
      </c>
      <c r="D17" s="2083" t="s">
        <v>1807</v>
      </c>
      <c r="E17" s="3038" t="s">
        <v>3052</v>
      </c>
      <c r="F17" s="3039"/>
      <c r="G17" s="3039"/>
      <c r="H17" s="3039"/>
      <c r="I17" s="3040"/>
      <c r="J17" s="2028"/>
      <c r="K17" s="2084"/>
      <c r="L17" s="2079"/>
      <c r="M17" s="2079"/>
      <c r="N17" s="2080"/>
      <c r="O17" s="2079"/>
      <c r="P17" s="2080"/>
      <c r="Q17" s="2028"/>
      <c r="R17" s="2028"/>
      <c r="S17" s="2028"/>
      <c r="T17" s="2028"/>
      <c r="U17" s="2028"/>
      <c r="V17" s="2028"/>
    </row>
    <row r="18" spans="1:22" ht="36" customHeight="1" thickBot="1">
      <c r="A18" s="2085" t="s">
        <v>1808</v>
      </c>
      <c r="B18" s="2037" t="s">
        <v>1809</v>
      </c>
      <c r="C18" s="1443">
        <f>'数据-汇总表'!D3</f>
        <v>12572.36</v>
      </c>
      <c r="D18" s="2086" t="s">
        <v>1807</v>
      </c>
      <c r="E18" s="3041"/>
      <c r="F18" s="3042"/>
      <c r="G18" s="3042"/>
      <c r="H18" s="3042"/>
      <c r="I18" s="3043"/>
      <c r="J18" s="2028"/>
      <c r="K18" s="2084"/>
      <c r="L18" s="2079"/>
      <c r="M18" s="2079"/>
      <c r="N18" s="2080"/>
      <c r="O18" s="2079"/>
      <c r="P18" s="2080"/>
      <c r="Q18" s="2028"/>
      <c r="R18" s="2028"/>
      <c r="S18" s="2028"/>
      <c r="T18" s="2028"/>
      <c r="U18" s="2028"/>
      <c r="V18" s="2028"/>
    </row>
    <row r="19" spans="1:22" ht="37.5" customHeight="1" thickTop="1" thickBot="1">
      <c r="A19" s="373" t="s">
        <v>1810</v>
      </c>
      <c r="B19" s="352" t="s">
        <v>1811</v>
      </c>
      <c r="C19" s="2087" t="s">
        <v>3050</v>
      </c>
      <c r="D19" s="2088" t="s">
        <v>1812</v>
      </c>
      <c r="E19" s="2089" t="s">
        <v>70</v>
      </c>
      <c r="F19" s="2090" t="str">
        <f>IF(AND(C19="是",E19="否"),"是否提供他项权证或相关说明","")</f>
        <v/>
      </c>
      <c r="G19" s="2091" t="s">
        <v>70</v>
      </c>
      <c r="H19" s="2041"/>
      <c r="I19" s="2041"/>
      <c r="J19" s="2041"/>
      <c r="K19" s="2051"/>
      <c r="L19" s="2027"/>
      <c r="M19" s="2027"/>
      <c r="N19" s="2080"/>
      <c r="O19" s="2079"/>
      <c r="P19" s="2080"/>
      <c r="Q19" s="2028"/>
      <c r="R19" s="2028"/>
      <c r="S19" s="2028"/>
      <c r="T19" s="2028"/>
      <c r="U19" s="2028"/>
      <c r="V19" s="2028"/>
    </row>
    <row r="20" spans="1:22" ht="18" customHeight="1">
      <c r="A20" s="2092" t="s">
        <v>1813</v>
      </c>
      <c r="B20" s="3028" t="s">
        <v>1814</v>
      </c>
      <c r="C20" s="3029"/>
      <c r="D20" s="3030" t="s">
        <v>1815</v>
      </c>
      <c r="E20" s="3031"/>
      <c r="F20" s="2093" t="s">
        <v>1816</v>
      </c>
      <c r="G20" s="2041"/>
      <c r="H20" s="2041"/>
      <c r="I20" s="2041"/>
      <c r="J20" s="2041"/>
      <c r="K20" s="3027" t="s">
        <v>1817</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7"/>
      <c r="N20" s="2080"/>
      <c r="O20" s="2079"/>
      <c r="P20" s="2080"/>
      <c r="Q20" s="2028"/>
      <c r="R20" s="2028"/>
      <c r="S20" s="2028"/>
      <c r="T20" s="2028"/>
      <c r="U20" s="2028"/>
      <c r="V20" s="2028"/>
    </row>
    <row r="21" spans="1:22" ht="24.75" customHeight="1">
      <c r="A21" s="2092"/>
      <c r="B21" s="2094" t="s">
        <v>3051</v>
      </c>
      <c r="C21" s="2095" t="s">
        <v>1818</v>
      </c>
      <c r="D21" s="2096"/>
      <c r="E21" s="2097"/>
      <c r="F21" s="2098"/>
      <c r="G21" s="2041"/>
      <c r="H21" s="2041"/>
      <c r="I21" s="2041"/>
      <c r="J21" s="2041"/>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c r="C22" s="2095"/>
      <c r="D22" s="2025"/>
      <c r="E22" s="2025"/>
      <c r="F22" s="2100"/>
      <c r="G22" s="2041"/>
      <c r="H22" s="2041"/>
      <c r="I22" s="2041"/>
      <c r="J22" s="2041"/>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1819</v>
      </c>
      <c r="B23" s="183" t="s">
        <v>1820</v>
      </c>
      <c r="C23" s="2102"/>
      <c r="D23" s="2103" t="s">
        <v>1820</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1821</v>
      </c>
      <c r="C24" s="2107"/>
      <c r="D24" s="2101" t="s">
        <v>1821</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1822</v>
      </c>
      <c r="C25" s="2107"/>
      <c r="D25" s="2101" t="s">
        <v>1822</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1823</v>
      </c>
      <c r="C26" s="2111"/>
      <c r="D26" s="2112" t="s">
        <v>1824</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015" t="s">
        <v>1825</v>
      </c>
      <c r="B27" s="2060" t="s">
        <v>1826</v>
      </c>
      <c r="C27" s="2115" t="s">
        <v>3059</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15"/>
      <c r="B28" s="2034" t="s">
        <v>1827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15"/>
      <c r="B29" s="2034" t="s">
        <v>1828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16"/>
      <c r="B30" s="2034" t="s">
        <v>1829</v>
      </c>
      <c r="C30" s="3017"/>
      <c r="D30" s="3018"/>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19" t="s">
        <v>1830</v>
      </c>
      <c r="B31" s="2122" t="s">
        <v>3058</v>
      </c>
      <c r="C31" s="2123" t="str">
        <f>IF(B31="现房","成新及维护状况正常否",IF(B31="在建","工程状态是否正常",IF(B31="土地","是否闲置","-")))</f>
        <v>成新及维护状况正常否</v>
      </c>
      <c r="D31" s="2124"/>
      <c r="E31" s="2125"/>
      <c r="F31" s="2041"/>
      <c r="G31" s="2041"/>
      <c r="H31" s="2041"/>
      <c r="I31" s="2041"/>
      <c r="J31" s="2041"/>
      <c r="K31" s="2050"/>
      <c r="L31" s="2027"/>
      <c r="M31" s="2027"/>
      <c r="N31" s="2028"/>
      <c r="O31" s="2029"/>
      <c r="P31" s="2028"/>
      <c r="Q31" s="2028"/>
      <c r="R31" s="2028"/>
      <c r="S31" s="2028"/>
      <c r="T31" s="2028"/>
      <c r="U31" s="2028"/>
      <c r="V31" s="2028"/>
    </row>
    <row r="32" spans="1:22" ht="18" customHeight="1">
      <c r="A32" s="3020"/>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20"/>
      <c r="B33" s="2126"/>
      <c r="C33" s="2065"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1831</v>
      </c>
      <c r="B34" s="2129" t="s">
        <v>3053</v>
      </c>
      <c r="C34" s="2129" t="s">
        <v>3054</v>
      </c>
      <c r="D34" s="2129" t="s">
        <v>3055</v>
      </c>
      <c r="E34" s="2129" t="s">
        <v>3056</v>
      </c>
      <c r="F34" s="2129" t="s">
        <v>3057</v>
      </c>
      <c r="G34" s="2129"/>
      <c r="H34" s="2129"/>
      <c r="I34" s="2041"/>
      <c r="J34" s="2041"/>
      <c r="K34" s="1794">
        <f>COUNTIF(B34:H34,"——")</f>
        <v>0</v>
      </c>
      <c r="L34" s="2070" t="s">
        <v>1832</v>
      </c>
      <c r="M34" s="2070" t="s">
        <v>1833</v>
      </c>
      <c r="N34" s="2070" t="s">
        <v>1834</v>
      </c>
      <c r="O34" s="2070" t="s">
        <v>1835</v>
      </c>
      <c r="P34" s="2070" t="s">
        <v>1836</v>
      </c>
      <c r="Q34" s="2070" t="s">
        <v>1837</v>
      </c>
      <c r="R34" s="2070" t="s">
        <v>1838</v>
      </c>
      <c r="S34" s="3014" t="s">
        <v>1839</v>
      </c>
      <c r="T34" s="2130" t="str">
        <f>NUMBERSTRING(7-K34,1)&amp;"通"</f>
        <v>七通</v>
      </c>
      <c r="U34" s="2028"/>
      <c r="V34" s="2028"/>
    </row>
    <row r="35" spans="1:22" ht="18" customHeight="1">
      <c r="A35" s="2131"/>
      <c r="B35" s="3021" t="s">
        <v>1840</v>
      </c>
      <c r="C35" s="3021"/>
      <c r="D35" s="3021"/>
      <c r="E35" s="3021"/>
      <c r="F35" s="2132" t="str">
        <f>C10</f>
        <v>江苏省南京市</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4"/>
      <c r="T35" s="48" t="str">
        <f>IF(T34="一通",L35,IF(T34="二通",M35,IF(T34="三通",N35,IF(T34="四通",O35,IF(T34="五通",P35,IF(T34="六通",Q35,R35))))))</f>
        <v>通路、通电、通讯、通上水、通下水、、</v>
      </c>
      <c r="U35" s="2028"/>
      <c r="V35" s="2028"/>
    </row>
    <row r="36" spans="1:22" ht="18" customHeight="1">
      <c r="A36" s="2133"/>
      <c r="B36" s="2132" t="s">
        <v>1841</v>
      </c>
      <c r="C36" s="2132" t="s">
        <v>1842</v>
      </c>
      <c r="D36" s="2132" t="s">
        <v>1843</v>
      </c>
      <c r="E36" s="2132" t="s">
        <v>1844</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1845</v>
      </c>
      <c r="B37" s="2136"/>
      <c r="C37" s="2136"/>
      <c r="D37" s="2136"/>
      <c r="E37" s="2136"/>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1846</v>
      </c>
      <c r="B38" s="2138"/>
      <c r="C38" s="2138"/>
      <c r="D38" s="2138"/>
      <c r="E38" s="2138"/>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1849</v>
      </c>
      <c r="B42" s="1794" t="s">
        <v>1850</v>
      </c>
      <c r="C42" s="1794" t="s">
        <v>1851</v>
      </c>
      <c r="D42" s="1794" t="s">
        <v>1852</v>
      </c>
      <c r="E42" s="1794" t="s">
        <v>1853</v>
      </c>
      <c r="F42" s="1794" t="s">
        <v>1854</v>
      </c>
      <c r="G42" s="1794" t="s">
        <v>1855</v>
      </c>
      <c r="H42" s="1794" t="s">
        <v>1856</v>
      </c>
      <c r="I42" s="1794" t="s">
        <v>1857</v>
      </c>
      <c r="J42" s="2148" t="s">
        <v>1858</v>
      </c>
      <c r="K42" s="2071" t="s">
        <v>1859</v>
      </c>
      <c r="L42" s="2071" t="s">
        <v>1860</v>
      </c>
      <c r="M42" s="2071" t="s">
        <v>1861</v>
      </c>
      <c r="N42" s="1794" t="s">
        <v>1862</v>
      </c>
      <c r="O42" s="1794" t="s">
        <v>1863</v>
      </c>
      <c r="P42" s="1794" t="s">
        <v>1864</v>
      </c>
      <c r="Q42" s="2070" t="s">
        <v>1865</v>
      </c>
      <c r="R42" s="2070" t="s">
        <v>1866</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B1" sqref="K1:AB1048576"/>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hidden="1" customWidth="1"/>
    <col min="12"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12572.36</v>
      </c>
      <c r="B3" s="14">
        <f>IF(C3="否",G5-AT5,G5)</f>
        <v>26215.040000000001</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1876</v>
      </c>
      <c r="B5" s="1802"/>
      <c r="C5" s="1802"/>
      <c r="D5" s="1805"/>
      <c r="E5" s="16" t="s">
        <v>1</v>
      </c>
      <c r="F5" s="16">
        <f>SUM(F13:F587)</f>
        <v>0</v>
      </c>
      <c r="G5" s="16">
        <f>SUM(G13:G587)</f>
        <v>26215.040000000001</v>
      </c>
      <c r="H5" s="16">
        <f t="shared" ref="H5:AT5" si="0">SUM(H13:H656)</f>
        <v>26215.040000000001</v>
      </c>
      <c r="I5" s="16">
        <f t="shared" si="0"/>
        <v>26215.040000000001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26215.040000000001</v>
      </c>
      <c r="BA5" s="18">
        <f t="shared" si="1"/>
        <v>26215.040000000001</v>
      </c>
      <c r="BB5" s="18">
        <f t="shared" si="1"/>
        <v>26215.040000000001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1877</v>
      </c>
      <c r="B6" s="2170"/>
      <c r="C6" s="2170"/>
      <c r="D6" s="2171"/>
      <c r="E6" s="16">
        <f>H6+AC6+AT6</f>
        <v>12572.36</v>
      </c>
      <c r="F6" s="16" t="s">
        <v>1</v>
      </c>
      <c r="G6" s="16" t="s">
        <v>2</v>
      </c>
      <c r="H6" s="20">
        <f>SUMIF(I$12:AB$12,"总值",I6:AB6)</f>
        <v>12572.36</v>
      </c>
      <c r="I6" s="16">
        <f t="shared" ref="I6:AB6" si="2">ROUND($A$3*I5/$B$3,2)</f>
        <v>12572.36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1877</v>
      </c>
      <c r="AW6" s="2170"/>
      <c r="AX6" s="2170"/>
      <c r="AY6" s="21">
        <f>IF(AY3&gt;0,AY3,ROUND($A$3*AZ5/$B$3,2))</f>
        <v>12572.36</v>
      </c>
      <c r="AZ6" s="16" t="s">
        <v>3</v>
      </c>
      <c r="BA6" s="16">
        <f>ROUND($AY$6*BA5/$AZ$5,2)</f>
        <v>12572.36</v>
      </c>
      <c r="BB6" s="16">
        <f>ROUND($AY$6*BB5/$AZ$5,2)</f>
        <v>12572.36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1885</v>
      </c>
      <c r="AV7" s="23" t="s">
        <v>1886</v>
      </c>
      <c r="AW7" s="2162" t="s">
        <v>1887</v>
      </c>
      <c r="AX7" s="23" t="s">
        <v>1880</v>
      </c>
      <c r="AY7" s="1802"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7"/>
      <c r="K8" s="1817"/>
      <c r="L8" s="1817"/>
      <c r="M8" s="1817"/>
      <c r="N8" s="1817"/>
      <c r="O8" s="1817"/>
      <c r="P8" s="1817"/>
      <c r="Q8" s="1817"/>
      <c r="R8" s="1817"/>
      <c r="S8" s="1817"/>
      <c r="T8" s="1817"/>
      <c r="U8" s="1817"/>
      <c r="V8" s="2182"/>
      <c r="W8" s="1817"/>
      <c r="X8" s="1817"/>
      <c r="Y8" s="1817"/>
      <c r="Z8" s="1817"/>
      <c r="AA8" s="2182"/>
      <c r="AB8" s="2183"/>
      <c r="AC8" s="980" t="s">
        <v>1891</v>
      </c>
      <c r="AD8" s="2184"/>
      <c r="AE8" s="2176"/>
      <c r="AF8" s="1817"/>
      <c r="AG8" s="1817"/>
      <c r="AH8" s="1817"/>
      <c r="AI8" s="1817"/>
      <c r="AJ8" s="1817"/>
      <c r="AK8" s="1817"/>
      <c r="AL8" s="1817"/>
      <c r="AM8" s="1817"/>
      <c r="AN8" s="1817"/>
      <c r="AO8" s="1817"/>
      <c r="AP8" s="1817"/>
      <c r="AQ8" s="1817"/>
      <c r="AR8" s="1817"/>
      <c r="AS8" s="1817"/>
      <c r="AT8" s="1291" t="s">
        <v>1892</v>
      </c>
      <c r="AU8" s="2178" t="s">
        <v>1893</v>
      </c>
      <c r="AV8" s="1291"/>
      <c r="AW8" s="2161"/>
      <c r="AX8" s="1291"/>
      <c r="AY8" s="2162"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1896</v>
      </c>
      <c r="I9" s="2187" t="s">
        <v>3064</v>
      </c>
      <c r="J9" s="980"/>
      <c r="K9" s="2187"/>
      <c r="L9" s="980"/>
      <c r="M9" s="2187"/>
      <c r="N9" s="980"/>
      <c r="O9" s="2187"/>
      <c r="P9" s="980"/>
      <c r="Q9" s="2187"/>
      <c r="R9" s="980"/>
      <c r="S9" s="2187"/>
      <c r="T9" s="980"/>
      <c r="U9" s="2187"/>
      <c r="V9" s="980"/>
      <c r="W9" s="2187"/>
      <c r="X9" s="2188"/>
      <c r="Y9" s="2187"/>
      <c r="Z9" s="980"/>
      <c r="AA9" s="2187"/>
      <c r="AB9" s="980"/>
      <c r="AC9" s="2179"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89"/>
      <c r="AT9" s="2178"/>
      <c r="AU9" s="2178" t="s">
        <v>1899</v>
      </c>
      <c r="AV9" s="1291"/>
      <c r="AW9" s="2161"/>
      <c r="AX9" s="1291"/>
      <c r="AY9" s="28"/>
      <c r="AZ9" s="28" t="s">
        <v>1889</v>
      </c>
      <c r="BA9" s="2190" t="s">
        <v>1900</v>
      </c>
      <c r="BB9" s="2191"/>
      <c r="BC9" s="1337"/>
      <c r="BD9" s="1337"/>
      <c r="BE9" s="1337"/>
      <c r="BF9" s="1337"/>
      <c r="BG9" s="1337"/>
      <c r="BH9" s="1337"/>
      <c r="BI9" s="1337"/>
      <c r="BJ9" s="1337"/>
      <c r="BK9" s="2192"/>
      <c r="BL9" s="15" t="s">
        <v>1901</v>
      </c>
      <c r="BM9" s="1817"/>
      <c r="BN9" s="2181"/>
      <c r="BO9" s="1817"/>
      <c r="BP9" s="1817"/>
      <c r="BQ9" s="1817"/>
      <c r="BR9" s="1817"/>
      <c r="BS9" s="1817"/>
      <c r="BT9" s="26"/>
    </row>
    <row r="10" spans="1:72" s="2185" customFormat="1" ht="12.75">
      <c r="A10" s="2178"/>
      <c r="B10" s="2178"/>
      <c r="C10" s="2178"/>
      <c r="D10" s="2178"/>
      <c r="E10" s="2178"/>
      <c r="F10" s="2178"/>
      <c r="G10" s="1291"/>
      <c r="H10" s="28"/>
      <c r="I10" s="2187" t="s">
        <v>27</v>
      </c>
      <c r="J10" s="980"/>
      <c r="K10" s="2193"/>
      <c r="L10" s="980"/>
      <c r="M10" s="2193"/>
      <c r="N10" s="980"/>
      <c r="O10" s="2193"/>
      <c r="P10" s="980"/>
      <c r="Q10" s="2193"/>
      <c r="R10" s="980"/>
      <c r="S10" s="2193"/>
      <c r="T10" s="980"/>
      <c r="U10" s="2193"/>
      <c r="V10" s="980"/>
      <c r="W10" s="2193"/>
      <c r="X10" s="980"/>
      <c r="Y10" s="2193"/>
      <c r="Z10" s="980"/>
      <c r="AA10" s="2193"/>
      <c r="AB10" s="980"/>
      <c r="AC10" s="1291"/>
      <c r="AD10" s="15" t="s">
        <v>1902</v>
      </c>
      <c r="AE10" s="2194"/>
      <c r="AF10" s="15" t="s">
        <v>1902</v>
      </c>
      <c r="AG10" s="2194"/>
      <c r="AH10" s="15" t="s">
        <v>1903</v>
      </c>
      <c r="AI10" s="2194"/>
      <c r="AJ10" s="15" t="s">
        <v>1903</v>
      </c>
      <c r="AK10" s="2194"/>
      <c r="AL10" s="15" t="s">
        <v>1904</v>
      </c>
      <c r="AM10" s="1297"/>
      <c r="AN10" s="15" t="s">
        <v>1904</v>
      </c>
      <c r="AO10" s="1297"/>
      <c r="AP10" s="15" t="s">
        <v>1905</v>
      </c>
      <c r="AQ10" s="1297"/>
      <c r="AR10" s="15" t="s">
        <v>1905</v>
      </c>
      <c r="AS10" s="1297"/>
      <c r="AT10" s="2178"/>
      <c r="AU10" s="2178"/>
      <c r="AV10" s="1291"/>
      <c r="AW10" s="2161"/>
      <c r="AX10" s="1291"/>
      <c r="AY10" s="28"/>
      <c r="AZ10" s="28"/>
      <c r="BA10" s="2195" t="s">
        <v>1896</v>
      </c>
      <c r="BB10" s="2196" t="str">
        <f>I9</f>
        <v>地上</v>
      </c>
      <c r="BC10" s="29">
        <f>K9</f>
        <v>0</v>
      </c>
      <c r="BD10" s="29">
        <f>M9</f>
        <v>0</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3065</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1906</v>
      </c>
      <c r="AE11" s="1818"/>
      <c r="AF11" s="2200" t="s">
        <v>1906</v>
      </c>
      <c r="AG11" s="1818"/>
      <c r="AH11" s="2200" t="s">
        <v>1907</v>
      </c>
      <c r="AI11" s="2201"/>
      <c r="AJ11" s="2200" t="s">
        <v>1907</v>
      </c>
      <c r="AK11" s="1818"/>
      <c r="AL11" s="1816"/>
      <c r="AM11" s="1818"/>
      <c r="AN11" s="1816"/>
      <c r="AO11" s="1818"/>
      <c r="AP11" s="1816"/>
      <c r="AQ11" s="1818"/>
      <c r="AR11" s="1816"/>
      <c r="AS11" s="1818"/>
      <c r="AT11" s="2161"/>
      <c r="AU11" s="2178"/>
      <c r="AV11" s="1291"/>
      <c r="AW11" s="2161"/>
      <c r="AX11" s="1291"/>
      <c r="AY11" s="28"/>
      <c r="AZ11" s="28"/>
      <c r="BA11" s="28"/>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5"/>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3" t="s">
        <v>1909</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1271" t="s">
        <v>3060</v>
      </c>
      <c r="D13" s="2209" t="s">
        <v>3063</v>
      </c>
      <c r="E13" s="16">
        <f>IF($C$3="是",ROUND($A$3*G13/$B$3,2),ROUND($A$3*(G13-AT13)/$B$3,2))</f>
        <v>262.05</v>
      </c>
      <c r="F13" s="32"/>
      <c r="G13" s="33">
        <f>H13+AC13+AT13</f>
        <v>546.41</v>
      </c>
      <c r="H13" s="20">
        <f>SUMIF(I$12:AB$12,"总值",I13:AB13)</f>
        <v>546.41</v>
      </c>
      <c r="I13" s="2210">
        <v>546.41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2幢</v>
      </c>
      <c r="AY13" s="1805">
        <f>ROUND($AY$6*AZ13/$AZ$5,2)</f>
        <v>262.05</v>
      </c>
      <c r="AZ13" s="16">
        <f>BA13+BL13</f>
        <v>546.41</v>
      </c>
      <c r="BA13" s="16">
        <f>SUM(BB13:BK13)</f>
        <v>546.41</v>
      </c>
      <c r="BB13" s="16">
        <f>IF($D13="是",I13-J13,0)</f>
        <v>546.41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1"/>
      <c r="B14" s="1271"/>
      <c r="C14" s="2149" t="s">
        <v>3061</v>
      </c>
      <c r="D14" s="2209" t="s">
        <v>3063</v>
      </c>
      <c r="E14" s="16">
        <f>IF($C$3="是",ROUND($A$3*G14/$B$3,2),ROUND($A$3*(G14-AT14)/$B$3,2))</f>
        <v>6474.52</v>
      </c>
      <c r="F14" s="32"/>
      <c r="G14" s="33">
        <f>H14+AC14+AT14</f>
        <v>13500.24</v>
      </c>
      <c r="H14" s="20">
        <f>SUMIF(I$12:AB$12,"总值",I14:AB14)</f>
        <v>13500.24</v>
      </c>
      <c r="I14" s="2210">
        <v>13500.24</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12幢</v>
      </c>
      <c r="AY14" s="1805">
        <f>ROUND($AY$6*AZ14/$AZ$5,2)</f>
        <v>6474.52</v>
      </c>
      <c r="AZ14" s="16">
        <f>BA14+BL14</f>
        <v>13500.24</v>
      </c>
      <c r="BA14" s="16">
        <f>SUM(BB14:BK14)</f>
        <v>13500.24</v>
      </c>
      <c r="BB14" s="16">
        <f>IF($D14="是",I14-J14,0)</f>
        <v>13500.24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t="s">
        <v>3062</v>
      </c>
      <c r="D15" s="2209" t="s">
        <v>3063</v>
      </c>
      <c r="E15" s="16">
        <f>IF($C$3="是",ROUND($A$3*G15/$B$3,2),ROUND($A$3*(G15-AT15)/$B$3,2))</f>
        <v>5835.79</v>
      </c>
      <c r="F15" s="32"/>
      <c r="G15" s="33">
        <f>H15+AC15+AT15</f>
        <v>12168.39</v>
      </c>
      <c r="H15" s="20">
        <f>SUMIF(I$12:AB$12,"总值",I15:AB15)</f>
        <v>12168.39</v>
      </c>
      <c r="I15" s="2210">
        <v>12168.39</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13幢</v>
      </c>
      <c r="AY15" s="1805">
        <f>ROUND($AY$6*AZ15/$AZ$5,2)</f>
        <v>5835.79</v>
      </c>
      <c r="AZ15" s="16">
        <f>BA15+BL15</f>
        <v>12168.39</v>
      </c>
      <c r="BA15" s="16">
        <f>SUM(BB15:BK15)</f>
        <v>12168.39</v>
      </c>
      <c r="BB15" s="16">
        <f>IF($D15="是",I15-J15,0)</f>
        <v>12168.39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055" t="s">
        <v>1936</v>
      </c>
      <c r="B2" s="3055"/>
      <c r="C2" s="3055"/>
      <c r="D2" s="966" t="s">
        <v>1912</v>
      </c>
      <c r="E2" s="2223" t="s">
        <v>1913</v>
      </c>
      <c r="F2" s="1391"/>
      <c r="G2" s="2224"/>
      <c r="H2" s="2225"/>
      <c r="I2" s="2226" t="s">
        <v>1937</v>
      </c>
      <c r="J2" s="1391"/>
      <c r="K2" s="1391"/>
      <c r="L2" s="1391"/>
      <c r="M2" s="1391"/>
      <c r="N2" s="1426"/>
      <c r="O2" s="1391"/>
      <c r="P2" s="1391"/>
    </row>
    <row r="3" spans="1:16" ht="15.75" thickBot="1">
      <c r="A3" s="3056" t="s">
        <v>1910</v>
      </c>
      <c r="B3" s="3056"/>
      <c r="C3" s="3056"/>
      <c r="D3" s="46">
        <f>'数据-基础表'!AY6</f>
        <v>12572.36</v>
      </c>
      <c r="E3" s="46">
        <f>'数据-基础表'!AZ5</f>
        <v>26215.040000000001</v>
      </c>
      <c r="F3" s="1391"/>
      <c r="G3" s="1398"/>
      <c r="H3" s="1246" t="s">
        <v>1911</v>
      </c>
      <c r="I3" s="55">
        <f>ROUND('数据-基础表'!B3/'数据-基础表'!A3,2)</f>
        <v>2.09</v>
      </c>
      <c r="J3" s="1391"/>
      <c r="K3" s="1391"/>
      <c r="L3" s="1391"/>
      <c r="M3" s="1391"/>
      <c r="N3" s="1426"/>
      <c r="O3" s="1391"/>
      <c r="P3" s="1391"/>
    </row>
    <row r="4" spans="1:16" ht="15">
      <c r="A4" s="3057"/>
      <c r="B4" s="3058"/>
      <c r="C4" s="3059"/>
      <c r="D4" s="2227" t="s">
        <v>1912</v>
      </c>
      <c r="E4" s="2228" t="s">
        <v>1913</v>
      </c>
      <c r="F4" s="1391"/>
      <c r="G4" s="2229" t="s">
        <v>1938</v>
      </c>
      <c r="H4" s="1246" t="s">
        <v>1918</v>
      </c>
      <c r="I4" s="55">
        <f>ROUND(SUMIF('数据-基础表'!I9:AS9,"地上",'数据-基础表'!I5:AS5)/'数据-基础表'!A3,2)</f>
        <v>2.09</v>
      </c>
      <c r="J4" s="1391"/>
      <c r="K4" s="1391"/>
      <c r="L4" s="1391"/>
      <c r="M4" s="1391"/>
      <c r="N4" s="1426"/>
      <c r="O4" s="1391"/>
      <c r="P4" s="1391"/>
    </row>
    <row r="5" spans="1:16">
      <c r="A5" s="47" t="s">
        <v>1914</v>
      </c>
      <c r="B5" s="3060" t="s">
        <v>1915</v>
      </c>
      <c r="C5" s="3060"/>
      <c r="D5" s="48">
        <f>ROUND($D$3*E5/$E$3,2)</f>
        <v>0</v>
      </c>
      <c r="E5" s="49">
        <f>SUMIF('数据-基础表'!$11:$11,"住宅",'数据-基础表'!$5:$5)</f>
        <v>0</v>
      </c>
      <c r="F5" s="1391"/>
      <c r="G5" s="1398"/>
      <c r="H5" s="1246" t="s">
        <v>1911</v>
      </c>
      <c r="I5" s="55">
        <f>ROUND(E31/D31,2)</f>
        <v>2.09</v>
      </c>
      <c r="J5" s="1391"/>
      <c r="K5" s="1391"/>
      <c r="L5" s="1391"/>
      <c r="M5" s="1391"/>
      <c r="N5" s="1391"/>
      <c r="O5" s="1391"/>
      <c r="P5" s="1391"/>
    </row>
    <row r="6" spans="1:16" ht="15" thickBot="1">
      <c r="A6" s="2230"/>
      <c r="B6" s="3060" t="s">
        <v>1916</v>
      </c>
      <c r="C6" s="3060"/>
      <c r="D6" s="48">
        <f>ROUND($D$3*E6/$E$3,2)</f>
        <v>12572.36</v>
      </c>
      <c r="E6" s="49">
        <f>E3-E5</f>
        <v>26215.040000000001</v>
      </c>
      <c r="F6" s="1391"/>
      <c r="G6" s="2231" t="s">
        <v>1917</v>
      </c>
      <c r="H6" s="1398" t="s">
        <v>1918</v>
      </c>
      <c r="I6" s="938">
        <f>ROUND(F31/D31,2)</f>
        <v>2.09</v>
      </c>
      <c r="J6" s="1391"/>
      <c r="K6" s="1391"/>
      <c r="L6" s="1391"/>
      <c r="M6" s="1391"/>
      <c r="N6" s="1391"/>
      <c r="O6" s="1391"/>
      <c r="P6" s="1391"/>
    </row>
    <row r="7" spans="1:16" ht="15">
      <c r="A7" s="3052"/>
      <c r="B7" s="3053"/>
      <c r="C7" s="3054"/>
      <c r="D7" s="2227" t="s">
        <v>1912</v>
      </c>
      <c r="E7" s="2232" t="s">
        <v>1919</v>
      </c>
      <c r="F7" s="1391"/>
      <c r="G7" s="2224" t="s">
        <v>1920</v>
      </c>
      <c r="H7" s="64"/>
      <c r="I7" s="420"/>
      <c r="J7" s="1391"/>
      <c r="K7" s="1391"/>
      <c r="L7" s="1391"/>
      <c r="M7" s="1391"/>
      <c r="N7" s="1391"/>
      <c r="O7" s="1391"/>
      <c r="P7" s="1391"/>
    </row>
    <row r="8" spans="1:16">
      <c r="A8" s="47" t="s">
        <v>1921</v>
      </c>
      <c r="B8" s="50" t="s">
        <v>1922</v>
      </c>
      <c r="C8" s="48" t="s">
        <v>1923</v>
      </c>
      <c r="D8" s="48">
        <f t="shared" ref="D8:D15" si="0">ROUND($D$3*E8/$E$3,2)</f>
        <v>12572.36</v>
      </c>
      <c r="E8" s="51">
        <f>SUMIF('数据-基础表'!BB10:BK10,"地上",'数据-基础表'!BB5:BK5)</f>
        <v>26215.040000000001</v>
      </c>
      <c r="F8" s="1391"/>
      <c r="G8" s="2233"/>
      <c r="H8" s="2233"/>
      <c r="I8" s="1391"/>
      <c r="J8" s="1391"/>
      <c r="K8" s="1391"/>
      <c r="L8" s="1391"/>
      <c r="M8" s="1391"/>
      <c r="N8" s="1391"/>
      <c r="O8" s="1391"/>
      <c r="P8" s="1391"/>
    </row>
    <row r="9" spans="1:16">
      <c r="A9" s="2234"/>
      <c r="B9" s="2235"/>
      <c r="C9" s="48" t="s">
        <v>1924</v>
      </c>
      <c r="D9" s="48">
        <f t="shared" si="0"/>
        <v>0</v>
      </c>
      <c r="E9" s="52">
        <v>0</v>
      </c>
      <c r="F9" s="1391"/>
      <c r="G9" s="2233"/>
      <c r="H9" s="2233"/>
      <c r="I9" s="1391"/>
      <c r="J9" s="1391"/>
      <c r="K9" s="1391"/>
      <c r="L9" s="1391"/>
      <c r="M9" s="1391"/>
      <c r="N9" s="1391"/>
      <c r="O9" s="1391"/>
      <c r="P9" s="1391"/>
    </row>
    <row r="10" spans="1:16">
      <c r="A10" s="2234"/>
      <c r="B10" s="2235"/>
      <c r="C10" s="48" t="s">
        <v>1933</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1925</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1926</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1927</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1939</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1934</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1928</v>
      </c>
      <c r="D16" s="50">
        <f>SUM(D8:D15)</f>
        <v>12572.36</v>
      </c>
      <c r="E16" s="53">
        <f>SUM(E8:E15)</f>
        <v>26215.040000000001</v>
      </c>
      <c r="F16" s="1391"/>
      <c r="G16" s="2233"/>
      <c r="H16" s="2236" t="s">
        <v>1940</v>
      </c>
      <c r="I16" s="2237"/>
      <c r="J16" s="1391"/>
      <c r="K16" s="3049" t="s">
        <v>1940</v>
      </c>
      <c r="L16" s="3050"/>
      <c r="M16" s="3050"/>
      <c r="N16" s="3050"/>
      <c r="O16" s="3050"/>
      <c r="P16" s="3051"/>
    </row>
    <row r="17" spans="1:19" ht="15">
      <c r="A17" s="2238" t="s">
        <v>1941</v>
      </c>
      <c r="B17" s="2239" t="s">
        <v>1942</v>
      </c>
      <c r="C17" s="2240" t="s">
        <v>1943</v>
      </c>
      <c r="D17" s="2241" t="s">
        <v>1931</v>
      </c>
      <c r="E17" s="2242" t="s">
        <v>1932</v>
      </c>
      <c r="F17" s="2243"/>
      <c r="G17" s="2244"/>
      <c r="H17" s="2245" t="s">
        <v>1944</v>
      </c>
      <c r="I17" s="2246" t="s">
        <v>1929</v>
      </c>
      <c r="J17" s="1391"/>
      <c r="K17" s="3046" t="s">
        <v>1945</v>
      </c>
      <c r="L17" s="3047"/>
      <c r="M17" s="3048"/>
      <c r="N17" s="3046" t="s">
        <v>1946</v>
      </c>
      <c r="O17" s="3047"/>
      <c r="P17" s="3048"/>
      <c r="R17" s="2224" t="s">
        <v>1947</v>
      </c>
      <c r="S17" s="64"/>
    </row>
    <row r="18" spans="1:19" ht="15">
      <c r="A18" s="2234"/>
      <c r="B18" s="2247"/>
      <c r="C18" s="2248"/>
      <c r="D18" s="2249"/>
      <c r="E18" s="2250" t="s">
        <v>1948</v>
      </c>
      <c r="F18" s="2251" t="s">
        <v>1949</v>
      </c>
      <c r="G18" s="2252" t="s">
        <v>1950</v>
      </c>
      <c r="H18" s="1261" t="s">
        <v>1951</v>
      </c>
      <c r="I18" s="2253" t="s">
        <v>1952</v>
      </c>
      <c r="J18" s="1391"/>
      <c r="K18" s="1261" t="s">
        <v>1953</v>
      </c>
      <c r="L18" s="2254" t="s">
        <v>1954</v>
      </c>
      <c r="M18" s="1045" t="s">
        <v>1955</v>
      </c>
      <c r="N18" s="1261" t="s">
        <v>1953</v>
      </c>
      <c r="O18" s="2254" t="s">
        <v>1954</v>
      </c>
      <c r="P18" s="1045" t="s">
        <v>1955</v>
      </c>
      <c r="R18" s="1246" t="s">
        <v>1956</v>
      </c>
      <c r="S18" s="1246" t="s">
        <v>1957</v>
      </c>
    </row>
    <row r="19" spans="1:19">
      <c r="A19" s="2255"/>
      <c r="B19" s="50" t="s">
        <v>1930</v>
      </c>
      <c r="C19" s="2937" t="s">
        <v>3070</v>
      </c>
      <c r="D19" s="48">
        <f>ROUND($D$3*E19/$E$3,2)</f>
        <v>262.05</v>
      </c>
      <c r="E19" s="56">
        <f t="shared" ref="E19:E26" si="1">SUM(F19:G19)</f>
        <v>546.41</v>
      </c>
      <c r="F19" s="57">
        <f>'数据-基础表'!I13</f>
        <v>546.41</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262.05</v>
      </c>
      <c r="S19" s="1247">
        <f t="shared" si="5"/>
        <v>546.41</v>
      </c>
    </row>
    <row r="20" spans="1:19">
      <c r="A20" s="2259"/>
      <c r="B20" s="50" t="s">
        <v>1958</v>
      </c>
      <c r="C20" s="2256" t="s">
        <v>3071</v>
      </c>
      <c r="D20" s="48">
        <f t="shared" ref="D20:D26" si="6">ROUND($D$3*E20/$E$3,2)</f>
        <v>6474.52</v>
      </c>
      <c r="E20" s="56">
        <f t="shared" si="1"/>
        <v>13500.24</v>
      </c>
      <c r="F20" s="57">
        <f>'数据-基础表'!I14</f>
        <v>13500.24</v>
      </c>
      <c r="G20" s="58"/>
      <c r="H20" s="723">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6474.52</v>
      </c>
      <c r="S20" s="1247">
        <f t="shared" si="5"/>
        <v>13500.24</v>
      </c>
    </row>
    <row r="21" spans="1:19">
      <c r="A21" s="2259"/>
      <c r="B21" s="50" t="s">
        <v>1958</v>
      </c>
      <c r="C21" s="2256" t="s">
        <v>3072</v>
      </c>
      <c r="D21" s="48">
        <f t="shared" si="6"/>
        <v>5835.79</v>
      </c>
      <c r="E21" s="56">
        <f t="shared" si="1"/>
        <v>12168.39</v>
      </c>
      <c r="F21" s="57">
        <f>'数据-基础表'!I15</f>
        <v>12168.39</v>
      </c>
      <c r="G21" s="58"/>
      <c r="H21" s="723">
        <f t="shared" si="7"/>
        <v>0</v>
      </c>
      <c r="I21" s="51">
        <f t="shared" si="2"/>
        <v>0</v>
      </c>
      <c r="J21" s="1391"/>
      <c r="K21" s="1390">
        <f t="shared" si="3"/>
        <v>0</v>
      </c>
      <c r="L21" s="1246">
        <f t="shared" si="4"/>
        <v>0</v>
      </c>
      <c r="M21" s="1402">
        <f t="shared" si="8"/>
        <v>0</v>
      </c>
      <c r="N21" s="2257"/>
      <c r="O21" s="2258"/>
      <c r="P21" s="1402">
        <f t="shared" si="9"/>
        <v>0</v>
      </c>
      <c r="R21" s="1246">
        <f t="shared" si="5"/>
        <v>5835.79</v>
      </c>
      <c r="S21" s="1247">
        <f t="shared" si="5"/>
        <v>12168.39</v>
      </c>
    </row>
    <row r="22" spans="1:19">
      <c r="A22" s="2259"/>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1959</v>
      </c>
      <c r="D27" s="1392">
        <f>SUM(D19:D26)</f>
        <v>12572.36</v>
      </c>
      <c r="E27" s="1393">
        <f>IF(SUM(E19:E26)='数据-基础表'!BA5,SUM(E19:E26),IF(F27="地上面积有误","面积有误","地下面积有误"))</f>
        <v>26215.040000000001</v>
      </c>
      <c r="F27" s="1392">
        <f>IF(SUM(F19:F26)=E8,SUM(F19:F26),"地上面积有误")</f>
        <v>26215.040000000001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12572.36</v>
      </c>
      <c r="S27" s="1246">
        <f>IF(SUM(S19:S26)=$E$3,SUM(S19:S26),SUM(S19:S26)&amp;"误差"&amp;ROUND(SUM(S19:S26)-E3,2))</f>
        <v>26215.040000000001</v>
      </c>
    </row>
    <row r="28" spans="1:19">
      <c r="A28" s="2259"/>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1960</v>
      </c>
      <c r="C29" s="2263"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1963</v>
      </c>
      <c r="D31" s="729">
        <f>D27+D30</f>
        <v>12572.36</v>
      </c>
      <c r="E31" s="729">
        <f>E27+E30</f>
        <v>26215.040000000001</v>
      </c>
      <c r="F31" s="730">
        <f>F27+F30</f>
        <v>26215.040000000001</v>
      </c>
      <c r="G31" s="731">
        <f>G27+G30</f>
        <v>0</v>
      </c>
      <c r="H31" s="1391"/>
      <c r="I31" s="1391"/>
      <c r="J31" s="1391"/>
      <c r="K31" s="1391"/>
      <c r="L31" s="1391"/>
      <c r="M31" s="1391"/>
      <c r="N31" s="1391"/>
      <c r="O31" s="1391"/>
      <c r="P31" s="1391"/>
    </row>
    <row r="32" spans="1:19">
      <c r="A32" s="2229"/>
      <c r="B32" s="2229" t="s">
        <v>1964</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5" width="6.75" style="2271" customWidth="1"/>
    <col min="26" max="30" width="6.75" style="2271" hidden="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1966</v>
      </c>
      <c r="B2" s="1265">
        <f>项目基本情况!D3</f>
        <v>43076</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0" t="s">
        <v>1971</v>
      </c>
      <c r="AA4" s="2240"/>
      <c r="AB4" s="2240"/>
      <c r="AC4" s="2240"/>
      <c r="AD4" s="2240"/>
      <c r="AE4" s="2238" t="s">
        <v>1972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1973</v>
      </c>
      <c r="B5" s="2286" t="s">
        <v>1974</v>
      </c>
      <c r="C5" s="2287" t="s">
        <v>1975</v>
      </c>
      <c r="D5" s="2288" t="s">
        <v>1976</v>
      </c>
      <c r="E5" s="1267" t="s">
        <v>1977</v>
      </c>
      <c r="F5" s="2289" t="s">
        <v>1978</v>
      </c>
      <c r="G5" s="1267" t="s">
        <v>1979</v>
      </c>
      <c r="H5" s="1267" t="s">
        <v>1980</v>
      </c>
      <c r="I5" s="1267" t="s">
        <v>1981</v>
      </c>
      <c r="J5" s="2290" t="s">
        <v>1982</v>
      </c>
      <c r="K5" s="2291" t="s">
        <v>1983</v>
      </c>
      <c r="L5" s="2292" t="s">
        <v>1984</v>
      </c>
      <c r="M5" s="2293" t="s">
        <v>1985</v>
      </c>
      <c r="N5" s="2294" t="s">
        <v>3066</v>
      </c>
      <c r="O5" s="2292" t="s">
        <v>1986</v>
      </c>
      <c r="P5" s="2295" t="s">
        <v>1987</v>
      </c>
      <c r="Q5" s="69" t="s">
        <v>1988</v>
      </c>
      <c r="R5" s="2296" t="s">
        <v>1989</v>
      </c>
      <c r="S5" s="2297" t="s">
        <v>1990</v>
      </c>
      <c r="T5" s="2298" t="s">
        <v>1991</v>
      </c>
      <c r="U5" s="1266" t="s">
        <v>1992</v>
      </c>
      <c r="V5" s="1267" t="s">
        <v>1993</v>
      </c>
      <c r="W5" s="1267" t="s">
        <v>1994</v>
      </c>
      <c r="X5" s="71"/>
      <c r="Y5" s="70" t="s">
        <v>1995</v>
      </c>
      <c r="Z5" s="2299" t="s">
        <v>1992</v>
      </c>
      <c r="AA5" s="1267" t="s">
        <v>1993</v>
      </c>
      <c r="AB5" s="1267" t="s">
        <v>1994</v>
      </c>
      <c r="AC5" s="71"/>
      <c r="AD5" s="71" t="s">
        <v>1995</v>
      </c>
      <c r="AE5" s="1266" t="s">
        <v>1996</v>
      </c>
      <c r="AF5" s="1267" t="s">
        <v>1997</v>
      </c>
      <c r="AG5" s="70" t="s">
        <v>1998</v>
      </c>
      <c r="AH5" s="1266" t="s">
        <v>1999</v>
      </c>
      <c r="AI5" s="2299" t="s">
        <v>2000</v>
      </c>
      <c r="AJ5" s="2299" t="s">
        <v>2001</v>
      </c>
      <c r="AK5" s="1267" t="s">
        <v>2002</v>
      </c>
      <c r="AL5" s="1267" t="s">
        <v>2003</v>
      </c>
      <c r="AM5" s="70" t="s">
        <v>2004</v>
      </c>
      <c r="AN5" s="2300" t="s">
        <v>2005</v>
      </c>
      <c r="AO5" s="2070" t="s">
        <v>2006</v>
      </c>
      <c r="AP5" s="1248" t="s">
        <v>2007</v>
      </c>
      <c r="AQ5" s="2301" t="s">
        <v>2008</v>
      </c>
      <c r="AR5" s="2301"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2幢（办公）</v>
      </c>
      <c r="B6" s="2303" t="str">
        <f>IF(A6=0,"","经营性")</f>
        <v>经营性</v>
      </c>
      <c r="C6" s="2304" t="s">
        <v>27</v>
      </c>
      <c r="D6" s="2968">
        <f>SUMIF(项目基本情况!D$12:I$12,C6,项目基本情况!D$14:I$14)</f>
        <v>40</v>
      </c>
      <c r="E6" s="1047">
        <f>IF(B6="","",SUMIF(项目基本情况!D$12:I$12,C6,项目基本情况!D$13:I$13))</f>
        <v>52394</v>
      </c>
      <c r="F6" s="72">
        <f>SUMIF(项目基本情况!D$12:I$12,C6,项目基本情况!D$15:I$15)</f>
        <v>25.52</v>
      </c>
      <c r="G6" s="73">
        <f>IF(ISERROR(ROUND(POWER(1+H6,D6-F6)*(POWER(1+H6,F6)-1)/(POWER(1+H6,D6)-1),3)),0,ROUND(POWER(1+H6,D6-F6)*(POWER(1+H6,F6)-1)/(POWER(1+H6,D6)-1),3))</f>
        <v>0.81499999999999995</v>
      </c>
      <c r="H6" s="802">
        <v>4.4999999999999998E-2</v>
      </c>
      <c r="I6" s="802">
        <v>0.05</v>
      </c>
      <c r="J6" s="74">
        <v>0.08</v>
      </c>
      <c r="K6" s="1250">
        <f>SUMIF('数据-汇总表'!C$19:C$33,A6,'数据-汇总表'!E$19:E$33)</f>
        <v>546.41</v>
      </c>
      <c r="L6" s="2967">
        <v>800</v>
      </c>
      <c r="M6" s="75">
        <f t="shared" ref="M6:M14" si="0">ROUND(K6*L6/10000,0)</f>
        <v>44</v>
      </c>
      <c r="N6" s="801">
        <f>ROUND((1-(2017-'收益法（2幢）'!J49)/'收益法（2幢）'!J50),2)</f>
        <v>0.76</v>
      </c>
      <c r="O6" s="75" t="str">
        <f>IF($N$5="成新度","——",ROUND(M6*N6,0))</f>
        <v>——</v>
      </c>
      <c r="P6" s="76" t="str">
        <f>IF($N$5="成新度","——",M6-O6)</f>
        <v>——</v>
      </c>
      <c r="Q6" s="2969">
        <v>0.1</v>
      </c>
      <c r="R6" s="77">
        <f ca="1">SUMIF('数据-汇总表'!C$19:C$33,A6,'数据-汇总表'!R$19:R$27)</f>
        <v>262.05</v>
      </c>
      <c r="S6" s="54">
        <f>IF('数据-汇总表'!$I$17="按面积比例",SUMIF('数据-汇总表'!C$19:C$33,A6,'数据-汇总表'!K$19:K$33),SUMIF('数据-汇总表'!C$19:C$33,A6,'数据-汇总表'!N$19:N$33))</f>
        <v>0</v>
      </c>
      <c r="T6" s="1442">
        <f>ROUND($L$14*S6/10000,0)</f>
        <v>0</v>
      </c>
      <c r="U6" s="78">
        <v>0.8</v>
      </c>
      <c r="V6" s="79">
        <v>0.03</v>
      </c>
      <c r="W6" s="79">
        <v>0.1</v>
      </c>
      <c r="X6" s="1260"/>
      <c r="Y6" s="80">
        <f>N6</f>
        <v>0.76</v>
      </c>
      <c r="Z6" s="81"/>
      <c r="AA6" s="74"/>
      <c r="AB6" s="74"/>
      <c r="AC6" s="1260"/>
      <c r="AD6" s="82"/>
      <c r="AE6" s="1261">
        <f ca="1">IF(AN6="",0,SUMIF(INDIRECT("'"&amp;AN6&amp;"'"&amp;"!E:E"),$AE$5,INDIRECT("'"&amp;AN6&amp;"'"&amp;"!F:F")))</f>
        <v>25.52</v>
      </c>
      <c r="AF6" s="1803"/>
      <c r="AG6" s="146">
        <f>IF(AF6="",0,AE6-AF6)</f>
        <v>0</v>
      </c>
      <c r="AH6" s="83"/>
      <c r="AI6" s="85">
        <v>365</v>
      </c>
      <c r="AJ6" s="86"/>
      <c r="AK6" s="87">
        <v>1.4999999999999999E-2</v>
      </c>
      <c r="AL6" s="88">
        <v>1.5E-3</v>
      </c>
      <c r="AM6" s="89">
        <v>0.01</v>
      </c>
      <c r="AN6" s="2305" t="s">
        <v>3075</v>
      </c>
      <c r="AO6" s="55">
        <f ca="1">SUMIF(INDIRECT("'"&amp;AN6&amp;"'"&amp;"!A:A"),"总价",INDIRECT("'"&amp;AN6&amp;"'"&amp;"!B:B"))</f>
        <v>217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12幢（综合楼）</v>
      </c>
      <c r="B7" s="2303" t="str">
        <f t="shared" ref="B7:B13" si="1">IF(A7=0,"","经营性")</f>
        <v>经营性</v>
      </c>
      <c r="C7" s="2304" t="s">
        <v>27</v>
      </c>
      <c r="D7" s="2968">
        <f>SUMIF(项目基本情况!D$12:I$12,C7,项目基本情况!D$14:I$14)</f>
        <v>40</v>
      </c>
      <c r="E7" s="1047">
        <f>IF(B7="","",SUMIF(项目基本情况!D$12:I$12,C7,项目基本情况!D$13:I$13))</f>
        <v>52394</v>
      </c>
      <c r="F7" s="72">
        <f>SUMIF(项目基本情况!D$12:I$12,C7,项目基本情况!D$15:I$15)</f>
        <v>25.52</v>
      </c>
      <c r="G7" s="73">
        <f t="shared" ref="G7:G11" si="2">IF(ISERROR(ROUND(POWER(1+H7,D7-F7)*(POWER(1+H7,F7)-1)/(POWER(1+H7,D7)-1),3)),0,ROUND(POWER(1+H7,D7-F7)*(POWER(1+H7,F7)-1)/(POWER(1+H7,D7)-1),3))</f>
        <v>0.81499999999999995</v>
      </c>
      <c r="H7" s="802">
        <v>4.4999999999999998E-2</v>
      </c>
      <c r="I7" s="802">
        <v>0.05</v>
      </c>
      <c r="J7" s="74">
        <v>0.08</v>
      </c>
      <c r="K7" s="1250">
        <f>SUMIF('数据-汇总表'!C$19:C$33,A7,'数据-汇总表'!E$19:E$33)</f>
        <v>13500.24</v>
      </c>
      <c r="L7" s="2967">
        <v>3000</v>
      </c>
      <c r="M7" s="75">
        <f t="shared" si="0"/>
        <v>4050</v>
      </c>
      <c r="N7" s="801">
        <v>1</v>
      </c>
      <c r="O7" s="75" t="str">
        <f t="shared" ref="O7:O14" si="3">IF($N$5="成新度","——",ROUND(M7*N7,0))</f>
        <v>——</v>
      </c>
      <c r="P7" s="76" t="str">
        <f t="shared" ref="P7:P14" si="4">IF($N$5="成新度","——",M7-O7)</f>
        <v>——</v>
      </c>
      <c r="Q7" s="804">
        <v>0.15</v>
      </c>
      <c r="R7" s="77">
        <f ca="1">SUMIF('数据-汇总表'!C$19:C$33,A7,'数据-汇总表'!R$19:R$27)</f>
        <v>6474.52</v>
      </c>
      <c r="S7" s="54">
        <f>IF('数据-汇总表'!$I$17="按面积比例",SUMIF('数据-汇总表'!C$19:C$33,A7,'数据-汇总表'!K$19:K$33),SUMIF('数据-汇总表'!C$19:C$33,A7,'数据-汇总表'!N$19:N$33))</f>
        <v>0</v>
      </c>
      <c r="T7" s="1442">
        <f t="shared" ref="T7:T13" si="5">ROUND($L$14*S7/10000,0)</f>
        <v>0</v>
      </c>
      <c r="U7" s="78">
        <v>1.2</v>
      </c>
      <c r="V7" s="79">
        <v>0.03</v>
      </c>
      <c r="W7" s="79">
        <v>0.1</v>
      </c>
      <c r="X7" s="1260"/>
      <c r="Y7" s="80">
        <f t="shared" ref="Y7:Y8" si="6">N7</f>
        <v>1</v>
      </c>
      <c r="Z7" s="81"/>
      <c r="AA7" s="74"/>
      <c r="AB7" s="74"/>
      <c r="AC7" s="1260"/>
      <c r="AD7" s="82"/>
      <c r="AE7" s="1261">
        <f t="shared" ref="AE7:AE13" ca="1" si="7">IF(AN7="",0,SUMIF(INDIRECT("'"&amp;AN7&amp;"'"&amp;"!E:E"),$AE$5,INDIRECT("'"&amp;AN7&amp;"'"&amp;"!F:F")))</f>
        <v>25.52</v>
      </c>
      <c r="AF7" s="1803"/>
      <c r="AG7" s="146">
        <f t="shared" ref="AG7:AG13" si="8">IF(AF7="",0,AE7-AF7)</f>
        <v>0</v>
      </c>
      <c r="AH7" s="83"/>
      <c r="AI7" s="85">
        <v>365</v>
      </c>
      <c r="AJ7" s="86"/>
      <c r="AK7" s="87">
        <v>1.4999999999999999E-2</v>
      </c>
      <c r="AL7" s="88">
        <v>1.5E-3</v>
      </c>
      <c r="AM7" s="89">
        <v>0.01</v>
      </c>
      <c r="AN7" s="2305" t="s">
        <v>3076</v>
      </c>
      <c r="AO7" s="55">
        <f t="shared" ref="AO7:AO13" ca="1" si="9">SUMIF(INDIRECT("'"&amp;AN7&amp;"'"&amp;"!A:A"),"总价",INDIRECT("'"&amp;AN7&amp;"'"&amp;"!B:B"))</f>
        <v>7075</v>
      </c>
      <c r="AP7" s="2306">
        <f t="shared" ref="AP7:AP13" si="10">IF(C7="住宅",K7*L7,0)</f>
        <v>0</v>
      </c>
      <c r="AQ7" s="55">
        <f t="shared" ref="AQ7:AQ13" si="11">ROUND($L$14*$N$14*S7/10000,0)</f>
        <v>0</v>
      </c>
      <c r="AR7" s="55">
        <f t="shared" ref="AR7:AR13" si="12">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13幢（综合楼）</v>
      </c>
      <c r="B8" s="2303" t="str">
        <f t="shared" si="1"/>
        <v>经营性</v>
      </c>
      <c r="C8" s="2304" t="s">
        <v>27</v>
      </c>
      <c r="D8" s="2968">
        <f>SUMIF(项目基本情况!D$12:I$12,C8,项目基本情况!D$14:I$14)</f>
        <v>40</v>
      </c>
      <c r="E8" s="1047">
        <f>IF(B8="","",SUMIF(项目基本情况!D$12:I$12,C8,项目基本情况!D$13:I$13))</f>
        <v>52394</v>
      </c>
      <c r="F8" s="72">
        <f>SUMIF(项目基本情况!D$12:I$12,C8,项目基本情况!D$15:I$15)</f>
        <v>25.52</v>
      </c>
      <c r="G8" s="73">
        <f t="shared" si="2"/>
        <v>0.81499999999999995</v>
      </c>
      <c r="H8" s="802">
        <v>4.4999999999999998E-2</v>
      </c>
      <c r="I8" s="802">
        <v>0.05</v>
      </c>
      <c r="J8" s="74">
        <v>0.08</v>
      </c>
      <c r="K8" s="1250">
        <f>SUMIF('数据-汇总表'!C$19:C$33,A8,'数据-汇总表'!E$19:E$33)</f>
        <v>12168.39</v>
      </c>
      <c r="L8" s="2967">
        <v>3000</v>
      </c>
      <c r="M8" s="75">
        <f>ROUND(K8*L8/10000,0)</f>
        <v>3651</v>
      </c>
      <c r="N8" s="801">
        <v>1</v>
      </c>
      <c r="O8" s="75" t="str">
        <f t="shared" si="3"/>
        <v>——</v>
      </c>
      <c r="P8" s="76" t="str">
        <f t="shared" si="4"/>
        <v>——</v>
      </c>
      <c r="Q8" s="804">
        <v>0.15</v>
      </c>
      <c r="R8" s="77">
        <f ca="1">SUMIF('数据-汇总表'!C$19:C$33,A8,'数据-汇总表'!R$19:R$27)</f>
        <v>5835.79</v>
      </c>
      <c r="S8" s="54">
        <f>IF('数据-汇总表'!$I$17="按面积比例",SUMIF('数据-汇总表'!C$19:C$33,A8,'数据-汇总表'!K$19:K$33),SUMIF('数据-汇总表'!C$19:C$33,A8,'数据-汇总表'!N$19:N$33))</f>
        <v>0</v>
      </c>
      <c r="T8" s="1442">
        <f t="shared" si="5"/>
        <v>0</v>
      </c>
      <c r="U8" s="805">
        <v>1.2</v>
      </c>
      <c r="V8" s="79">
        <v>0.03</v>
      </c>
      <c r="W8" s="806">
        <v>0.1</v>
      </c>
      <c r="X8" s="1260"/>
      <c r="Y8" s="80">
        <f t="shared" si="6"/>
        <v>1</v>
      </c>
      <c r="Z8" s="81"/>
      <c r="AA8" s="74"/>
      <c r="AB8" s="74"/>
      <c r="AC8" s="1260"/>
      <c r="AD8" s="82"/>
      <c r="AE8" s="1261">
        <f t="shared" ca="1" si="7"/>
        <v>25.52</v>
      </c>
      <c r="AF8" s="1803"/>
      <c r="AG8" s="146">
        <f t="shared" si="8"/>
        <v>0</v>
      </c>
      <c r="AH8" s="807"/>
      <c r="AI8" s="85">
        <v>365</v>
      </c>
      <c r="AJ8" s="86"/>
      <c r="AK8" s="87">
        <v>1.4999999999999999E-2</v>
      </c>
      <c r="AL8" s="88">
        <v>1.5E-3</v>
      </c>
      <c r="AM8" s="89">
        <v>0.01</v>
      </c>
      <c r="AN8" s="2305" t="s">
        <v>3077</v>
      </c>
      <c r="AO8" s="55">
        <f t="shared" ca="1" si="9"/>
        <v>6391</v>
      </c>
      <c r="AP8" s="2306">
        <f t="shared" si="10"/>
        <v>0</v>
      </c>
      <c r="AQ8" s="55">
        <f t="shared" si="11"/>
        <v>0</v>
      </c>
      <c r="AR8" s="55">
        <f t="shared" si="12"/>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hidden="1">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7"/>
        <v>0</v>
      </c>
      <c r="AF9" s="1803"/>
      <c r="AG9" s="146">
        <f t="shared" si="8"/>
        <v>0</v>
      </c>
      <c r="AH9" s="83"/>
      <c r="AI9" s="85"/>
      <c r="AJ9" s="86"/>
      <c r="AK9" s="87"/>
      <c r="AL9" s="88"/>
      <c r="AM9" s="89"/>
      <c r="AN9" s="2305"/>
      <c r="AO9" s="55" t="e">
        <f t="shared" ca="1" si="9"/>
        <v>#REF!</v>
      </c>
      <c r="AP9" s="2306">
        <f t="shared" si="10"/>
        <v>0</v>
      </c>
      <c r="AQ9" s="55">
        <f t="shared" si="11"/>
        <v>0</v>
      </c>
      <c r="AR9" s="55">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hidden="1">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7"/>
        <v>0</v>
      </c>
      <c r="AF10" s="1803"/>
      <c r="AG10" s="146">
        <f t="shared" si="8"/>
        <v>0</v>
      </c>
      <c r="AH10" s="83"/>
      <c r="AI10" s="85"/>
      <c r="AJ10" s="86"/>
      <c r="AK10" s="87"/>
      <c r="AL10" s="88"/>
      <c r="AM10" s="89"/>
      <c r="AN10" s="2305"/>
      <c r="AO10" s="55" t="e">
        <f t="shared" ca="1" si="9"/>
        <v>#REF!</v>
      </c>
      <c r="AP10" s="2306">
        <f t="shared" si="10"/>
        <v>0</v>
      </c>
      <c r="AQ10" s="55">
        <f t="shared" si="11"/>
        <v>0</v>
      </c>
      <c r="AR10" s="55">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hidden="1">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7"/>
        <v>0</v>
      </c>
      <c r="AF11" s="1803"/>
      <c r="AG11" s="146">
        <f t="shared" si="8"/>
        <v>0</v>
      </c>
      <c r="AH11" s="83"/>
      <c r="AI11" s="85"/>
      <c r="AJ11" s="86"/>
      <c r="AK11" s="94"/>
      <c r="AL11" s="95"/>
      <c r="AM11" s="96"/>
      <c r="AN11" s="2305"/>
      <c r="AO11" s="55" t="e">
        <f t="shared" ca="1" si="9"/>
        <v>#REF!</v>
      </c>
      <c r="AP11" s="2306">
        <f t="shared" si="10"/>
        <v>0</v>
      </c>
      <c r="AQ11" s="55">
        <f t="shared" si="11"/>
        <v>0</v>
      </c>
      <c r="AR11" s="55">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hidden="1">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7"/>
        <v>0</v>
      </c>
      <c r="AF12" s="1803"/>
      <c r="AG12" s="146">
        <f t="shared" si="8"/>
        <v>0</v>
      </c>
      <c r="AH12" s="83"/>
      <c r="AI12" s="85"/>
      <c r="AJ12" s="86"/>
      <c r="AK12" s="94"/>
      <c r="AL12" s="95"/>
      <c r="AM12" s="96"/>
      <c r="AN12" s="2305"/>
      <c r="AO12" s="55" t="e">
        <f t="shared" ca="1" si="9"/>
        <v>#REF!</v>
      </c>
      <c r="AP12" s="2306">
        <f t="shared" si="10"/>
        <v>0</v>
      </c>
      <c r="AQ12" s="55">
        <f t="shared" si="11"/>
        <v>0</v>
      </c>
      <c r="AR12" s="55">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hidden="1">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7"/>
        <v>0</v>
      </c>
      <c r="AF13" s="1803"/>
      <c r="AG13" s="146">
        <f t="shared" si="8"/>
        <v>0</v>
      </c>
      <c r="AH13" s="83"/>
      <c r="AI13" s="85"/>
      <c r="AJ13" s="86"/>
      <c r="AK13" s="87"/>
      <c r="AL13" s="88"/>
      <c r="AM13" s="89"/>
      <c r="AN13" s="2305"/>
      <c r="AO13" s="55" t="e">
        <f t="shared" ca="1" si="9"/>
        <v>#REF!</v>
      </c>
      <c r="AP13" s="2306">
        <f t="shared" si="10"/>
        <v>0</v>
      </c>
      <c r="AQ13" s="55">
        <f t="shared" si="11"/>
        <v>0</v>
      </c>
      <c r="AR13" s="55">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2010</v>
      </c>
      <c r="B14" s="2303" t="s">
        <v>2011</v>
      </c>
      <c r="C14" s="2308"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6"/>
      <c r="AH14" s="1261"/>
      <c r="AI14" s="1814"/>
      <c r="AJ14" s="773"/>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2012</v>
      </c>
      <c r="B15" s="2303" t="s">
        <v>2011</v>
      </c>
      <c r="C15" s="2308"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6"/>
      <c r="AH15" s="1261"/>
      <c r="AI15" s="1814"/>
      <c r="AJ15" s="773"/>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2014</v>
      </c>
      <c r="B16" s="97"/>
      <c r="C16" s="1004"/>
      <c r="D16" s="2310"/>
      <c r="E16" s="97"/>
      <c r="F16" s="97"/>
      <c r="G16" s="98">
        <f>ROUND(SUMPRODUCT(G6:G13,K6:K13)/SUMPRODUCT((G6:G13&gt;0)*(K6:K13)),3)</f>
        <v>0.81499999999999995</v>
      </c>
      <c r="H16" s="99">
        <f>ROUND(SUMPRODUCT(H6:H13,K6:K13)/SUMPRODUCT((H6:H13&gt;0)*(K6:K13)),3)</f>
        <v>4.4999999999999998E-2</v>
      </c>
      <c r="I16" s="100"/>
      <c r="J16" s="100"/>
      <c r="K16" s="101">
        <f>SUM(K6:K15)</f>
        <v>26215.040000000001</v>
      </c>
      <c r="L16" s="102">
        <f>ROUND(M16*10000/SUM(K6:K14),0)</f>
        <v>2954</v>
      </c>
      <c r="M16" s="102">
        <f>SUM(M6:M14)</f>
        <v>7745</v>
      </c>
      <c r="N16" s="103">
        <f>ROUND(SUMPRODUCT(M6:M14,N6:N14)/M16,3)</f>
        <v>0.999</v>
      </c>
      <c r="O16" s="102">
        <f>SUM(O6:O14)</f>
        <v>0</v>
      </c>
      <c r="P16" s="102">
        <f>SUM(P6:P14)</f>
        <v>0</v>
      </c>
      <c r="Q16" s="104">
        <f>ROUND(SUMPRODUCT(Q6:Q13,K6:K13)/SUMPRODUCT((Q6:Q13&gt;0)*(K6:K13)),2)</f>
        <v>0.15</v>
      </c>
      <c r="R16" s="1254">
        <f ca="1">SUM(R6:R13)</f>
        <v>12572.36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2016</v>
      </c>
      <c r="B19" s="112">
        <v>0</v>
      </c>
      <c r="C19" s="2273" t="s">
        <v>2017</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2018</v>
      </c>
      <c r="B20" s="113">
        <v>2</v>
      </c>
      <c r="C20" s="2273" t="s">
        <v>2019</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2020</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2021</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2022</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2023</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2024</v>
      </c>
      <c r="B26" s="2316" t="s">
        <v>2025</v>
      </c>
      <c r="C26" s="2317" t="s">
        <v>2026</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2027</v>
      </c>
      <c r="B27" s="116">
        <v>150</v>
      </c>
      <c r="C27" s="2939" t="s">
        <v>3082</v>
      </c>
      <c r="D27" s="2319"/>
      <c r="E27" s="1426"/>
      <c r="F27" s="1426"/>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2028</v>
      </c>
      <c r="B28" s="119">
        <v>150</v>
      </c>
      <c r="C28" s="2322"/>
      <c r="D28" s="2319"/>
      <c r="E28" s="1426"/>
      <c r="F28" s="1426"/>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2029</v>
      </c>
      <c r="B29" s="121">
        <f ca="1">成本法!C10</f>
        <v>393</v>
      </c>
      <c r="C29" s="1763" t="s">
        <v>2030</v>
      </c>
      <c r="D29" s="2319"/>
      <c r="E29" s="1426"/>
      <c r="F29" s="1426"/>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2031</v>
      </c>
      <c r="B30" s="724">
        <v>200</v>
      </c>
      <c r="C30" s="2322"/>
      <c r="D30" s="2319"/>
      <c r="E30" s="1426"/>
      <c r="F30" s="1426"/>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2032</v>
      </c>
      <c r="B31" s="120">
        <f>B30-B32</f>
        <v>200</v>
      </c>
      <c r="C31" s="1763"/>
      <c r="D31" s="2319"/>
      <c r="E31" s="1426"/>
      <c r="F31" s="1426"/>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2033</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2034</v>
      </c>
      <c r="B33" s="726">
        <v>0.05</v>
      </c>
      <c r="C33" s="1762" t="s">
        <v>2035</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2036</v>
      </c>
      <c r="B34" s="122">
        <v>0</v>
      </c>
      <c r="C34" s="1762" t="s">
        <v>2037</v>
      </c>
      <c r="D34" s="2274" t="s">
        <v>2038</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2039</v>
      </c>
      <c r="B35" s="119">
        <v>200</v>
      </c>
      <c r="C35" s="1762" t="s">
        <v>2040</v>
      </c>
      <c r="D35" s="2319"/>
      <c r="E35" s="1426"/>
      <c r="F35" s="1426"/>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2041</v>
      </c>
      <c r="B36" s="123">
        <v>1.4999999999999999E-2</v>
      </c>
      <c r="C36" s="1762" t="s">
        <v>2042</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2043</v>
      </c>
      <c r="B37" s="124">
        <v>2.5000000000000001E-2</v>
      </c>
      <c r="C37" s="1762" t="s">
        <v>2044</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2045</v>
      </c>
      <c r="B38" s="122">
        <v>0.03</v>
      </c>
      <c r="C38" s="1762" t="s">
        <v>2044</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2046</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2047</v>
      </c>
      <c r="B40" s="1299">
        <f ca="1">存贷款利率!G1</f>
        <v>4.7500000000000001E-2</v>
      </c>
      <c r="C40" s="1762" t="s">
        <v>2048</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2049</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2050</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2051</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2052</v>
      </c>
      <c r="B44" s="128">
        <v>7.0000000000000007E-2</v>
      </c>
      <c r="C44" s="1762" t="s">
        <v>2053</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2054</v>
      </c>
      <c r="B45" s="126">
        <v>0.03</v>
      </c>
      <c r="C45" s="1763" t="s">
        <v>2055</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2056</v>
      </c>
      <c r="B46" s="126">
        <v>0.02</v>
      </c>
      <c r="C46" s="1763" t="s">
        <v>2057</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2058</v>
      </c>
      <c r="B47" s="129">
        <v>0</v>
      </c>
      <c r="C47" s="1763" t="s">
        <v>2059</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2060</v>
      </c>
      <c r="B48" s="2940">
        <v>0.04</v>
      </c>
      <c r="C48" s="1770" t="s">
        <v>2061</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2062</v>
      </c>
      <c r="B49" s="126">
        <v>5.0000000000000001E-4</v>
      </c>
      <c r="C49" s="1770" t="s">
        <v>2063</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2064</v>
      </c>
      <c r="B50" s="130">
        <v>1.2E-2</v>
      </c>
      <c r="C50" s="1426"/>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2065</v>
      </c>
      <c r="B51" s="131">
        <v>0.12</v>
      </c>
      <c r="C51" s="1426"/>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2066</v>
      </c>
      <c r="B52" s="132">
        <f>SUMIF(A54:A63,B53,B54:B63)</f>
        <v>3</v>
      </c>
      <c r="C52" s="1426"/>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2067</v>
      </c>
      <c r="B53" s="2332" t="s">
        <v>212</v>
      </c>
      <c r="C53" s="1426" t="s">
        <v>2068</v>
      </c>
      <c r="D53" s="2941" t="s">
        <v>3083</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v>3</v>
      </c>
      <c r="C54" s="1426">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c r="C55" s="1426">
        <v>24</v>
      </c>
      <c r="D55" s="2274"/>
      <c r="E55" s="2273"/>
      <c r="F55" s="2273"/>
      <c r="G55" s="2273"/>
      <c r="H55" s="2273"/>
      <c r="I55" s="2334"/>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c r="C56" s="1426">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c r="C57" s="1426">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c r="C58" s="1426">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c r="C59" s="1426">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3"/>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8"/>
      <c r="L64" s="798"/>
    </row>
    <row r="65" spans="1:12" s="963" customFormat="1">
      <c r="A65" s="2336"/>
      <c r="D65" s="2337"/>
      <c r="K65" s="798"/>
      <c r="L65" s="798"/>
    </row>
    <row r="66" spans="1:12" s="963" customFormat="1">
      <c r="A66" s="2336"/>
      <c r="D66" s="2337"/>
      <c r="K66" s="798"/>
      <c r="L66" s="798"/>
    </row>
    <row r="67" spans="1:12" s="963" customFormat="1">
      <c r="A67" s="2336"/>
      <c r="D67" s="2337"/>
      <c r="K67" s="798"/>
      <c r="L67" s="798"/>
    </row>
    <row r="68" spans="1:12" s="963" customFormat="1">
      <c r="A68" s="2336"/>
      <c r="D68" s="2337"/>
      <c r="K68" s="798"/>
      <c r="L68" s="798"/>
    </row>
    <row r="69" spans="1:12" s="963" customFormat="1">
      <c r="A69" s="2336"/>
      <c r="D69" s="2337"/>
      <c r="K69" s="798"/>
      <c r="L69" s="798"/>
    </row>
    <row r="70" spans="1:12" s="963" customFormat="1">
      <c r="A70" s="2336"/>
      <c r="D70" s="2337"/>
      <c r="K70" s="798"/>
      <c r="L70" s="798"/>
    </row>
    <row r="71" spans="1:12" s="963" customFormat="1">
      <c r="A71" s="2336"/>
      <c r="D71" s="2337"/>
      <c r="K71" s="798"/>
      <c r="L71" s="798"/>
    </row>
    <row r="72" spans="1:12" s="963" customFormat="1">
      <c r="A72" s="2336"/>
      <c r="D72" s="2337"/>
      <c r="K72" s="798"/>
      <c r="L72" s="798"/>
    </row>
    <row r="73" spans="1:12" s="963" customFormat="1">
      <c r="A73" s="2336"/>
      <c r="D73" s="2337"/>
      <c r="K73" s="798"/>
      <c r="L73" s="798"/>
    </row>
    <row r="74" spans="1:12" s="963" customFormat="1">
      <c r="A74" s="2336"/>
      <c r="D74" s="2337"/>
      <c r="K74" s="798"/>
      <c r="L74" s="798"/>
    </row>
    <row r="75" spans="1:12" s="963" customFormat="1">
      <c r="A75" s="2336"/>
      <c r="D75" s="2337"/>
      <c r="K75" s="798"/>
      <c r="L75" s="798"/>
    </row>
    <row r="76" spans="1:12" s="963" customFormat="1">
      <c r="A76" s="2336"/>
      <c r="D76" s="2337"/>
      <c r="K76" s="798"/>
      <c r="L76" s="798"/>
    </row>
    <row r="77" spans="1:12" s="963" customFormat="1">
      <c r="A77" s="2336"/>
      <c r="D77" s="2337"/>
      <c r="K77" s="798"/>
      <c r="L77" s="798"/>
    </row>
    <row r="78" spans="1:12" s="963" customFormat="1">
      <c r="A78" s="2336"/>
      <c r="D78" s="2337"/>
      <c r="K78" s="798"/>
      <c r="L78" s="798"/>
    </row>
    <row r="79" spans="1:12" s="963" customFormat="1">
      <c r="A79" s="2336"/>
      <c r="D79" s="2337"/>
      <c r="K79" s="798"/>
      <c r="L79" s="798"/>
    </row>
    <row r="80" spans="1:12" s="963" customFormat="1">
      <c r="A80" s="2336"/>
      <c r="D80" s="2337"/>
      <c r="K80" s="798"/>
      <c r="L80" s="798"/>
    </row>
    <row r="81" spans="1:12" s="963" customFormat="1">
      <c r="A81" s="2336"/>
      <c r="D81" s="2337"/>
      <c r="K81" s="798"/>
      <c r="L81" s="798"/>
    </row>
    <row r="82" spans="1:12" s="963" customFormat="1">
      <c r="A82" s="2336"/>
      <c r="D82" s="2337"/>
      <c r="K82" s="798"/>
      <c r="L82" s="798"/>
    </row>
    <row r="83" spans="1:12" s="963" customFormat="1">
      <c r="A83" s="2336"/>
      <c r="D83" s="2337"/>
      <c r="K83" s="798"/>
      <c r="L83" s="798"/>
    </row>
    <row r="84" spans="1:12" s="963" customFormat="1">
      <c r="A84" s="2336"/>
      <c r="D84" s="2337"/>
      <c r="K84" s="798"/>
      <c r="L84" s="798"/>
    </row>
    <row r="85" spans="1:12" s="963" customFormat="1">
      <c r="A85" s="2336"/>
      <c r="D85" s="2337"/>
      <c r="K85" s="798"/>
      <c r="L85" s="798"/>
    </row>
    <row r="86" spans="1:12" s="963" customFormat="1">
      <c r="A86" s="2336"/>
      <c r="D86" s="2337"/>
      <c r="K86" s="798"/>
      <c r="L86" s="798"/>
    </row>
    <row r="87" spans="1:12" s="963" customFormat="1">
      <c r="A87" s="2336"/>
      <c r="D87" s="2337"/>
      <c r="K87" s="798"/>
      <c r="L87" s="798"/>
    </row>
    <row r="88" spans="1:12" s="963" customFormat="1">
      <c r="A88" s="2336"/>
      <c r="D88" s="2337"/>
      <c r="K88" s="798"/>
      <c r="L88" s="798"/>
    </row>
    <row r="89" spans="1:12" s="963" customFormat="1">
      <c r="A89" s="2336"/>
      <c r="D89" s="2337"/>
      <c r="K89" s="798"/>
      <c r="L89" s="798"/>
    </row>
    <row r="90" spans="1:12" s="963" customFormat="1">
      <c r="A90" s="2336"/>
      <c r="D90" s="2337"/>
      <c r="K90" s="798"/>
      <c r="L90" s="798"/>
    </row>
    <row r="91" spans="1:12" s="963" customFormat="1">
      <c r="A91" s="2336"/>
      <c r="D91" s="2337"/>
      <c r="K91" s="798"/>
      <c r="L91" s="798"/>
    </row>
    <row r="92" spans="1:12" s="963" customFormat="1">
      <c r="A92" s="2336"/>
      <c r="D92" s="2337"/>
      <c r="K92" s="798"/>
      <c r="L92" s="798"/>
    </row>
    <row r="93" spans="1:12" s="963" customFormat="1">
      <c r="A93" s="2336"/>
      <c r="D93" s="2337"/>
      <c r="K93" s="798"/>
      <c r="L93" s="798"/>
    </row>
    <row r="94" spans="1:12" s="963" customFormat="1">
      <c r="A94" s="2336"/>
      <c r="D94" s="2337"/>
      <c r="K94" s="798"/>
      <c r="L94" s="798"/>
    </row>
    <row r="95" spans="1:12" s="963" customFormat="1">
      <c r="A95" s="2336"/>
      <c r="D95" s="2337"/>
      <c r="K95" s="798"/>
      <c r="L95" s="798"/>
    </row>
    <row r="96" spans="1:12" s="963" customFormat="1">
      <c r="A96" s="2336"/>
      <c r="D96" s="2337"/>
      <c r="K96" s="798"/>
      <c r="L96" s="798"/>
    </row>
    <row r="97" spans="1:12" s="963" customFormat="1">
      <c r="A97" s="2336"/>
      <c r="D97" s="2337"/>
      <c r="K97" s="798"/>
      <c r="L97" s="798"/>
    </row>
    <row r="98" spans="1:12" s="963" customFormat="1">
      <c r="A98" s="2336"/>
      <c r="D98" s="2337"/>
      <c r="K98" s="798"/>
      <c r="L98" s="798"/>
    </row>
    <row r="99" spans="1:12" s="963" customFormat="1">
      <c r="A99" s="2336"/>
      <c r="D99" s="2337"/>
      <c r="K99" s="798"/>
      <c r="L99" s="798"/>
    </row>
    <row r="100" spans="1:12" s="963" customFormat="1">
      <c r="A100" s="2336"/>
      <c r="D100" s="2337"/>
      <c r="K100" s="798"/>
      <c r="L100" s="798"/>
    </row>
    <row r="101" spans="1:12" s="963" customFormat="1">
      <c r="A101" s="2336"/>
      <c r="D101" s="2337"/>
      <c r="K101" s="798"/>
      <c r="L101" s="798"/>
    </row>
    <row r="102" spans="1:12" s="963" customFormat="1">
      <c r="A102" s="2336"/>
      <c r="D102" s="2337"/>
      <c r="K102" s="798"/>
      <c r="L102" s="798"/>
    </row>
    <row r="103" spans="1:12" s="963" customFormat="1">
      <c r="A103" s="2336"/>
      <c r="D103" s="2337"/>
      <c r="K103" s="798"/>
      <c r="L103" s="798"/>
    </row>
    <row r="104" spans="1:12" s="963" customFormat="1">
      <c r="A104" s="2336"/>
      <c r="D104" s="2337"/>
      <c r="K104" s="798"/>
      <c r="L104" s="798"/>
    </row>
    <row r="105" spans="1:12" s="963" customFormat="1">
      <c r="A105" s="2336"/>
      <c r="D105" s="2337"/>
      <c r="K105" s="798"/>
      <c r="L105" s="798"/>
    </row>
    <row r="106" spans="1:12" s="963" customFormat="1">
      <c r="A106" s="2336"/>
      <c r="D106" s="2337"/>
      <c r="K106" s="798"/>
      <c r="L106" s="798"/>
    </row>
    <row r="107" spans="1:12" s="963" customFormat="1">
      <c r="A107" s="2336"/>
      <c r="D107" s="2337"/>
      <c r="K107" s="798"/>
      <c r="L107" s="798"/>
    </row>
    <row r="108" spans="1:12" s="963" customFormat="1">
      <c r="A108" s="2336"/>
      <c r="D108" s="2337"/>
      <c r="K108" s="798"/>
      <c r="L108" s="798"/>
    </row>
    <row r="109" spans="1:12" s="963" customFormat="1">
      <c r="A109" s="2336"/>
      <c r="D109" s="2337"/>
      <c r="K109" s="798"/>
      <c r="L109" s="798"/>
    </row>
    <row r="110" spans="1:12" s="963" customFormat="1">
      <c r="A110" s="2336"/>
      <c r="D110" s="2337"/>
      <c r="K110" s="798"/>
      <c r="L110" s="798"/>
    </row>
    <row r="111" spans="1:12" s="963" customFormat="1">
      <c r="A111" s="2336"/>
      <c r="D111" s="2337"/>
      <c r="K111" s="798"/>
      <c r="L111" s="798"/>
    </row>
    <row r="112" spans="1:12" s="963" customFormat="1">
      <c r="A112" s="2336"/>
      <c r="D112" s="2337"/>
      <c r="K112" s="798"/>
      <c r="L112" s="798"/>
    </row>
    <row r="113" spans="1:12" s="963" customFormat="1">
      <c r="A113" s="2336"/>
      <c r="D113" s="2337"/>
      <c r="K113" s="798"/>
      <c r="L113" s="798"/>
    </row>
    <row r="114" spans="1:12" s="963" customFormat="1">
      <c r="A114" s="2336"/>
      <c r="D114" s="2337"/>
      <c r="K114" s="798"/>
      <c r="L114" s="798"/>
    </row>
    <row r="115" spans="1:12" s="963" customFormat="1">
      <c r="A115" s="2336"/>
      <c r="D115" s="2337"/>
      <c r="K115" s="798"/>
      <c r="L115" s="798"/>
    </row>
    <row r="116" spans="1:12" s="963" customFormat="1">
      <c r="A116" s="2336"/>
      <c r="D116" s="2337"/>
      <c r="K116" s="798"/>
      <c r="L116" s="798"/>
    </row>
    <row r="117" spans="1:12" s="963" customFormat="1">
      <c r="A117" s="2336"/>
      <c r="D117" s="2337"/>
      <c r="K117" s="798"/>
      <c r="L117" s="798"/>
    </row>
    <row r="118" spans="1:12" s="963" customFormat="1">
      <c r="A118" s="2336"/>
      <c r="D118" s="2337"/>
      <c r="K118" s="798"/>
      <c r="L118" s="798"/>
    </row>
    <row r="119" spans="1:12" s="963" customFormat="1">
      <c r="A119" s="2336"/>
      <c r="D119" s="2337"/>
      <c r="K119" s="798"/>
      <c r="L119" s="798"/>
    </row>
    <row r="120" spans="1:12" s="963" customFormat="1">
      <c r="A120" s="2336"/>
      <c r="D120" s="2337"/>
      <c r="K120" s="798"/>
      <c r="L120" s="798"/>
    </row>
    <row r="121" spans="1:12" s="963" customFormat="1">
      <c r="A121" s="2336"/>
      <c r="D121" s="2337"/>
      <c r="K121" s="798"/>
      <c r="L121" s="798"/>
    </row>
    <row r="122" spans="1:12" s="963" customFormat="1">
      <c r="A122" s="2336"/>
      <c r="D122" s="2337"/>
      <c r="K122" s="798"/>
      <c r="L122" s="798"/>
    </row>
    <row r="123" spans="1:12" s="963" customFormat="1">
      <c r="A123" s="2336"/>
      <c r="D123" s="2337"/>
      <c r="K123" s="798"/>
      <c r="L123" s="798"/>
    </row>
    <row r="124" spans="1:12" s="963" customFormat="1">
      <c r="A124" s="2336"/>
      <c r="D124" s="2337"/>
      <c r="K124" s="798"/>
      <c r="L124" s="798"/>
    </row>
    <row r="125" spans="1:12" s="963" customFormat="1">
      <c r="A125" s="2336"/>
      <c r="D125" s="2337"/>
      <c r="K125" s="798"/>
      <c r="L125" s="798"/>
    </row>
    <row r="126" spans="1:12" s="963" customFormat="1">
      <c r="A126" s="2336"/>
      <c r="D126" s="2337"/>
      <c r="K126" s="798"/>
      <c r="L126" s="798"/>
    </row>
    <row r="127" spans="1:12" s="963" customFormat="1">
      <c r="A127" s="2336"/>
      <c r="D127" s="2337"/>
      <c r="K127" s="798"/>
      <c r="L127" s="798"/>
    </row>
    <row r="128" spans="1:12" s="963" customFormat="1">
      <c r="A128" s="2336"/>
      <c r="D128" s="2337"/>
      <c r="K128" s="798"/>
      <c r="L128" s="798"/>
    </row>
    <row r="129" spans="1:12" s="963" customFormat="1">
      <c r="A129" s="2336"/>
      <c r="D129" s="2337"/>
      <c r="K129" s="798"/>
      <c r="L129" s="798"/>
    </row>
    <row r="130" spans="1:12" s="963" customFormat="1">
      <c r="A130" s="2336"/>
      <c r="D130" s="2337"/>
      <c r="K130" s="798"/>
      <c r="L130" s="798"/>
    </row>
    <row r="131" spans="1:12" s="963" customFormat="1">
      <c r="A131" s="2336"/>
      <c r="D131" s="2337"/>
      <c r="K131" s="798"/>
      <c r="L131" s="798"/>
    </row>
    <row r="132" spans="1:12" s="963" customFormat="1">
      <c r="A132" s="2336"/>
      <c r="D132" s="2337"/>
      <c r="K132" s="798"/>
      <c r="L132" s="798"/>
    </row>
    <row r="133" spans="1:12" s="963" customFormat="1">
      <c r="A133" s="2336"/>
      <c r="D133" s="2337"/>
      <c r="K133" s="798"/>
      <c r="L133" s="798"/>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1" t="s">
        <v>2079</v>
      </c>
      <c r="B1" s="3062"/>
      <c r="C1" s="3062"/>
      <c r="D1" s="3062"/>
      <c r="E1" s="3062"/>
      <c r="F1" s="3062"/>
      <c r="G1" s="306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2"/>
      <c r="G2" s="2360" t="s">
        <v>2081</v>
      </c>
      <c r="H2" s="2363"/>
      <c r="I2" s="2363"/>
      <c r="J2" s="2363"/>
      <c r="K2" s="2363"/>
      <c r="L2" s="2363"/>
      <c r="M2" s="2363"/>
      <c r="N2" s="2363"/>
      <c r="O2" s="2363"/>
      <c r="P2" s="2363"/>
      <c r="Q2" s="2363"/>
      <c r="R2" s="2363"/>
    </row>
    <row r="3" spans="1:29" ht="54">
      <c r="A3" s="415" t="s">
        <v>2082</v>
      </c>
      <c r="B3" s="1267" t="s">
        <v>2083</v>
      </c>
      <c r="C3" s="2365" t="s">
        <v>2084</v>
      </c>
      <c r="D3" s="2366"/>
      <c r="E3" s="431" t="s">
        <v>2082</v>
      </c>
      <c r="F3" s="2367" t="s">
        <v>2085</v>
      </c>
      <c r="G3" s="2368" t="s">
        <v>2086</v>
      </c>
      <c r="H3" s="2363"/>
      <c r="I3" s="2363"/>
      <c r="J3" s="2363"/>
      <c r="K3" s="2363"/>
      <c r="L3" s="2363"/>
      <c r="M3" s="2363"/>
      <c r="N3" s="2363"/>
      <c r="O3" s="2363"/>
      <c r="P3" s="2363"/>
      <c r="Q3" s="2363"/>
      <c r="R3" s="2363"/>
    </row>
    <row r="4" spans="1:29" ht="41.25">
      <c r="A4" s="431"/>
      <c r="B4" s="1794" t="s">
        <v>2087</v>
      </c>
      <c r="C4" s="2369" t="s">
        <v>2088</v>
      </c>
      <c r="D4" s="2366"/>
      <c r="E4" s="2370"/>
      <c r="F4" s="42" t="s">
        <v>2089</v>
      </c>
      <c r="G4" s="2371" t="s">
        <v>2090</v>
      </c>
      <c r="H4" s="2363"/>
      <c r="I4" s="2363"/>
      <c r="J4" s="2363"/>
      <c r="K4" s="2363"/>
      <c r="L4" s="2363"/>
      <c r="M4" s="2363"/>
      <c r="N4" s="2363"/>
      <c r="O4" s="2363"/>
      <c r="P4" s="2363"/>
      <c r="Q4" s="2363"/>
      <c r="R4" s="2363"/>
    </row>
    <row r="5" spans="1:29" ht="41.25">
      <c r="A5" s="431"/>
      <c r="B5" s="1794" t="s">
        <v>2091</v>
      </c>
      <c r="C5" s="2369" t="s">
        <v>2092</v>
      </c>
      <c r="D5" s="2366"/>
      <c r="E5" s="2370"/>
      <c r="F5" s="1794" t="s">
        <v>2093</v>
      </c>
      <c r="G5" s="2371" t="s">
        <v>2094</v>
      </c>
      <c r="H5" s="2363"/>
      <c r="I5" s="2363"/>
      <c r="J5" s="2363"/>
      <c r="K5" s="2363"/>
      <c r="L5" s="2363"/>
      <c r="M5" s="2363"/>
      <c r="N5" s="2363"/>
      <c r="O5" s="2363"/>
      <c r="P5" s="2363"/>
      <c r="Q5" s="2363"/>
      <c r="R5" s="2363"/>
    </row>
    <row r="6" spans="1:29" ht="54">
      <c r="A6" s="431"/>
      <c r="B6" s="1794" t="s">
        <v>2095</v>
      </c>
      <c r="C6" s="2371" t="s">
        <v>2090</v>
      </c>
      <c r="D6" s="2366"/>
      <c r="E6" s="2370"/>
      <c r="F6" s="1794" t="s">
        <v>2096</v>
      </c>
      <c r="G6" s="2371" t="s">
        <v>2097</v>
      </c>
      <c r="H6" s="2363"/>
      <c r="I6" s="2363"/>
      <c r="J6" s="2363"/>
      <c r="K6" s="2363"/>
      <c r="L6" s="2363"/>
      <c r="M6" s="2363"/>
      <c r="N6" s="2363"/>
      <c r="O6" s="2363"/>
      <c r="P6" s="2363"/>
      <c r="Q6" s="2363"/>
      <c r="R6" s="2363"/>
    </row>
    <row r="7" spans="1:29" ht="41.25" thickBot="1">
      <c r="A7" s="431"/>
      <c r="B7" s="1794" t="s">
        <v>2093</v>
      </c>
      <c r="C7" s="2371" t="s">
        <v>2094</v>
      </c>
      <c r="D7" s="2372"/>
      <c r="E7" s="2373"/>
      <c r="F7" s="2374" t="s">
        <v>2098</v>
      </c>
      <c r="G7" s="2375" t="s">
        <v>2099</v>
      </c>
      <c r="H7" s="2363"/>
      <c r="I7" s="2363"/>
      <c r="J7" s="2363"/>
      <c r="K7" s="2363"/>
      <c r="L7" s="2363"/>
      <c r="M7" s="2363"/>
      <c r="N7" s="2363"/>
      <c r="O7" s="2363"/>
      <c r="P7" s="2363"/>
      <c r="Q7" s="2363"/>
      <c r="R7" s="2363"/>
    </row>
    <row r="8" spans="1:29" ht="27">
      <c r="A8" s="431"/>
      <c r="B8" s="1794" t="s">
        <v>2096</v>
      </c>
      <c r="C8" s="2371" t="s">
        <v>2097</v>
      </c>
      <c r="D8" s="2372"/>
      <c r="E8" s="2372"/>
      <c r="F8" s="1132"/>
      <c r="G8" s="1132"/>
      <c r="H8" s="2363"/>
      <c r="I8" s="2363"/>
      <c r="J8" s="2363"/>
      <c r="K8" s="2363"/>
      <c r="L8" s="2363"/>
      <c r="M8" s="2363"/>
      <c r="N8" s="2363"/>
      <c r="O8" s="2363"/>
      <c r="P8" s="2363"/>
      <c r="Q8" s="2363"/>
      <c r="R8" s="2363"/>
    </row>
    <row r="9" spans="1:29" ht="27">
      <c r="A9" s="431"/>
      <c r="B9" s="1794" t="s">
        <v>2100</v>
      </c>
      <c r="C9" s="2369" t="s">
        <v>2101</v>
      </c>
      <c r="D9" s="2366"/>
      <c r="E9" s="2372"/>
      <c r="F9" s="1132"/>
      <c r="G9" s="1132"/>
      <c r="H9" s="2363"/>
      <c r="I9" s="2363"/>
      <c r="J9" s="2363"/>
      <c r="K9" s="2363"/>
      <c r="L9" s="2363"/>
      <c r="M9" s="2363"/>
      <c r="N9" s="2363"/>
      <c r="O9" s="2363"/>
      <c r="P9" s="2363"/>
      <c r="Q9" s="2363"/>
      <c r="R9" s="2363"/>
    </row>
    <row r="10" spans="1:29" s="117" customFormat="1" ht="15.75" thickBot="1">
      <c r="A10" s="2376"/>
      <c r="B10" s="2377" t="s">
        <v>2102</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2103</v>
      </c>
      <c r="B13" s="2383"/>
      <c r="C13" s="2383"/>
      <c r="D13" s="2390"/>
      <c r="E13" s="2383"/>
      <c r="F13" s="2383"/>
      <c r="G13" s="2383"/>
    </row>
    <row r="14" spans="1:29" ht="15.75" thickBot="1">
      <c r="A14" s="2394"/>
      <c r="B14" s="2395"/>
      <c r="C14" s="2396" t="s">
        <v>2104</v>
      </c>
      <c r="D14" s="2366"/>
      <c r="E14" s="2397"/>
      <c r="F14" s="2397"/>
      <c r="G14" s="2360" t="s">
        <v>2105</v>
      </c>
    </row>
    <row r="15" spans="1:29" ht="57">
      <c r="A15" s="68" t="s">
        <v>2106</v>
      </c>
      <c r="B15" s="1266" t="s">
        <v>2083</v>
      </c>
      <c r="C15" s="2398" t="str">
        <f>C3</f>
        <v>估价对象周边居住用地比例、居住小区规模和社区发展完善程度，综合评价居住社区成熟度一般</v>
      </c>
      <c r="D15" s="2366"/>
      <c r="E15" s="2399" t="s">
        <v>2107</v>
      </c>
      <c r="F15" s="1266" t="s">
        <v>2108</v>
      </c>
      <c r="G15" s="134" t="str">
        <f>G3</f>
        <v>估价对象位于XX开发区，园区建设成熟度XX，产业集聚程度XX</v>
      </c>
    </row>
    <row r="16" spans="1:29" ht="42.75">
      <c r="A16" s="645"/>
      <c r="B16" s="2400" t="s">
        <v>2087</v>
      </c>
      <c r="C16" s="2401" t="str">
        <f>C4</f>
        <v>估价对象位于XX商圈，周边商业氛围成熟，人流量大，商业繁华度好</v>
      </c>
      <c r="D16" s="2366"/>
      <c r="E16" s="2402"/>
      <c r="F16" s="2403" t="s">
        <v>2089</v>
      </c>
      <c r="G16" s="135" t="str">
        <f>G4</f>
        <v>估价对象周边道路状况、公共交通通达情况、停车便捷程度，综合评价交通便捷度较好</v>
      </c>
    </row>
    <row r="17" spans="1:18" ht="42.75">
      <c r="A17" s="645"/>
      <c r="B17" s="2400" t="s">
        <v>2091</v>
      </c>
      <c r="C17" s="2401" t="str">
        <f>C5</f>
        <v>估价对象位于XX商圈，周边办公楼项目较多，入驻率高，办公集聚程度较好</v>
      </c>
      <c r="D17" s="2372"/>
      <c r="E17" s="2402"/>
      <c r="F17" s="2403" t="s">
        <v>2109</v>
      </c>
      <c r="G17" s="1568"/>
    </row>
    <row r="18" spans="1:18" ht="57">
      <c r="A18" s="645"/>
      <c r="B18" s="2403" t="s">
        <v>2095</v>
      </c>
      <c r="C18" s="135" t="str">
        <f>C6</f>
        <v>估价对象周边道路状况、公共交通通达情况、停车便捷程度，综合评价交通便捷度较好</v>
      </c>
      <c r="D18" s="2372"/>
      <c r="E18" s="2402"/>
      <c r="F18" s="2403" t="s">
        <v>2098</v>
      </c>
      <c r="G18" s="135" t="str">
        <f>G7</f>
        <v>该园区内是否有污染型企业，绿化情况，卫生条件，整体环境状况判断</v>
      </c>
    </row>
    <row r="19" spans="1:18" ht="28.5">
      <c r="A19" s="645"/>
      <c r="B19" s="2403" t="s">
        <v>2110</v>
      </c>
      <c r="C19" s="1568"/>
      <c r="D19" s="2366"/>
      <c r="E19" s="2402"/>
      <c r="F19" s="1794" t="s">
        <v>2093</v>
      </c>
      <c r="G19" s="135" t="str">
        <f>G5</f>
        <v>估价对象所在区域公共配套设施齐备情况</v>
      </c>
    </row>
    <row r="20" spans="1:18" ht="28.5">
      <c r="A20" s="645"/>
      <c r="B20" s="2403" t="s">
        <v>2111</v>
      </c>
      <c r="C20" s="2401" t="str">
        <f>C9</f>
        <v>区域自然环境：；人文环境；综合评价环境状况一般</v>
      </c>
      <c r="D20" s="2372"/>
      <c r="E20" s="2402"/>
      <c r="F20" s="1794" t="s">
        <v>2112</v>
      </c>
      <c r="G20" s="135" t="str">
        <f>G6</f>
        <v>估价对象所在区域基础设施水平</v>
      </c>
    </row>
    <row r="21" spans="1:18" ht="28.5">
      <c r="A21" s="645"/>
      <c r="B21" s="1794" t="s">
        <v>2093</v>
      </c>
      <c r="C21" s="135" t="str">
        <f>C7</f>
        <v>估价对象所在区域公共配套设施齐备情况</v>
      </c>
      <c r="D21" s="2366"/>
      <c r="E21" s="2402"/>
      <c r="F21" s="2403" t="s">
        <v>2113</v>
      </c>
      <c r="G21" s="2404"/>
    </row>
    <row r="22" spans="1:18" ht="13.5" customHeight="1">
      <c r="A22" s="645"/>
      <c r="B22" s="1794" t="s">
        <v>2096</v>
      </c>
      <c r="C22" s="135" t="str">
        <f>C8</f>
        <v>估价对象所在区域基础设施水平</v>
      </c>
      <c r="D22" s="2366"/>
      <c r="E22" s="2402"/>
      <c r="F22" s="2403" t="s">
        <v>2102</v>
      </c>
      <c r="G22" s="1568"/>
    </row>
    <row r="23" spans="1:18" s="2363" customFormat="1" ht="15.75" thickBot="1">
      <c r="A23" s="645"/>
      <c r="B23" s="2403" t="s">
        <v>2113</v>
      </c>
      <c r="C23" s="2404"/>
      <c r="D23" s="2391"/>
      <c r="E23" s="2405"/>
      <c r="F23" s="2406" t="s">
        <v>2114</v>
      </c>
      <c r="G23" s="2407"/>
      <c r="H23" s="2391"/>
      <c r="I23" s="2392"/>
      <c r="J23" s="2391"/>
      <c r="K23" s="2391"/>
      <c r="L23" s="2392"/>
      <c r="M23" s="2391"/>
      <c r="N23" s="2391"/>
      <c r="O23" s="2392"/>
      <c r="P23" s="2391"/>
      <c r="Q23" s="2391"/>
      <c r="R23" s="2393"/>
    </row>
    <row r="24" spans="1:18" s="2363" customFormat="1" ht="15.75" thickBot="1">
      <c r="A24" s="2408"/>
      <c r="B24" s="2406" t="s">
        <v>2115</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1" sqref="E21"/>
    </sheetView>
  </sheetViews>
  <sheetFormatPr defaultRowHeight="13.5"/>
  <cols>
    <col min="1" max="1" width="23.375" style="1737" customWidth="1"/>
    <col min="2" max="9" width="15.75" style="1737" customWidth="1"/>
    <col min="10" max="16384" width="9" style="1737"/>
  </cols>
  <sheetData>
    <row r="1" spans="1:10" ht="16.5">
      <c r="A1" s="1742" t="s">
        <v>1366</v>
      </c>
      <c r="B1" s="1742">
        <f>SUM(B14:B23)</f>
        <v>26215.040000000001</v>
      </c>
      <c r="C1" s="1741"/>
      <c r="D1" s="1741"/>
      <c r="E1" s="1741"/>
      <c r="F1" s="1741"/>
      <c r="G1" s="1739"/>
    </row>
    <row r="2" spans="1:10" ht="16.5">
      <c r="A2" s="1742" t="s">
        <v>1354</v>
      </c>
      <c r="B2" s="1742">
        <f>SUM(C14:C23)</f>
        <v>12572.36</v>
      </c>
      <c r="C2" s="1741"/>
      <c r="D2" s="1741"/>
      <c r="E2" s="1741"/>
      <c r="F2" s="1741"/>
      <c r="G2" s="1739"/>
    </row>
    <row r="3" spans="1:10" ht="16.5">
      <c r="A3" s="1742" t="s">
        <v>1363</v>
      </c>
      <c r="B3" s="1743">
        <f>项目基本情况!D3</f>
        <v>43076</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15037</v>
      </c>
      <c r="C5" s="1742">
        <f ca="1">ROUND(B5*10000/$B$1,0)</f>
        <v>5736</v>
      </c>
      <c r="D5" s="1742">
        <f ca="1">ROUND(B5*10000/$B$2,0)</f>
        <v>11960</v>
      </c>
      <c r="E5" s="1741"/>
      <c r="F5" s="1739"/>
      <c r="G5" s="1739"/>
    </row>
    <row r="6" spans="1:10" ht="16.5">
      <c r="A6" s="1742" t="s">
        <v>1357</v>
      </c>
      <c r="B6" s="1742">
        <f ca="1">SUM(G14:G23)</f>
        <v>15037</v>
      </c>
      <c r="C6" s="1742">
        <f ca="1">ROUND(B6*10000/$B$1,0)</f>
        <v>5736</v>
      </c>
      <c r="D6" s="1742">
        <f ca="1">ROUND(B6*10000/$B$2,0)</f>
        <v>11960</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26215.040000000001</v>
      </c>
      <c r="C14" s="1740">
        <f>'数据-汇总表'!D3</f>
        <v>12572.36</v>
      </c>
      <c r="D14" s="1740">
        <f ca="1">结果表!H118</f>
        <v>15037</v>
      </c>
      <c r="E14" s="1740">
        <f ca="1">ROUND(D14*10000/B14,0)</f>
        <v>5736</v>
      </c>
      <c r="F14" s="1740">
        <f ca="1">ROUND(D14*10000/C14,0)</f>
        <v>11960</v>
      </c>
      <c r="G14" s="1740">
        <f ca="1">结果表!D122</f>
        <v>15037</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c r="D1" s="2414"/>
      <c r="E1" s="2414"/>
      <c r="F1" s="2416" t="s">
        <v>2117</v>
      </c>
      <c r="G1" s="2066" t="s">
        <v>3058</v>
      </c>
      <c r="H1" s="2417" t="str">
        <f>IF(G1="现房","——","估价对象范围")</f>
        <v>——</v>
      </c>
      <c r="I1" s="2418" t="s">
        <v>3081</v>
      </c>
    </row>
    <row r="2" spans="1:12" ht="21.75" customHeight="1" thickBot="1">
      <c r="A2" s="3096" t="str">
        <f>项目基本情况!S2</f>
        <v>江苏省南京市溧水区经济开发区驿府街68号房地产</v>
      </c>
      <c r="B2" s="3097"/>
      <c r="C2" s="3097"/>
      <c r="D2" s="3097"/>
      <c r="E2" s="3097"/>
      <c r="F2" s="3097"/>
      <c r="G2" s="3097"/>
      <c r="H2" s="3097"/>
      <c r="I2" s="3098"/>
    </row>
    <row r="3" spans="1:12" ht="12.75">
      <c r="A3" s="3100" t="s">
        <v>2118</v>
      </c>
      <c r="B3" s="3101"/>
      <c r="C3" s="3101"/>
      <c r="D3" s="3101"/>
      <c r="E3" s="3101"/>
      <c r="F3" s="3101"/>
      <c r="G3" s="3101"/>
      <c r="H3" s="3101"/>
      <c r="I3" s="3101"/>
    </row>
    <row r="4" spans="1:12" ht="14.25">
      <c r="A4" s="2421" t="s">
        <v>2119</v>
      </c>
      <c r="B4" s="2422" t="s">
        <v>2120</v>
      </c>
      <c r="C4" s="2423" t="s">
        <v>3079</v>
      </c>
      <c r="D4" s="2423" t="s">
        <v>3080</v>
      </c>
      <c r="E4" s="3093" t="s">
        <v>2121</v>
      </c>
      <c r="F4" s="3094"/>
      <c r="G4" s="3094"/>
      <c r="H4" s="3094"/>
      <c r="I4" s="310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6" t="s">
        <v>2122</v>
      </c>
      <c r="B5" s="3014">
        <v>25</v>
      </c>
      <c r="C5" s="3079"/>
      <c r="D5" s="3099"/>
      <c r="E5" s="139" t="s">
        <v>2123</v>
      </c>
      <c r="F5" s="2425"/>
      <c r="G5" s="2425"/>
      <c r="H5" s="2425"/>
      <c r="I5" s="1830"/>
    </row>
    <row r="6" spans="1:12" ht="12.75">
      <c r="A6" s="3076"/>
      <c r="B6" s="3014"/>
      <c r="C6" s="3080"/>
      <c r="D6" s="3099"/>
      <c r="E6" s="139" t="s">
        <v>2124</v>
      </c>
      <c r="F6" s="2425"/>
      <c r="G6" s="2425"/>
      <c r="H6" s="2425"/>
      <c r="I6" s="1830"/>
    </row>
    <row r="7" spans="1:12" ht="12.75">
      <c r="A7" s="3076"/>
      <c r="B7" s="3014"/>
      <c r="C7" s="3081"/>
      <c r="D7" s="3099"/>
      <c r="E7" s="139" t="s">
        <v>2125</v>
      </c>
      <c r="F7" s="2425"/>
      <c r="G7" s="2425"/>
      <c r="H7" s="2425"/>
      <c r="I7" s="1830"/>
    </row>
    <row r="8" spans="1:12" ht="12.75">
      <c r="A8" s="3076" t="s">
        <v>2126</v>
      </c>
      <c r="B8" s="3014">
        <v>15</v>
      </c>
      <c r="C8" s="3079"/>
      <c r="D8" s="3099"/>
      <c r="E8" s="139" t="s">
        <v>2127</v>
      </c>
      <c r="F8" s="2425"/>
      <c r="G8" s="2425"/>
      <c r="H8" s="2425"/>
      <c r="I8" s="1830"/>
    </row>
    <row r="9" spans="1:12" ht="12.75">
      <c r="A9" s="3076"/>
      <c r="B9" s="3014"/>
      <c r="C9" s="3081"/>
      <c r="D9" s="3099"/>
      <c r="E9" s="139" t="s">
        <v>2128</v>
      </c>
      <c r="F9" s="2425"/>
      <c r="G9" s="2425"/>
      <c r="H9" s="2425"/>
      <c r="I9" s="1830"/>
    </row>
    <row r="10" spans="1:12" ht="12.75">
      <c r="A10" s="3076" t="s">
        <v>2129</v>
      </c>
      <c r="B10" s="3014">
        <v>15</v>
      </c>
      <c r="C10" s="3079"/>
      <c r="D10" s="3099"/>
      <c r="E10" s="139" t="s">
        <v>2130</v>
      </c>
      <c r="F10" s="2425"/>
      <c r="G10" s="2425"/>
      <c r="H10" s="2425"/>
      <c r="I10" s="1830"/>
    </row>
    <row r="11" spans="1:12" ht="12.75">
      <c r="A11" s="3076"/>
      <c r="B11" s="3014"/>
      <c r="C11" s="3081"/>
      <c r="D11" s="3099"/>
      <c r="E11" s="139" t="s">
        <v>2131</v>
      </c>
      <c r="F11" s="2425"/>
      <c r="G11" s="2425"/>
      <c r="H11" s="2425"/>
      <c r="I11" s="1830"/>
    </row>
    <row r="12" spans="1:12" ht="12.75">
      <c r="A12" s="3076" t="s">
        <v>2132</v>
      </c>
      <c r="B12" s="3014">
        <v>15</v>
      </c>
      <c r="C12" s="3079"/>
      <c r="D12" s="3099"/>
      <c r="E12" s="139" t="s">
        <v>2133</v>
      </c>
      <c r="F12" s="2425"/>
      <c r="G12" s="2425"/>
      <c r="H12" s="2425"/>
      <c r="I12" s="1830"/>
    </row>
    <row r="13" spans="1:12" ht="12.75">
      <c r="A13" s="3076"/>
      <c r="B13" s="3014"/>
      <c r="C13" s="3081"/>
      <c r="D13" s="3099"/>
      <c r="E13" s="139" t="s">
        <v>2134</v>
      </c>
      <c r="F13" s="2425"/>
      <c r="G13" s="2425"/>
      <c r="H13" s="2425"/>
      <c r="I13" s="1830"/>
    </row>
    <row r="14" spans="1:12" ht="12.75">
      <c r="A14" s="3076" t="s">
        <v>2135</v>
      </c>
      <c r="B14" s="3014">
        <v>30</v>
      </c>
      <c r="C14" s="3079">
        <v>5</v>
      </c>
      <c r="D14" s="3099">
        <v>5</v>
      </c>
      <c r="E14" s="139" t="s">
        <v>2136</v>
      </c>
      <c r="F14" s="2425"/>
      <c r="G14" s="2425"/>
      <c r="H14" s="2425"/>
      <c r="I14" s="1830"/>
    </row>
    <row r="15" spans="1:12" ht="12.75">
      <c r="A15" s="3076"/>
      <c r="B15" s="3014"/>
      <c r="C15" s="3080"/>
      <c r="D15" s="3099"/>
      <c r="E15" s="139" t="s">
        <v>2137</v>
      </c>
      <c r="F15" s="2425"/>
      <c r="G15" s="2425"/>
      <c r="H15" s="2425"/>
      <c r="I15" s="1830"/>
    </row>
    <row r="16" spans="1:12" ht="12.75">
      <c r="A16" s="3076"/>
      <c r="B16" s="3014"/>
      <c r="C16" s="3081"/>
      <c r="D16" s="3099"/>
      <c r="E16" s="139" t="s">
        <v>2138</v>
      </c>
      <c r="F16" s="2425"/>
      <c r="G16" s="2425"/>
      <c r="H16" s="2425"/>
      <c r="I16" s="1830"/>
    </row>
    <row r="17" spans="1:35" ht="15">
      <c r="A17" s="2426" t="s">
        <v>2139</v>
      </c>
      <c r="B17" s="64"/>
      <c r="C17" s="140">
        <f>SUM(C5:C16)</f>
        <v>5</v>
      </c>
      <c r="D17" s="140">
        <f>SUM(D5:D16)</f>
        <v>5</v>
      </c>
      <c r="E17" s="137"/>
      <c r="F17" s="137"/>
      <c r="G17" s="137"/>
      <c r="H17" s="137"/>
      <c r="I17" s="137"/>
      <c r="K17" s="2424"/>
      <c r="L17" s="2427" t="s">
        <v>2140</v>
      </c>
      <c r="M17" s="2427" t="s">
        <v>2141</v>
      </c>
    </row>
    <row r="18" spans="1:35" ht="15.75" thickBot="1">
      <c r="A18" s="2428" t="s">
        <v>2142</v>
      </c>
      <c r="B18" s="2429"/>
      <c r="C18" s="141">
        <f>ROUND(C17/SUM(C17:D17),2)</f>
        <v>0.5</v>
      </c>
      <c r="D18" s="141">
        <f>1-C18</f>
        <v>0.5</v>
      </c>
      <c r="E18" s="137"/>
      <c r="F18" s="137"/>
      <c r="G18" s="137"/>
      <c r="H18" s="137"/>
      <c r="I18" s="137"/>
      <c r="K18" s="2424" t="s">
        <v>2143</v>
      </c>
      <c r="L18" s="2424">
        <f>IF(C1="",'数据-汇总表'!E3,SUMIF(项目类型,C1,'数据-汇总表'!E17:E26)+SUMIF(项目类型,C1,'数据-汇总表'!I17:I26))</f>
        <v>26215.040000000001</v>
      </c>
      <c r="M18" s="2424">
        <f>IF(C1="",'数据-汇总表'!E3,SUMIF(项目类型,C1,'数据-汇总表'!E17:E26))</f>
        <v>26215.040000000001</v>
      </c>
    </row>
    <row r="19" spans="1:35" ht="15">
      <c r="A19" s="2430" t="s">
        <v>2144</v>
      </c>
      <c r="B19" s="2431" t="s">
        <v>2145</v>
      </c>
      <c r="C19" s="142">
        <f ca="1">SUMIF(INDIRECT("'"&amp;C4&amp;"'"&amp;"!A:A"),结果表!B19,INDIRECT("'"&amp;C4&amp;"'"&amp;"!B:B"))</f>
        <v>16390</v>
      </c>
      <c r="D19" s="143">
        <f ca="1">SUMIF(INDIRECT("'"&amp;D4&amp;"'"&amp;"!A:A"),结果表!B19,INDIRECT("'"&amp;D4&amp;"'"&amp;"!B:B"))</f>
        <v>13683</v>
      </c>
      <c r="E19" s="2430" t="s">
        <v>2146</v>
      </c>
      <c r="F19" s="2431" t="s">
        <v>2145</v>
      </c>
      <c r="G19" s="144">
        <f ca="1">ROUND(C19*$C$18+D19*$D$18,0)</f>
        <v>15037</v>
      </c>
      <c r="H19" s="2432" t="s">
        <v>2147</v>
      </c>
      <c r="I19" s="137"/>
      <c r="K19" s="2424" t="s">
        <v>2148</v>
      </c>
      <c r="L19" s="2424">
        <f>IF(C1="",'数据-汇总表'!D3,SUMIF(项目类型,C1,'数据-汇总表'!D17:D26)+SUMIF(项目类型,C1,'数据-汇总表'!H17:H27))</f>
        <v>12572.36</v>
      </c>
      <c r="M19" s="2424">
        <f>IF(C1="",'数据-汇总表'!D3,SUMIF(项目类型,C1,'数据-汇总表'!D17:D26))</f>
        <v>12572.36</v>
      </c>
    </row>
    <row r="20" spans="1:35" ht="15">
      <c r="A20" s="2433"/>
      <c r="B20" s="1246" t="s">
        <v>2149</v>
      </c>
      <c r="C20" s="145">
        <f ca="1">SUMIF(INDIRECT("'"&amp;C4&amp;"'"&amp;"!A:A"),结果表!B20,INDIRECT("'"&amp;C4&amp;"'"&amp;"!B:B"))</f>
        <v>6252</v>
      </c>
      <c r="D20" s="146">
        <f ca="1">SUMIF(INDIRECT("'"&amp;D4&amp;"'"&amp;"!A:A"),结果表!B20,INDIRECT("'"&amp;D4&amp;"'"&amp;"!B:B"))</f>
        <v>5220</v>
      </c>
      <c r="E20" s="2433"/>
      <c r="F20" s="1246" t="s">
        <v>2149</v>
      </c>
      <c r="G20" s="147">
        <f ca="1">ROUND(C20*$C$18+D20*$D$18,0)</f>
        <v>5736</v>
      </c>
      <c r="H20" s="979" t="s">
        <v>2150</v>
      </c>
      <c r="I20" s="137"/>
    </row>
    <row r="21" spans="1:35" ht="15" customHeight="1" thickBot="1">
      <c r="A21" s="999"/>
      <c r="B21" s="2434" t="s">
        <v>2151</v>
      </c>
      <c r="C21" s="789">
        <f ca="1">ROUND(C19*10000/L19,0)</f>
        <v>13037</v>
      </c>
      <c r="D21" s="790">
        <f ca="1">ROUND(D19*10000/L19,0)</f>
        <v>10883</v>
      </c>
      <c r="E21" s="999"/>
      <c r="F21" s="2434" t="s">
        <v>2151</v>
      </c>
      <c r="G21" s="148">
        <f ca="1">ROUND(G19*10000/L19,0)</f>
        <v>11960</v>
      </c>
      <c r="H21" s="2435" t="s">
        <v>2150</v>
      </c>
      <c r="I21" s="137"/>
    </row>
    <row r="22" spans="1:35" ht="15" thickBot="1">
      <c r="A22" s="2277" t="s">
        <v>2152</v>
      </c>
      <c r="B22" s="2436"/>
      <c r="C22" s="2437"/>
      <c r="D22" s="791">
        <f ca="1">IF(C19&lt;D19,D19/C19-1,C19/D19-1)</f>
        <v>0.19783673171088201</v>
      </c>
      <c r="E22" s="137"/>
      <c r="F22" s="137"/>
      <c r="G22" s="137"/>
      <c r="H22" s="137"/>
      <c r="I22" s="137"/>
    </row>
    <row r="23" spans="1:35" ht="13.5" thickBot="1">
      <c r="A23" s="2414"/>
      <c r="B23" s="2414"/>
      <c r="C23" s="2414"/>
      <c r="D23" s="2414"/>
      <c r="E23" s="137"/>
      <c r="F23" s="137"/>
      <c r="G23" s="137"/>
      <c r="H23" s="137"/>
      <c r="I23" s="137"/>
    </row>
    <row r="24" spans="1:35" ht="14.25">
      <c r="A24" s="3070" t="s">
        <v>2153</v>
      </c>
      <c r="B24" s="2431" t="s">
        <v>2145</v>
      </c>
      <c r="C24" s="144">
        <f>IF(B30=0,0,D30)</f>
        <v>0</v>
      </c>
      <c r="D24" s="2438"/>
      <c r="E24" s="137"/>
      <c r="F24" s="137"/>
      <c r="G24" s="137"/>
      <c r="H24" s="137"/>
      <c r="I24" s="137"/>
    </row>
    <row r="25" spans="1:35" ht="14.25">
      <c r="A25" s="3071"/>
      <c r="B25" s="1246" t="s">
        <v>2149</v>
      </c>
      <c r="C25" s="149">
        <f>IF(B30=0,0,C30)</f>
        <v>0</v>
      </c>
      <c r="D25" s="2439"/>
      <c r="E25" s="137"/>
      <c r="F25" s="137"/>
      <c r="G25" s="137"/>
      <c r="H25" s="137"/>
      <c r="I25" s="137"/>
    </row>
    <row r="26" spans="1:35" ht="13.5" customHeight="1">
      <c r="A26" s="2440" t="s">
        <v>2154</v>
      </c>
      <c r="B26" s="150" t="s">
        <v>2155</v>
      </c>
      <c r="C26" s="150" t="s">
        <v>2156</v>
      </c>
      <c r="D26" s="151" t="s">
        <v>2157</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2" t="s">
        <v>2158</v>
      </c>
      <c r="B30" s="152">
        <f>SUM(B27:B29)</f>
        <v>0</v>
      </c>
      <c r="C30" s="152" t="e">
        <f>ROUND(D30*10000/B30,0)</f>
        <v>#DIV/0!</v>
      </c>
      <c r="D30" s="152">
        <f>SUM(D27:D29)</f>
        <v>0</v>
      </c>
      <c r="E30" s="137"/>
      <c r="F30" s="137"/>
      <c r="G30" s="137"/>
      <c r="H30" s="137"/>
      <c r="I30" s="137"/>
    </row>
    <row r="31" spans="1:35" s="2442" customFormat="1" ht="15" thickBot="1">
      <c r="A31" s="2441"/>
      <c r="B31" s="2441"/>
      <c r="C31" s="2441"/>
      <c r="D31" s="2441"/>
      <c r="E31" s="137"/>
      <c r="F31" s="137"/>
      <c r="G31" s="137"/>
      <c r="H31" s="137"/>
      <c r="I31" s="137"/>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15037</v>
      </c>
      <c r="D32" s="2445" t="s">
        <v>2160</v>
      </c>
      <c r="E32" s="137"/>
      <c r="F32" s="137"/>
      <c r="G32" s="137"/>
      <c r="H32" s="137"/>
      <c r="I32" s="137"/>
    </row>
    <row r="33" spans="1:15" ht="15">
      <c r="A33" s="956" t="s">
        <v>2161</v>
      </c>
      <c r="B33" s="2446"/>
      <c r="C33" s="2447" t="s">
        <v>3262</v>
      </c>
      <c r="D33" s="2448" t="s">
        <v>3079</v>
      </c>
      <c r="E33" s="2449" t="s">
        <v>2162</v>
      </c>
      <c r="F33" s="2450" t="str">
        <f>IF(D32="楼面单价","取值（单价）","取值（总价）")</f>
        <v>取值（总价）</v>
      </c>
      <c r="G33" s="137"/>
      <c r="H33" s="137"/>
      <c r="I33" s="137"/>
    </row>
    <row r="34" spans="1:15" ht="15">
      <c r="A34" s="2451"/>
      <c r="B34" s="2452" t="s">
        <v>2163</v>
      </c>
      <c r="C34" s="157">
        <f ca="1">IF(C33="自定义",F34,C32-C35)</f>
        <v>4195</v>
      </c>
      <c r="D34" s="1054">
        <f ca="1">IF(C33="自定义",ROUND(C34/C32,3),IF(C33="收益比率",SUMIF(INDIRECT("'"&amp;D33&amp;"'"&amp;"!b:b"),"土地收益比率",INDIRECT("'"&amp;D33&amp;"'"&amp;"!c:c")),SUMIF(INDIRECT("'"&amp;D33&amp;"'"&amp;"!b:b"),"土地成本比率",INDIRECT("'"&amp;D33&amp;"'"&amp;"!c:c"))))</f>
        <v>0.27900000000000003</v>
      </c>
      <c r="E34" s="2453" t="s">
        <v>2164</v>
      </c>
      <c r="F34" s="1735"/>
      <c r="G34" s="137"/>
      <c r="H34" s="137"/>
      <c r="I34" s="137"/>
    </row>
    <row r="35" spans="1:15" ht="15.75" thickBot="1">
      <c r="A35" s="2454"/>
      <c r="B35" s="2455" t="s">
        <v>2165</v>
      </c>
      <c r="C35" s="1440">
        <f ca="1">IF(C33="自定义",F35,ROUND(C32*D35,0))</f>
        <v>10842</v>
      </c>
      <c r="D35" s="1441">
        <f ca="1">IF(C33="自定义",ROUND(C35/C32,3),IF(C33="收益比率",SUMIF(INDIRECT("'"&amp;D33&amp;"'"&amp;"!b:b"),"建筑物收益比率",INDIRECT("'"&amp;D33&amp;"'"&amp;"!c:c")),SUMIF(INDIRECT("'"&amp;D33&amp;"'"&amp;"!b:b"),"建筑物成本比率",INDIRECT("'"&amp;D33&amp;"'"&amp;"!c:c"))))</f>
        <v>0.72099999999999997</v>
      </c>
      <c r="E35" s="2456" t="s">
        <v>2166</v>
      </c>
      <c r="F35" s="163"/>
      <c r="G35" s="137"/>
      <c r="H35" s="137"/>
      <c r="I35" s="137"/>
    </row>
    <row r="36" spans="1:15" ht="15.75" thickBot="1">
      <c r="A36" s="3088" t="s">
        <v>2167</v>
      </c>
      <c r="B36" s="2457" t="s">
        <v>2168</v>
      </c>
      <c r="C36" s="154"/>
      <c r="D36" s="2458"/>
      <c r="E36" s="2459"/>
      <c r="F36" s="2460"/>
      <c r="G36" s="137"/>
      <c r="H36" s="137"/>
      <c r="I36" s="137"/>
    </row>
    <row r="37" spans="1:15" ht="15.75" thickBot="1">
      <c r="A37" s="3089"/>
      <c r="B37" s="2263" t="s">
        <v>2169</v>
      </c>
      <c r="C37" s="156"/>
      <c r="D37" s="1391"/>
      <c r="E37" s="1391"/>
      <c r="F37" s="2460"/>
      <c r="G37" s="137"/>
      <c r="H37" s="137"/>
      <c r="I37" s="137"/>
    </row>
    <row r="38" spans="1:15" ht="15.75" thickBot="1">
      <c r="A38" s="3090"/>
      <c r="B38" s="2461" t="s">
        <v>2170</v>
      </c>
      <c r="C38" s="727"/>
      <c r="D38" s="2462" t="s">
        <v>2171</v>
      </c>
      <c r="E38" s="1391"/>
      <c r="F38" s="2460"/>
      <c r="G38" s="137"/>
      <c r="H38" s="137"/>
      <c r="I38" s="137"/>
    </row>
    <row r="39" spans="1:15" ht="15">
      <c r="A39" s="2433" t="s">
        <v>2172</v>
      </c>
      <c r="B39" s="2463" t="s">
        <v>2173</v>
      </c>
      <c r="C39" s="2464" t="s">
        <v>2174</v>
      </c>
      <c r="D39" s="2464" t="s">
        <v>2175</v>
      </c>
      <c r="E39" s="2465" t="s">
        <v>2176</v>
      </c>
      <c r="F39" s="2460"/>
      <c r="G39" s="137"/>
      <c r="H39" s="137"/>
      <c r="I39" s="137"/>
    </row>
    <row r="40" spans="1:15" ht="14.25">
      <c r="A40" s="2466" t="s">
        <v>2177</v>
      </c>
      <c r="B40" s="158"/>
      <c r="C40" s="159"/>
      <c r="D40" s="159"/>
      <c r="E40" s="160"/>
      <c r="F40" s="2460"/>
      <c r="G40" s="137"/>
      <c r="H40" s="137"/>
      <c r="I40" s="137"/>
    </row>
    <row r="41" spans="1:15" ht="14.25">
      <c r="A41" s="2466" t="s">
        <v>2178</v>
      </c>
      <c r="B41" s="158"/>
      <c r="C41" s="159"/>
      <c r="D41" s="159"/>
      <c r="E41" s="160"/>
      <c r="F41" s="2460"/>
      <c r="G41" s="137"/>
      <c r="H41" s="137"/>
      <c r="I41" s="137"/>
    </row>
    <row r="42" spans="1:15" ht="15" thickBot="1">
      <c r="A42" s="2467"/>
      <c r="B42" s="161"/>
      <c r="C42" s="162"/>
      <c r="D42" s="162"/>
      <c r="E42" s="163"/>
      <c r="F42" s="2460"/>
      <c r="G42" s="137"/>
      <c r="H42" s="137"/>
      <c r="I42" s="137"/>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67" t="s">
        <v>2181</v>
      </c>
      <c r="B45" s="3068"/>
      <c r="C45" s="3069"/>
      <c r="D45" s="164">
        <f ca="1">ROUND(H101*F45,0)</f>
        <v>15037</v>
      </c>
      <c r="E45" s="165" t="s">
        <v>2182</v>
      </c>
      <c r="F45" s="166">
        <v>1</v>
      </c>
      <c r="G45" s="167" t="s">
        <v>2183</v>
      </c>
      <c r="H45" s="137"/>
      <c r="I45" s="137"/>
      <c r="J45" s="3127" t="s">
        <v>2184</v>
      </c>
      <c r="K45" s="3127"/>
      <c r="L45" s="3127"/>
      <c r="M45" s="3127"/>
      <c r="N45" s="3127"/>
      <c r="O45" s="3127"/>
    </row>
    <row r="46" spans="1:15" ht="14.25" customHeight="1">
      <c r="A46" s="3064" t="s">
        <v>2185</v>
      </c>
      <c r="B46" s="3065"/>
      <c r="C46" s="3065"/>
      <c r="D46" s="3065"/>
      <c r="E46" s="3065"/>
      <c r="F46" s="3065"/>
      <c r="G46" s="3066"/>
      <c r="H46" s="2476"/>
      <c r="I46" s="168"/>
      <c r="J46" s="1808">
        <v>1</v>
      </c>
      <c r="K46" s="3127" t="s">
        <v>2186</v>
      </c>
      <c r="L46" s="3127"/>
      <c r="M46" s="3147"/>
      <c r="N46" s="3147"/>
      <c r="O46" s="3147"/>
    </row>
    <row r="47" spans="1:15" ht="12" customHeight="1">
      <c r="A47" s="169" t="s">
        <v>2187</v>
      </c>
      <c r="B47" s="170"/>
      <c r="C47" s="171"/>
      <c r="D47" s="172" t="s">
        <v>2188</v>
      </c>
      <c r="E47" s="24" t="s">
        <v>2189</v>
      </c>
      <c r="F47" s="173" t="s">
        <v>2190</v>
      </c>
      <c r="G47" s="174" t="s">
        <v>2191</v>
      </c>
      <c r="H47" s="2476"/>
      <c r="I47" s="168"/>
      <c r="J47" s="1808">
        <v>2</v>
      </c>
      <c r="K47" s="3127" t="s">
        <v>2192</v>
      </c>
      <c r="L47" s="3127"/>
      <c r="M47" s="3148">
        <f>'数据-取费表'!B2</f>
        <v>43076</v>
      </c>
      <c r="N47" s="3148"/>
      <c r="O47" s="3148"/>
    </row>
    <row r="48" spans="1:15" ht="25.5">
      <c r="A48" s="3095" t="s">
        <v>2193</v>
      </c>
      <c r="B48" s="3078"/>
      <c r="C48" s="3078"/>
      <c r="D48" s="139">
        <f>IF(H48="情况1",0,IF(H48="情况2",D52,IF(H48="情况3",D53,IF(H48="情况4",D54))))</f>
        <v>0</v>
      </c>
      <c r="E48" s="1797" t="str">
        <f>IF(H48="情况4","(销售额-原购置价)×税（费）率","销售额×税（费）率")</f>
        <v>销售额×税（费）率</v>
      </c>
      <c r="F48" s="175" t="str">
        <f>IF(H48="情况1","免征",'数据-取费表'!B41)</f>
        <v>免征</v>
      </c>
      <c r="G48" s="2477" t="s">
        <v>2194</v>
      </c>
      <c r="H48" s="2478" t="s">
        <v>2195</v>
      </c>
      <c r="I48" s="2476"/>
      <c r="J48" s="1808">
        <v>3</v>
      </c>
      <c r="K48" s="3127" t="s">
        <v>2196</v>
      </c>
      <c r="L48" s="3127"/>
      <c r="M48" s="3149">
        <f ca="1">H101</f>
        <v>15037</v>
      </c>
      <c r="N48" s="3149"/>
      <c r="O48" s="3149"/>
    </row>
    <row r="49" spans="1:35" ht="25.5" customHeight="1">
      <c r="A49" s="176" t="s">
        <v>2197</v>
      </c>
      <c r="B49" s="3063" t="s">
        <v>2198</v>
      </c>
      <c r="C49" s="3063"/>
      <c r="D49" s="177">
        <v>0</v>
      </c>
      <c r="E49" s="23" t="s">
        <v>2199</v>
      </c>
      <c r="F49" s="28" t="s">
        <v>34</v>
      </c>
      <c r="G49" s="3133"/>
      <c r="H49" s="137"/>
      <c r="I49" s="2479"/>
      <c r="J49" s="1808">
        <v>4</v>
      </c>
      <c r="K49" s="3127" t="str">
        <f>IF(项目基本情况!E8="房地产抵押价值","房地产抵押价值","抵押担保权已注销时的房地产抵押价值")</f>
        <v>抵押担保权已注销时的房地产抵押价值</v>
      </c>
      <c r="L49" s="3127"/>
      <c r="M49" s="3149" t="str">
        <f>IF(项目基本情况!E8="房地产抵押价值",H107,H109)</f>
        <v>——</v>
      </c>
      <c r="N49" s="3149"/>
      <c r="O49" s="3149"/>
    </row>
    <row r="50" spans="1:35" ht="25.5" customHeight="1">
      <c r="A50" s="178"/>
      <c r="B50" s="3063" t="s">
        <v>2200</v>
      </c>
      <c r="C50" s="3063"/>
      <c r="D50" s="179"/>
      <c r="E50" s="31"/>
      <c r="F50" s="180"/>
      <c r="G50" s="3134"/>
      <c r="H50" s="137"/>
      <c r="I50" s="2479"/>
      <c r="J50" s="3127" t="s">
        <v>2201</v>
      </c>
      <c r="K50" s="3127"/>
      <c r="L50" s="3127"/>
      <c r="M50" s="3127"/>
      <c r="N50" s="3127"/>
      <c r="O50" s="3127"/>
    </row>
    <row r="51" spans="1:35" ht="12" customHeight="1">
      <c r="A51" s="181"/>
      <c r="B51" s="3063" t="s">
        <v>2202</v>
      </c>
      <c r="C51" s="3063"/>
      <c r="D51" s="182"/>
      <c r="E51" s="30"/>
      <c r="F51" s="180"/>
      <c r="G51" s="3135"/>
      <c r="H51" s="137"/>
      <c r="I51" s="2479"/>
      <c r="J51" s="2480" t="s">
        <v>2203</v>
      </c>
      <c r="K51" s="3127" t="s">
        <v>2204</v>
      </c>
      <c r="L51" s="3127"/>
      <c r="M51" s="2480" t="s">
        <v>2205</v>
      </c>
      <c r="N51" s="2480" t="s">
        <v>2206</v>
      </c>
      <c r="O51" s="2480" t="s">
        <v>2207</v>
      </c>
    </row>
    <row r="52" spans="1:35" ht="24" customHeight="1">
      <c r="A52" s="183" t="s">
        <v>2208</v>
      </c>
      <c r="B52" s="3063" t="s">
        <v>2209</v>
      </c>
      <c r="C52" s="3063"/>
      <c r="D52" s="182">
        <f ca="1">ROUND(D45*'数据-取费表'!B41/(1+'数据-取费表'!C42),0)</f>
        <v>802</v>
      </c>
      <c r="E52" s="11" t="s">
        <v>2210</v>
      </c>
      <c r="F52" s="184">
        <f>'数据-取费表'!B41</f>
        <v>5.6000000000000001E-2</v>
      </c>
      <c r="G52" s="2481"/>
      <c r="H52" s="137"/>
      <c r="I52" s="2479"/>
      <c r="J52" s="1808">
        <v>1</v>
      </c>
      <c r="K52" s="3128" t="s">
        <v>2211</v>
      </c>
      <c r="L52" s="3128"/>
      <c r="M52" s="1750">
        <f>D48</f>
        <v>0</v>
      </c>
      <c r="N52" s="1808" t="str">
        <f>E48</f>
        <v>销售额×税（费）率</v>
      </c>
      <c r="O52" s="1751" t="str">
        <f>F48</f>
        <v>免征</v>
      </c>
    </row>
    <row r="53" spans="1:35" ht="12" customHeight="1">
      <c r="A53" s="183" t="s">
        <v>2212</v>
      </c>
      <c r="B53" s="3086" t="s">
        <v>2213</v>
      </c>
      <c r="C53" s="3087"/>
      <c r="D53" s="182">
        <f ca="1">ROUND(D45*'数据-取费表'!B41/(1+'数据-取费表'!C42),0)</f>
        <v>802</v>
      </c>
      <c r="E53" s="11" t="s">
        <v>2210</v>
      </c>
      <c r="F53" s="184">
        <f>'数据-取费表'!B41</f>
        <v>5.6000000000000001E-2</v>
      </c>
      <c r="G53" s="2481"/>
      <c r="H53" s="137"/>
      <c r="I53" s="2479"/>
      <c r="J53" s="1808">
        <v>2</v>
      </c>
      <c r="K53" s="3128" t="s">
        <v>2214</v>
      </c>
      <c r="L53" s="3128"/>
      <c r="M53" s="1750">
        <f t="shared" ref="M53:O54" ca="1" si="0">D55</f>
        <v>8</v>
      </c>
      <c r="N53" s="1808" t="str">
        <f t="shared" si="0"/>
        <v>销售额×税（费）率</v>
      </c>
      <c r="O53" s="1751">
        <f t="shared" si="0"/>
        <v>5.0000000000000001E-4</v>
      </c>
    </row>
    <row r="54" spans="1:35" ht="12" customHeight="1">
      <c r="A54" s="183" t="s">
        <v>2215</v>
      </c>
      <c r="B54" s="3086" t="s">
        <v>2216</v>
      </c>
      <c r="C54" s="3087"/>
      <c r="D54" s="182">
        <f ca="1">C68</f>
        <v>802</v>
      </c>
      <c r="E54" s="30" t="s">
        <v>2217</v>
      </c>
      <c r="F54" s="184">
        <f>'数据-取费表'!B41</f>
        <v>5.6000000000000001E-2</v>
      </c>
      <c r="G54" s="2481"/>
      <c r="H54" s="2482"/>
      <c r="I54" s="2479"/>
      <c r="J54" s="1808">
        <v>3</v>
      </c>
      <c r="K54" s="3128" t="s">
        <v>2218</v>
      </c>
      <c r="L54" s="3128"/>
      <c r="M54" s="1750">
        <f t="shared" ca="1" si="0"/>
        <v>8511</v>
      </c>
      <c r="N54" s="1808" t="str">
        <f t="shared" si="0"/>
        <v>增值额×税（费）率</v>
      </c>
      <c r="O54" s="1752" t="str">
        <f t="shared" si="0"/>
        <v>——</v>
      </c>
    </row>
    <row r="55" spans="1:35" ht="24" customHeight="1">
      <c r="A55" s="3077" t="s">
        <v>2219</v>
      </c>
      <c r="B55" s="3078"/>
      <c r="C55" s="3078"/>
      <c r="D55" s="185">
        <f ca="1">IF(H55="个人住宅",0,ROUND(D45*I55,0))</f>
        <v>8</v>
      </c>
      <c r="E55" s="11" t="s">
        <v>2220</v>
      </c>
      <c r="F55" s="184">
        <f>IF(H55="正常",I55,"免征")</f>
        <v>5.0000000000000001E-4</v>
      </c>
      <c r="G55" s="2481"/>
      <c r="H55" s="2478" t="s">
        <v>2221</v>
      </c>
      <c r="I55" s="186">
        <f>'数据-取费表'!B49</f>
        <v>5.0000000000000001E-4</v>
      </c>
      <c r="J55" s="1808" t="str">
        <f>IF(H59="非个人房产","",4)</f>
        <v/>
      </c>
      <c r="K55" s="3128" t="str">
        <f>IF(H59="非个人房产","——","个人所得税")</f>
        <v>——</v>
      </c>
      <c r="L55" s="3128"/>
      <c r="M55" s="1753" t="str">
        <f>D59</f>
        <v>——</v>
      </c>
      <c r="N55" s="1806" t="str">
        <f>E59</f>
        <v>——</v>
      </c>
      <c r="O55" s="1754" t="str">
        <f>F59</f>
        <v>——</v>
      </c>
    </row>
    <row r="56" spans="1:35" ht="24.75">
      <c r="A56" s="3077" t="s">
        <v>2222</v>
      </c>
      <c r="B56" s="3078"/>
      <c r="C56" s="3078"/>
      <c r="D56" s="185">
        <f ca="1">IF(H56="个人住宅",D57,D58)</f>
        <v>8511</v>
      </c>
      <c r="E56" s="11" t="s">
        <v>2223</v>
      </c>
      <c r="F56" s="184" t="str">
        <f>IF(H56="正常",F58,"免征")</f>
        <v>——</v>
      </c>
      <c r="G56" s="2483" t="s">
        <v>2224</v>
      </c>
      <c r="H56" s="2484" t="s">
        <v>2221</v>
      </c>
      <c r="I56" s="2485"/>
      <c r="J56" s="1808" t="str">
        <f>IF(项目基本情况!K6="上海银行",IF(J55="",4,J55+1),"")</f>
        <v/>
      </c>
      <c r="K56" s="3151" t="str">
        <f>IF(项目基本情况!K6="上海银行","其他处置费用","")</f>
        <v/>
      </c>
      <c r="L56" s="3152"/>
      <c r="M56" s="1750" t="str">
        <f>IF(项目基本情况!K6="上海银行",M69,"")</f>
        <v/>
      </c>
      <c r="N56" s="3154" t="str">
        <f>IF(项目基本情况!K6="上海银行","包含处置中涉及的律师、诉讼、拍卖、评估等费用","")</f>
        <v/>
      </c>
      <c r="O56" s="3155"/>
    </row>
    <row r="57" spans="1:35" ht="12.75">
      <c r="A57" s="183" t="s">
        <v>2197</v>
      </c>
      <c r="B57" s="3093" t="s">
        <v>2225</v>
      </c>
      <c r="C57" s="3102"/>
      <c r="D57" s="187">
        <v>0</v>
      </c>
      <c r="E57" s="23" t="s">
        <v>2199</v>
      </c>
      <c r="F57" s="155"/>
      <c r="G57" s="2481"/>
      <c r="H57" s="2485"/>
      <c r="I57" s="2485"/>
      <c r="J57" s="3128">
        <f>IF(AND(J55="",J56=""),4,IF(项目基本情况!K6="上海银行",结果表!J56+1,结果表!J55+1))</f>
        <v>4</v>
      </c>
      <c r="K57" s="3128" t="s">
        <v>2226</v>
      </c>
      <c r="L57" s="2486" t="s">
        <v>2227</v>
      </c>
      <c r="M57" s="1755"/>
      <c r="N57" s="1756">
        <f ca="1">SUMIF(M52:M56,"&lt;9e307")</f>
        <v>8519</v>
      </c>
      <c r="O57" s="2487"/>
      <c r="P57" s="1749" t="e">
        <f ca="1">N57/M49</f>
        <v>#VALUE!</v>
      </c>
    </row>
    <row r="58" spans="1:35" ht="24.75">
      <c r="A58" s="183" t="s">
        <v>2208</v>
      </c>
      <c r="B58" s="3093" t="s">
        <v>2228</v>
      </c>
      <c r="C58" s="3094"/>
      <c r="D58" s="185">
        <f ca="1">IF(H58="转让取得",C81,C97)</f>
        <v>8511</v>
      </c>
      <c r="E58" s="11" t="s">
        <v>2223</v>
      </c>
      <c r="F58" s="24" t="s">
        <v>34</v>
      </c>
      <c r="G58" s="2481"/>
      <c r="H58" s="2484" t="s">
        <v>2229</v>
      </c>
      <c r="I58" s="2485"/>
      <c r="J58" s="3128"/>
      <c r="K58" s="3128"/>
      <c r="L58" s="2486" t="s">
        <v>2230</v>
      </c>
      <c r="M58" s="1757"/>
      <c r="N58" s="2488" t="str">
        <f ca="1">NUMBERSTRING(INT(N57*10000),2)&amp;"元整"</f>
        <v>捌仟伍佰壹拾玖万元整</v>
      </c>
      <c r="O58" s="2489"/>
    </row>
    <row r="59" spans="1:35" ht="24.75" thickBot="1">
      <c r="A59" s="3131" t="s">
        <v>2231</v>
      </c>
      <c r="B59" s="3132"/>
      <c r="C59" s="3132"/>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29">
        <f>J57+1</f>
        <v>5</v>
      </c>
      <c r="K59" s="3128" t="s">
        <v>2233</v>
      </c>
      <c r="L59" s="1808" t="s">
        <v>2227</v>
      </c>
      <c r="M59" s="1758"/>
      <c r="N59" s="1759" t="e">
        <f ca="1">M49-N57</f>
        <v>#VALUE!</v>
      </c>
      <c r="O59" s="2491"/>
    </row>
    <row r="60" spans="1:35" ht="12" customHeight="1">
      <c r="A60" s="2492"/>
      <c r="B60" s="2414"/>
      <c r="C60" s="2414"/>
      <c r="D60" s="2414"/>
      <c r="E60" s="2162"/>
      <c r="F60" s="2485"/>
      <c r="G60" s="2485"/>
      <c r="H60" s="2493"/>
      <c r="I60" s="137"/>
      <c r="J60" s="3130"/>
      <c r="K60" s="3128"/>
      <c r="L60" s="2486" t="s">
        <v>2230</v>
      </c>
      <c r="M60" s="1757"/>
      <c r="N60" s="2488" t="e">
        <f ca="1">NUMBERSTRING(INT(N59*10000),2)&amp;"元整"</f>
        <v>#VALUE!</v>
      </c>
      <c r="O60" s="2489"/>
    </row>
    <row r="61" spans="1:35" ht="13.5" thickBot="1">
      <c r="A61" s="3075" t="s">
        <v>2234</v>
      </c>
      <c r="B61" s="3075"/>
      <c r="C61" s="3075"/>
      <c r="D61" s="3075"/>
      <c r="E61" s="3075"/>
      <c r="F61" s="2485"/>
      <c r="G61" s="2485"/>
      <c r="H61" s="2493"/>
      <c r="I61" s="137"/>
      <c r="J61" s="1808">
        <f>J59+1</f>
        <v>6</v>
      </c>
      <c r="K61" s="3128" t="s">
        <v>2235</v>
      </c>
      <c r="L61" s="3128"/>
      <c r="M61" s="1760"/>
      <c r="N61" s="1761" t="e">
        <f ca="1">ROUND(N59*10000/'数据-汇总表'!E3,0)</f>
        <v>#VALUE!</v>
      </c>
      <c r="O61" s="2494"/>
    </row>
    <row r="62" spans="1:35" ht="12.75">
      <c r="A62" s="3091" t="s">
        <v>2236</v>
      </c>
      <c r="B62" s="3092"/>
      <c r="C62" s="1800"/>
      <c r="D62" s="1800" t="s">
        <v>2237</v>
      </c>
      <c r="E62" s="192" t="s">
        <v>2238</v>
      </c>
      <c r="F62" s="2485"/>
      <c r="G62" s="2485"/>
      <c r="H62" s="2493"/>
      <c r="I62" s="137"/>
    </row>
    <row r="63" spans="1:35" ht="12.75">
      <c r="A63" s="203" t="s">
        <v>775</v>
      </c>
      <c r="B63" s="193" t="s">
        <v>2239</v>
      </c>
      <c r="C63" s="194">
        <f ca="1">ROUND((C64+C65)/(1+'数据-取费表'!C42),0)</f>
        <v>14321</v>
      </c>
      <c r="D63" s="195"/>
      <c r="E63" s="196"/>
      <c r="F63" s="2485"/>
      <c r="G63" s="2485"/>
      <c r="H63" s="2493"/>
      <c r="I63" s="137"/>
      <c r="J63" s="3153" t="s">
        <v>2240</v>
      </c>
      <c r="K63" s="2495" t="s">
        <v>2241</v>
      </c>
      <c r="L63" s="1748" t="e">
        <f>IF(M49&gt;10000,M49*0.5%,IF(AND(M49&gt;1000,M49&lt;=10000),M49*1%,IF(AND(M49&gt;100,M49&lt;=1000),M49*3%,IF(AND(M49&gt;10,M49&lt;=100),M49*5%,M49*8%))))</f>
        <v>#VALUE!</v>
      </c>
      <c r="M63" s="24" t="e">
        <f>ROUND(L63,1)</f>
        <v>#VALUE!</v>
      </c>
      <c r="Z63" s="2419"/>
      <c r="AI63" s="2420"/>
    </row>
    <row r="64" spans="1:35" ht="14.25" customHeight="1">
      <c r="A64" s="197" t="s">
        <v>770</v>
      </c>
      <c r="B64" s="198" t="s">
        <v>2242</v>
      </c>
      <c r="C64" s="199">
        <f ca="1">D45</f>
        <v>15037</v>
      </c>
      <c r="D64" s="200" t="s">
        <v>32</v>
      </c>
      <c r="E64" s="201"/>
      <c r="F64" s="2485"/>
      <c r="G64" s="2485"/>
      <c r="H64" s="2493"/>
      <c r="I64" s="137"/>
      <c r="J64" s="3153"/>
      <c r="K64" s="2495" t="s">
        <v>2243</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2244</v>
      </c>
      <c r="Z64" s="2419"/>
      <c r="AI64" s="2420"/>
    </row>
    <row r="65" spans="1:35" ht="14.25" customHeight="1">
      <c r="A65" s="197" t="s">
        <v>771</v>
      </c>
      <c r="B65" s="198" t="s">
        <v>2245</v>
      </c>
      <c r="C65" s="202"/>
      <c r="D65" s="200"/>
      <c r="E65" s="201"/>
      <c r="F65" s="2485"/>
      <c r="G65" s="2485"/>
      <c r="H65" s="2493"/>
      <c r="I65" s="137"/>
      <c r="J65" s="3153"/>
      <c r="K65" s="2495" t="s">
        <v>2246</v>
      </c>
      <c r="L65" s="1748" t="e">
        <f>IF(M49&gt;1000,M49*0.1%,IF(AND(M49&gt;500,M49&lt;=1000),M49*0.5%,IF(AND(M49&gt;50,M49&lt;=500),M49*1%,IF(AND(M49&gt;1,M49&lt;=50),M49*1.5%))))</f>
        <v>#VALUE!</v>
      </c>
      <c r="M65" s="24" t="e">
        <f t="shared" si="1"/>
        <v>#VALUE!</v>
      </c>
      <c r="N65" s="137" t="s">
        <v>2244</v>
      </c>
      <c r="Z65" s="2419"/>
      <c r="AI65" s="2420"/>
    </row>
    <row r="66" spans="1:35" ht="14.25" customHeight="1">
      <c r="A66" s="203" t="s">
        <v>772</v>
      </c>
      <c r="B66" s="204" t="s">
        <v>2247</v>
      </c>
      <c r="C66" s="205"/>
      <c r="D66" s="206" t="s">
        <v>32</v>
      </c>
      <c r="E66" s="1772" t="s">
        <v>1372</v>
      </c>
      <c r="F66" s="2485"/>
      <c r="G66" s="2485"/>
      <c r="H66" s="2493"/>
      <c r="I66" s="137"/>
      <c r="J66" s="3153"/>
      <c r="K66" s="2495" t="s">
        <v>2248</v>
      </c>
      <c r="L66" s="1748" t="e">
        <f>M49*0.5%</f>
        <v>#VALUE!</v>
      </c>
      <c r="M66" s="24" t="e">
        <f>IF(L66&gt;0.5,0.5,ROUND(L66,0))</f>
        <v>#VALUE!</v>
      </c>
      <c r="N66" s="137" t="s">
        <v>2249</v>
      </c>
      <c r="Z66" s="2419"/>
      <c r="AI66" s="2420"/>
    </row>
    <row r="67" spans="1:35" ht="14.25" customHeight="1">
      <c r="A67" s="203" t="s">
        <v>773</v>
      </c>
      <c r="B67" s="204" t="s">
        <v>2250</v>
      </c>
      <c r="C67" s="207">
        <f ca="1">C63-C66</f>
        <v>14321</v>
      </c>
      <c r="D67" s="200" t="s">
        <v>32</v>
      </c>
      <c r="E67" s="201"/>
      <c r="F67" s="2485"/>
      <c r="G67" s="2485"/>
      <c r="H67" s="2493"/>
      <c r="I67" s="137"/>
      <c r="J67" s="3153"/>
      <c r="K67" s="2495" t="s">
        <v>2251</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2252</v>
      </c>
      <c r="C68" s="210">
        <f ca="1">IF(C67&lt;=0,0,ROUND(C67*D68,0))</f>
        <v>802</v>
      </c>
      <c r="D68" s="211">
        <f>'数据-取费表'!B41</f>
        <v>5.6000000000000001E-2</v>
      </c>
      <c r="E68" s="212"/>
      <c r="F68" s="2485"/>
      <c r="G68" s="2485"/>
      <c r="H68" s="2493"/>
      <c r="I68" s="137"/>
      <c r="J68" s="3153"/>
      <c r="K68" s="2495" t="s">
        <v>2253</v>
      </c>
      <c r="L68" s="1748"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153"/>
      <c r="K69" s="2495" t="s">
        <v>2254</v>
      </c>
      <c r="L69" s="2501"/>
      <c r="M69" s="24" t="e">
        <f>ROUND(SUM(M63:M68),0)</f>
        <v>#VALUE!</v>
      </c>
      <c r="N69" s="1749"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2" t="s">
        <v>2255</v>
      </c>
      <c r="B70" s="3113"/>
      <c r="C70" s="3113"/>
      <c r="D70" s="3113"/>
      <c r="E70" s="3113"/>
      <c r="F70" s="3113"/>
      <c r="G70" s="3113"/>
      <c r="H70" s="311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1" t="s">
        <v>2236</v>
      </c>
      <c r="B71" s="3092"/>
      <c r="C71" s="1800"/>
      <c r="D71" s="1800"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14321</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86</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086" t="s">
        <v>2264</v>
      </c>
      <c r="F76" s="3063"/>
      <c r="G76" s="3063"/>
      <c r="H76" s="311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4.0500000000000001E-2</v>
      </c>
      <c r="E77" s="15" t="s">
        <v>2266</v>
      </c>
      <c r="F77" s="224"/>
      <c r="G77" s="2509" t="s">
        <v>2267</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86</v>
      </c>
      <c r="D78" s="226">
        <f>'数据-取费表'!B43</f>
        <v>6.000000000000001E-3</v>
      </c>
      <c r="E78" s="3072" t="s">
        <v>2269</v>
      </c>
      <c r="F78" s="3073"/>
      <c r="G78" s="3073"/>
      <c r="H78" s="308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14235</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165.52325581395348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8511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2" t="s">
        <v>2273</v>
      </c>
      <c r="B83" s="3113"/>
      <c r="C83" s="3113"/>
      <c r="D83" s="3113"/>
      <c r="E83" s="3113"/>
      <c r="F83" s="3113"/>
      <c r="G83" s="3113"/>
      <c r="H83" s="311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1" t="s">
        <v>2236</v>
      </c>
      <c r="B84" s="3092"/>
      <c r="C84" s="1800"/>
      <c r="D84" s="1800"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14321</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86</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6"/>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4.0500000000000001E-2</v>
      </c>
      <c r="E89" s="237" t="s">
        <v>2278</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72" t="s">
        <v>2282</v>
      </c>
      <c r="F91" s="3073"/>
      <c r="G91" s="3073"/>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72" t="s">
        <v>2286</v>
      </c>
      <c r="F92" s="3073"/>
      <c r="G92" s="3073"/>
      <c r="H92" s="308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86</v>
      </c>
      <c r="D93" s="226">
        <f>'数据-取费表'!B43</f>
        <v>6.000000000000001E-3</v>
      </c>
      <c r="E93" s="3072" t="s">
        <v>2269</v>
      </c>
      <c r="F93" s="3073"/>
      <c r="G93" s="3073"/>
      <c r="H93" s="308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083" t="s">
        <v>2290</v>
      </c>
      <c r="F94" s="3084"/>
      <c r="G94" s="3084"/>
      <c r="H94" s="308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14235</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165.52325581395348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8511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2291</v>
      </c>
      <c r="B99" s="2414"/>
      <c r="C99" s="2414"/>
      <c r="D99" s="2414"/>
      <c r="E99" s="2162"/>
      <c r="F99" s="2162"/>
      <c r="G99" s="2162"/>
      <c r="H99" s="2161"/>
      <c r="I99" s="137"/>
    </row>
    <row r="100" spans="1:35" ht="18.75" customHeight="1">
      <c r="A100" s="3057" t="s">
        <v>2292</v>
      </c>
      <c r="B100" s="3058"/>
      <c r="C100" s="3058"/>
      <c r="D100" s="3074"/>
      <c r="E100" s="3058" t="s">
        <v>2293</v>
      </c>
      <c r="F100" s="3058"/>
      <c r="G100" s="3058"/>
      <c r="H100" s="3074"/>
      <c r="I100" s="137"/>
    </row>
    <row r="101" spans="1:35" ht="18.75" customHeight="1">
      <c r="A101" s="3136" t="s">
        <v>2294</v>
      </c>
      <c r="B101" s="3137"/>
      <c r="C101" s="736" t="str">
        <f>C4</f>
        <v>成本法</v>
      </c>
      <c r="D101" s="737" t="str">
        <f>D4</f>
        <v>收益法（汇总）</v>
      </c>
      <c r="E101" s="3150" t="s">
        <v>2295</v>
      </c>
      <c r="F101" s="3104"/>
      <c r="G101" s="2516" t="s">
        <v>2296</v>
      </c>
      <c r="H101" s="1044">
        <f ca="1">H118</f>
        <v>15037</v>
      </c>
      <c r="I101" s="137"/>
    </row>
    <row r="102" spans="1:35" ht="18.75" customHeight="1">
      <c r="A102" s="3106" t="s">
        <v>2297</v>
      </c>
      <c r="B102" s="2516" t="s">
        <v>2296</v>
      </c>
      <c r="C102" s="736">
        <f ca="1">C19</f>
        <v>16390</v>
      </c>
      <c r="D102" s="737">
        <f ca="1">D19</f>
        <v>13683</v>
      </c>
      <c r="E102" s="3150"/>
      <c r="F102" s="3104"/>
      <c r="G102" s="2516" t="s">
        <v>2298</v>
      </c>
      <c r="H102" s="371">
        <f ca="1">I118</f>
        <v>5736</v>
      </c>
      <c r="I102" s="137"/>
    </row>
    <row r="103" spans="1:35" ht="42.75" customHeight="1">
      <c r="A103" s="3106"/>
      <c r="B103" s="2516" t="s">
        <v>2298</v>
      </c>
      <c r="C103" s="738">
        <f ca="1">C20</f>
        <v>6252</v>
      </c>
      <c r="D103" s="739">
        <f ca="1">D20</f>
        <v>5220</v>
      </c>
      <c r="E103" s="3145" t="s">
        <v>2299</v>
      </c>
      <c r="F103" s="3146"/>
      <c r="G103" s="2517" t="s">
        <v>2300</v>
      </c>
      <c r="H103" s="1044">
        <f>IF(D36="正常操作",H104+H105+H106,H105+H106)</f>
        <v>0</v>
      </c>
      <c r="I103" s="137"/>
    </row>
    <row r="104" spans="1:35" ht="18.75" customHeight="1">
      <c r="A104" s="3106" t="s">
        <v>2301</v>
      </c>
      <c r="B104" s="2518" t="s">
        <v>2296</v>
      </c>
      <c r="C104" s="740">
        <f ca="1">H118</f>
        <v>15037</v>
      </c>
      <c r="D104" s="741"/>
      <c r="E104" s="2263" t="s">
        <v>2302</v>
      </c>
      <c r="F104" s="2254"/>
      <c r="G104" s="2517" t="s">
        <v>2300</v>
      </c>
      <c r="H104" s="1045">
        <f>IF(D36="同一抵押权人同一抵押物续贷",C36&amp;"（未扣减，详见特别提示）",C36)</f>
        <v>0</v>
      </c>
      <c r="I104" s="137"/>
    </row>
    <row r="105" spans="1:35" ht="18.75" customHeight="1" thickBot="1">
      <c r="A105" s="3107"/>
      <c r="B105" s="2519" t="s">
        <v>2298</v>
      </c>
      <c r="C105" s="742">
        <f ca="1">I118</f>
        <v>5736</v>
      </c>
      <c r="D105" s="743"/>
      <c r="E105" s="2263" t="s">
        <v>2303</v>
      </c>
      <c r="F105" s="2254"/>
      <c r="G105" s="2517" t="s">
        <v>2300</v>
      </c>
      <c r="H105" s="1045">
        <f>C37</f>
        <v>0</v>
      </c>
      <c r="I105" s="137"/>
    </row>
    <row r="106" spans="1:35" ht="18.75" customHeight="1">
      <c r="A106" s="2414" t="s">
        <v>2304</v>
      </c>
      <c r="B106" s="2414"/>
      <c r="C106" s="2414"/>
      <c r="D106" s="2414"/>
      <c r="E106" s="2520" t="s">
        <v>2305</v>
      </c>
      <c r="F106" s="2254"/>
      <c r="G106" s="2517" t="s">
        <v>2300</v>
      </c>
      <c r="H106" s="1045">
        <f>C38</f>
        <v>0</v>
      </c>
      <c r="I106" s="137"/>
    </row>
    <row r="107" spans="1:35" ht="18.75" customHeight="1">
      <c r="A107" s="137"/>
      <c r="B107" s="137"/>
      <c r="C107" s="137"/>
      <c r="D107" s="137"/>
      <c r="E107" s="3103" t="str">
        <f>IF(项目基本情况!E8="已注销","——","3.房地产抵押价值")</f>
        <v>3.房地产抵押价值</v>
      </c>
      <c r="F107" s="3104"/>
      <c r="G107" s="2516" t="s">
        <v>2296</v>
      </c>
      <c r="H107" s="1044">
        <f ca="1">IF(E107="——","——",H101-H103)</f>
        <v>15037</v>
      </c>
      <c r="I107" s="137"/>
    </row>
    <row r="108" spans="1:35" ht="18.75" customHeight="1">
      <c r="A108" s="137"/>
      <c r="B108" s="137"/>
      <c r="C108" s="137"/>
      <c r="D108" s="137"/>
      <c r="E108" s="3103"/>
      <c r="F108" s="3104"/>
      <c r="G108" s="2516" t="s">
        <v>2298</v>
      </c>
      <c r="H108" s="371">
        <f ca="1">ROUND(H107*10000/'数据-汇总表'!E3,0)</f>
        <v>5736</v>
      </c>
      <c r="I108" s="137"/>
    </row>
    <row r="109" spans="1:35" ht="18.75" customHeight="1">
      <c r="A109" s="137"/>
      <c r="B109" s="137"/>
      <c r="C109" s="137"/>
      <c r="D109" s="137"/>
      <c r="E109" s="3103" t="str">
        <f>IF(项目基本情况!E8="已注销及未注销","4.抵押担保权已注销时的房地产抵押价值",IF(项目基本情况!E8="已注销","3.抵押担保权已注销时的房地产抵押价值","——"))</f>
        <v>——</v>
      </c>
      <c r="F109" s="3104"/>
      <c r="G109" s="2516" t="s">
        <v>2296</v>
      </c>
      <c r="H109" s="348" t="str">
        <f>IF(E109="——","——",H101-H105-H106)</f>
        <v>——</v>
      </c>
      <c r="I109" s="137"/>
    </row>
    <row r="110" spans="1:35" ht="18.75" customHeight="1">
      <c r="A110" s="137"/>
      <c r="B110" s="137"/>
      <c r="C110" s="137"/>
      <c r="D110" s="137"/>
      <c r="E110" s="3103"/>
      <c r="F110" s="3104"/>
      <c r="G110" s="2516" t="s">
        <v>2298</v>
      </c>
      <c r="H110" s="371" t="str">
        <f>IF(H109="——","——",ROUND(H109*10000/'数据-汇总表'!E3,0))</f>
        <v>——</v>
      </c>
      <c r="I110" s="137"/>
    </row>
    <row r="111" spans="1:35" ht="18.75" customHeight="1">
      <c r="A111" s="137"/>
      <c r="B111" s="137"/>
      <c r="C111" s="137"/>
      <c r="D111" s="137"/>
      <c r="E111" s="3138" t="str">
        <f>IF(项目基本情况!E9="抵押净值",IF(OR(项目基本情况!E8="已注销",项目基本情况!E8="房地产抵押价值"),"4.抵押净值","5.抵押净值"),"——")</f>
        <v>——</v>
      </c>
      <c r="F111" s="3139"/>
      <c r="G111" s="2516" t="s">
        <v>2296</v>
      </c>
      <c r="H111" s="1044" t="str">
        <f>IF(E111="——","——",N59)</f>
        <v>——</v>
      </c>
      <c r="I111" s="137"/>
    </row>
    <row r="112" spans="1:35" ht="18.75" customHeight="1" thickBot="1">
      <c r="A112" s="137"/>
      <c r="B112" s="137"/>
      <c r="C112" s="137"/>
      <c r="D112" s="137"/>
      <c r="E112" s="3140"/>
      <c r="F112" s="3141"/>
      <c r="G112" s="2521" t="s">
        <v>2298</v>
      </c>
      <c r="H112" s="790" t="str">
        <f>IF(E111="——","——",N61)</f>
        <v>——</v>
      </c>
      <c r="I112" s="137"/>
    </row>
    <row r="113" spans="1:11" ht="18.75" customHeight="1">
      <c r="A113" s="137"/>
      <c r="B113" s="137"/>
      <c r="C113" s="137"/>
      <c r="D113" s="137"/>
      <c r="E113" s="3108" t="s">
        <v>2304</v>
      </c>
      <c r="F113" s="3108"/>
      <c r="G113" s="3108"/>
      <c r="H113" s="3108"/>
      <c r="I113" s="137"/>
    </row>
    <row r="114" spans="1:11" ht="3.75" customHeight="1">
      <c r="A114" s="2414"/>
      <c r="B114" s="2414"/>
      <c r="C114" s="2414"/>
      <c r="D114" s="2414"/>
      <c r="E114" s="2492"/>
      <c r="F114" s="2492"/>
      <c r="G114" s="2492"/>
      <c r="H114" s="2492"/>
      <c r="I114" s="2414"/>
    </row>
    <row r="115" spans="1:11" ht="18.75" customHeight="1">
      <c r="A115" s="3121" t="s">
        <v>2306</v>
      </c>
      <c r="B115" s="3122"/>
      <c r="C115" s="3122"/>
      <c r="D115" s="3122"/>
      <c r="E115" s="3122"/>
      <c r="F115" s="3122"/>
      <c r="G115" s="3122"/>
      <c r="H115" s="3122"/>
      <c r="I115" s="3123"/>
    </row>
    <row r="116" spans="1:11" ht="27" customHeight="1">
      <c r="A116" s="3014" t="s">
        <v>2307</v>
      </c>
      <c r="B116" s="3109" t="s">
        <v>2308</v>
      </c>
      <c r="C116" s="3109" t="s">
        <v>2309</v>
      </c>
      <c r="D116" s="3125" t="s">
        <v>2310</v>
      </c>
      <c r="E116" s="3126"/>
      <c r="F116" s="3117" t="s">
        <v>2311</v>
      </c>
      <c r="G116" s="3117"/>
      <c r="H116" s="3014" t="s">
        <v>2312</v>
      </c>
      <c r="I116" s="3014"/>
    </row>
    <row r="117" spans="1:11" ht="18.75" customHeight="1">
      <c r="A117" s="3014"/>
      <c r="B117" s="3110"/>
      <c r="C117" s="3110"/>
      <c r="D117" s="1794" t="s">
        <v>2313</v>
      </c>
      <c r="E117" s="1794" t="s">
        <v>2314</v>
      </c>
      <c r="F117" s="1794" t="s">
        <v>2313</v>
      </c>
      <c r="G117" s="1794" t="s">
        <v>2315</v>
      </c>
      <c r="H117" s="1794" t="s">
        <v>2313</v>
      </c>
      <c r="I117" s="1794" t="s">
        <v>2315</v>
      </c>
    </row>
    <row r="118" spans="1:11" ht="24.75" customHeight="1">
      <c r="A118" s="2522" t="str">
        <f>项目基本情况!S2</f>
        <v>江苏省南京市溧水区经济开发区驿府街68号房地产</v>
      </c>
      <c r="B118" s="1794">
        <f>M18</f>
        <v>26215.040000000001</v>
      </c>
      <c r="C118" s="1794">
        <f>M19</f>
        <v>12572.36</v>
      </c>
      <c r="D118" s="1794">
        <f ca="1">ROUND(IF(D32="总价",C34,E118*B118/10000),0)</f>
        <v>4195</v>
      </c>
      <c r="E118" s="1794">
        <f ca="1">ROUND(IF(C33="自定义",IF(D32="楼面单价",C34,D118*10000/B118),I118-G118),0)</f>
        <v>1600</v>
      </c>
      <c r="F118" s="1794">
        <f ca="1">ROUND(IF(D32="总价",C35,G118*B118/10000),0)</f>
        <v>10842</v>
      </c>
      <c r="G118" s="1794">
        <f ca="1">ROUND(IF(D32="楼面单价",C35,F118*10000/B118),0)</f>
        <v>4136</v>
      </c>
      <c r="H118" s="1794">
        <f ca="1">ROUND(IF(D32="总价",C32,I118*B118/10000),0)</f>
        <v>15037</v>
      </c>
      <c r="I118" s="1794">
        <f ca="1">ROUND(IF(D32="楼面单价",C32,H118*10000/B118),0)</f>
        <v>5736</v>
      </c>
    </row>
    <row r="119" spans="1:11" ht="18.75" customHeight="1">
      <c r="A119" s="3014" t="s">
        <v>2316</v>
      </c>
      <c r="B119" s="3014"/>
      <c r="C119" s="3014"/>
      <c r="D119" s="3114" t="str">
        <f ca="1">NUMBERSTRING(INT(D118*10000),2)&amp;"元整"</f>
        <v>肆仟壹佰玖拾伍万元整</v>
      </c>
      <c r="E119" s="3116"/>
      <c r="F119" s="3114" t="str">
        <f ca="1">NUMBERSTRING(INT(F118*10000),2)&amp;"元整"</f>
        <v>壹亿零捌佰肆拾贰万元整</v>
      </c>
      <c r="G119" s="3116"/>
      <c r="H119" s="3114" t="str">
        <f ca="1">NUMBERSTRING(INT(H118*10000),2)&amp;"元整"</f>
        <v>壹亿伍仟零叁拾柒万元整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19" t="str">
        <f>IF(D120=0,"故，本次评估不存在"&amp;A120,"故，本次评估"&amp;A120&amp;"为人民币"&amp;D120&amp;"万元整。")</f>
        <v>故，本次评估不存在估价师知悉的法定优先受偿款</v>
      </c>
    </row>
    <row r="121" spans="1:11" ht="18.75" customHeight="1">
      <c r="A121" s="3118" t="s">
        <v>2316</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15037</v>
      </c>
      <c r="E122" s="3143"/>
      <c r="F122" s="3143"/>
      <c r="G122" s="3143"/>
      <c r="H122" s="3143"/>
      <c r="I122" s="3144"/>
    </row>
    <row r="123" spans="1:11" ht="18.75" customHeight="1">
      <c r="A123" s="3014" t="s">
        <v>2316</v>
      </c>
      <c r="B123" s="3014"/>
      <c r="C123" s="3014"/>
      <c r="D123" s="3114" t="str">
        <f ca="1">NUMBERSTRING(INT(D122*10000),2)&amp;"元整"</f>
        <v>壹亿伍仟零叁拾柒万元整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2316</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2316</v>
      </c>
      <c r="B127" s="3014"/>
      <c r="C127" s="3014"/>
      <c r="D127" s="3114" t="e">
        <f>NUMBERSTRING(INT(D126*10000),2)&amp;"元整"</f>
        <v>#VALUE!</v>
      </c>
      <c r="E127" s="3115"/>
      <c r="F127" s="3115"/>
      <c r="G127" s="3115"/>
      <c r="H127" s="3115"/>
      <c r="I127" s="3116"/>
    </row>
    <row r="128" spans="1:11" ht="21.75" customHeight="1">
      <c r="A128" s="3124" t="s">
        <v>2317</v>
      </c>
      <c r="B128" s="3124"/>
      <c r="C128" s="3124"/>
      <c r="D128" s="3124"/>
      <c r="E128" s="3124"/>
      <c r="F128" s="3124"/>
      <c r="G128" s="3124"/>
      <c r="H128" s="3124"/>
      <c r="I128" s="3124"/>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6"/>
      <c r="G142" s="795"/>
      <c r="H142" s="795"/>
      <c r="I142" s="795"/>
    </row>
    <row r="143" spans="1:35" s="138"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37"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8">
        <f>MATCH(B1,'数据-取费表'!A6:A16,0)+5</f>
        <v>9</v>
      </c>
    </row>
    <row r="2" spans="1:9" s="244" customFormat="1" ht="18" customHeight="1">
      <c r="A2" s="245" t="s">
        <v>2326</v>
      </c>
      <c r="B2" s="246">
        <f ca="1">IF(D2="——",C52,C52-E2)</f>
        <v>16390</v>
      </c>
      <c r="C2" s="243" t="s">
        <v>2327</v>
      </c>
      <c r="D2" s="2545" t="s">
        <v>70</v>
      </c>
      <c r="E2" s="1439" t="e">
        <f ca="1">SUMIF(INDIRECT("'"&amp;G2&amp;"'"&amp;"!A:A"),"承租人权益价值",INDIRECT("'"&amp;G2&amp;"'"&amp;"!c:c"))</f>
        <v>#REF!</v>
      </c>
      <c r="F2" s="2546" t="s">
        <v>2327</v>
      </c>
      <c r="G2" s="2547"/>
    </row>
    <row r="3" spans="1:9" s="244" customFormat="1" ht="18" customHeight="1" thickBot="1">
      <c r="A3" s="247" t="s">
        <v>2328</v>
      </c>
      <c r="B3" s="248">
        <f ca="1">ROUND(B2*10000/(IF(B1="",'数据-汇总表'!E3,INDIRECT("'数据-取费表'!k"&amp;$G$1))),0)</f>
        <v>6252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3266</v>
      </c>
      <c r="D5" s="255" t="s">
        <v>2333</v>
      </c>
      <c r="E5" s="256" t="s">
        <v>2334</v>
      </c>
      <c r="F5" s="256" t="s">
        <v>2335</v>
      </c>
      <c r="G5" s="257"/>
    </row>
    <row r="6" spans="1:9" s="258" customFormat="1" ht="13.5" customHeight="1">
      <c r="A6" s="948" t="s">
        <v>2336</v>
      </c>
      <c r="B6" s="259" t="s">
        <v>2337</v>
      </c>
      <c r="C6" s="260">
        <f>'土地比较法-住宅、综合'!B2</f>
        <v>2761</v>
      </c>
      <c r="D6" s="261"/>
      <c r="E6" s="262"/>
      <c r="F6" s="262"/>
      <c r="G6" s="263"/>
    </row>
    <row r="7" spans="1:9" s="258" customFormat="1" ht="13.5" customHeight="1">
      <c r="A7" s="948" t="s">
        <v>2338</v>
      </c>
      <c r="B7" s="259" t="s">
        <v>2339</v>
      </c>
      <c r="C7" s="264">
        <f>ROUND(C6*F7,0)</f>
        <v>112</v>
      </c>
      <c r="D7" s="264"/>
      <c r="E7" s="262"/>
      <c r="F7" s="265">
        <f>'数据-取费表'!B48+'数据-取费表'!B49</f>
        <v>4.0500000000000001E-2</v>
      </c>
      <c r="G7" s="263"/>
    </row>
    <row r="8" spans="1:9" s="267" customFormat="1">
      <c r="A8" s="948" t="s">
        <v>2340</v>
      </c>
      <c r="B8" s="259" t="s">
        <v>2341</v>
      </c>
      <c r="C8" s="264">
        <f ca="1">IF(G8="已包含在土地购买价格中","0",IF(B1="",'数据-取费表'!B29,IF(G9="全部缴纳",C9+C10,H9)))</f>
        <v>393</v>
      </c>
      <c r="D8" s="266"/>
      <c r="E8" s="264"/>
      <c r="F8" s="265"/>
      <c r="G8" s="2548" t="s">
        <v>3242</v>
      </c>
    </row>
    <row r="9" spans="1:9" s="258" customFormat="1" ht="13.5" customHeight="1">
      <c r="A9" s="949" t="s">
        <v>800</v>
      </c>
      <c r="B9" s="268" t="s">
        <v>2342</v>
      </c>
      <c r="C9" s="269">
        <f ca="1">ROUND(D9*E9/10000,0)</f>
        <v>0</v>
      </c>
      <c r="D9" s="1031">
        <f ca="1">IF(B1="",'数据-汇总表'!E5,IF(INDIRECT("'数据-取费表'!c"&amp;$G$1)="住宅",INDIRECT("'数据-取费表'!k"&amp;$G$1),0))</f>
        <v>0</v>
      </c>
      <c r="E9" s="269">
        <f>'数据-取费表'!B27</f>
        <v>150</v>
      </c>
      <c r="F9" s="265"/>
      <c r="G9" s="2549"/>
      <c r="H9" s="1389"/>
      <c r="I9" s="2550" t="s">
        <v>2343</v>
      </c>
    </row>
    <row r="10" spans="1:9" s="258" customFormat="1" ht="13.5" customHeight="1">
      <c r="A10" s="949" t="s">
        <v>801</v>
      </c>
      <c r="B10" s="268" t="s">
        <v>2344</v>
      </c>
      <c r="C10" s="269">
        <f ca="1">ROUND(D10*E10/10000,0)</f>
        <v>393</v>
      </c>
      <c r="D10" s="1031">
        <f ca="1">IF(B1="",'数据-汇总表'!E6,IF(INDIRECT("'数据-取费表'!c"&amp;$G$1)="住宅",INDIRECT("'数据-取费表'!s"&amp;$G$1),INDIRECT("'数据-取费表'!k"&amp;$G$1)+INDIRECT("'数据-取费表'!s"&amp;$G$1)))</f>
        <v>26215.040000000001</v>
      </c>
      <c r="E10" s="269">
        <f>'数据-取费表'!B28</f>
        <v>150</v>
      </c>
      <c r="F10" s="265"/>
      <c r="G10" s="270"/>
    </row>
    <row r="11" spans="1:9" s="258" customFormat="1" ht="13.5" hidden="1" customHeight="1">
      <c r="A11" s="271" t="s">
        <v>7</v>
      </c>
      <c r="B11" s="259" t="s">
        <v>2345</v>
      </c>
      <c r="C11" s="255"/>
      <c r="D11" s="1033"/>
      <c r="E11" s="262"/>
      <c r="F11" s="262"/>
      <c r="G11" s="263"/>
    </row>
    <row r="12" spans="1:9" s="258" customFormat="1" ht="13.5" hidden="1" customHeight="1">
      <c r="A12" s="271" t="s">
        <v>8</v>
      </c>
      <c r="B12" s="259" t="s">
        <v>2346</v>
      </c>
      <c r="C12" s="255">
        <v>0</v>
      </c>
      <c r="D12" s="1033"/>
      <c r="E12" s="272"/>
      <c r="F12" s="265">
        <v>3.0499999999999999E-2</v>
      </c>
      <c r="G12" s="263"/>
    </row>
    <row r="13" spans="1:9" s="258" customFormat="1" ht="13.5" hidden="1" customHeight="1">
      <c r="A13" s="271" t="s">
        <v>9</v>
      </c>
      <c r="B13" s="259" t="s">
        <v>2347</v>
      </c>
      <c r="C13" s="255"/>
      <c r="D13" s="1033"/>
      <c r="E13" s="262"/>
      <c r="F13" s="262"/>
      <c r="G13" s="263"/>
    </row>
    <row r="14" spans="1:9" s="258" customFormat="1" ht="13.5" hidden="1" customHeight="1">
      <c r="A14" s="271" t="s">
        <v>10</v>
      </c>
      <c r="B14" s="259" t="s">
        <v>2348</v>
      </c>
      <c r="C14" s="255"/>
      <c r="D14" s="1033"/>
      <c r="E14" s="262"/>
      <c r="F14" s="262"/>
      <c r="G14" s="263" t="s">
        <v>2349</v>
      </c>
    </row>
    <row r="15" spans="1:9" s="258" customFormat="1" ht="13.5" hidden="1" customHeight="1">
      <c r="A15" s="271" t="s">
        <v>11</v>
      </c>
      <c r="B15" s="259" t="s">
        <v>2350</v>
      </c>
      <c r="C15" s="264"/>
      <c r="D15" s="1033"/>
      <c r="E15" s="262"/>
      <c r="F15" s="262"/>
      <c r="G15" s="263" t="s">
        <v>2351</v>
      </c>
    </row>
    <row r="16" spans="1:9" s="258" customFormat="1" ht="13.5" hidden="1" customHeight="1">
      <c r="A16" s="271" t="s">
        <v>12</v>
      </c>
      <c r="B16" s="259" t="s">
        <v>2348</v>
      </c>
      <c r="C16" s="264"/>
      <c r="D16" s="1033"/>
      <c r="E16" s="262"/>
      <c r="F16" s="262"/>
      <c r="G16" s="263"/>
    </row>
    <row r="17" spans="1:7" s="258" customFormat="1" ht="13.5" hidden="1" customHeight="1">
      <c r="A17" s="271" t="s">
        <v>13</v>
      </c>
      <c r="B17" s="259" t="s">
        <v>2352</v>
      </c>
      <c r="C17" s="273"/>
      <c r="D17" s="1034"/>
      <c r="E17" s="273"/>
      <c r="F17" s="273"/>
      <c r="G17" s="263" t="s">
        <v>2351</v>
      </c>
    </row>
    <row r="18" spans="1:7" s="258" customFormat="1" ht="13.5" hidden="1" customHeight="1">
      <c r="A18" s="271" t="s">
        <v>14</v>
      </c>
      <c r="B18" s="259" t="s">
        <v>2353</v>
      </c>
      <c r="C18" s="264">
        <v>0</v>
      </c>
      <c r="D18" s="1033"/>
      <c r="E18" s="262"/>
      <c r="F18" s="265">
        <v>3.0499999999999999E-2</v>
      </c>
      <c r="G18" s="263" t="s">
        <v>2354</v>
      </c>
    </row>
    <row r="19" spans="1:7" s="267" customFormat="1" ht="13.5" customHeight="1">
      <c r="A19" s="299" t="s">
        <v>2355</v>
      </c>
      <c r="B19" s="254" t="s">
        <v>2356</v>
      </c>
      <c r="C19" s="255" t="str">
        <f>IF(G19="已包含在土地取得成本中","0",ROUND(D19*E19/10000,0))</f>
        <v>0</v>
      </c>
      <c r="D19" s="1035">
        <f ca="1">D9+D10</f>
        <v>26215.040000000001</v>
      </c>
      <c r="E19" s="255">
        <f>'数据-取费表'!B31</f>
        <v>200</v>
      </c>
      <c r="F19" s="275"/>
      <c r="G19" s="2548" t="s">
        <v>3243</v>
      </c>
    </row>
    <row r="20" spans="1:7" s="258" customFormat="1" ht="13.5" customHeight="1">
      <c r="A20" s="299" t="s">
        <v>2357</v>
      </c>
      <c r="B20" s="254" t="s">
        <v>2358</v>
      </c>
      <c r="C20" s="276">
        <f ca="1">ROUND((C5+C19)*F20,0)</f>
        <v>82</v>
      </c>
      <c r="D20" s="276"/>
      <c r="E20" s="276"/>
      <c r="F20" s="277">
        <f>'数据-取费表'!B37</f>
        <v>2.5000000000000001E-2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3">
        <f ca="1">ROUND(SUM(C23:C25),0)</f>
        <v>322</v>
      </c>
      <c r="D22" s="279">
        <f ca="1">C26</f>
        <v>1.4E-3</v>
      </c>
      <c r="E22" s="280" t="s">
        <v>2362</v>
      </c>
      <c r="F22" s="281">
        <f ca="1">'数据-取费表'!B40</f>
        <v>4.7500000000000001E-2</v>
      </c>
      <c r="G22" s="278" t="str">
        <f>IF('数据-取费表'!B22&lt;=1,"单利计息","复利计息")</f>
        <v>复利计息</v>
      </c>
    </row>
    <row r="23" spans="1:7" s="258" customFormat="1" ht="13.5" customHeight="1">
      <c r="A23" s="950" t="s">
        <v>2366</v>
      </c>
      <c r="B23" s="259" t="s">
        <v>2367</v>
      </c>
      <c r="C23" s="1354">
        <f ca="1">ROUND(IF('数据-取费表'!B22&lt;=1,C5*F22*'数据-取费表'!B23,C5*(POWER((1+F22),'数据-取费表'!B23)-1)),0)</f>
        <v>318</v>
      </c>
      <c r="D23" s="282"/>
      <c r="E23" s="282"/>
      <c r="F23" s="283"/>
      <c r="G23" s="284" t="s">
        <v>2368</v>
      </c>
    </row>
    <row r="24" spans="1:7" s="258" customFormat="1" ht="13.5" customHeight="1">
      <c r="A24" s="950" t="s">
        <v>2369</v>
      </c>
      <c r="B24" s="259" t="s">
        <v>2370</v>
      </c>
      <c r="C24" s="1354">
        <f ca="1">ROUND(IF('数据-取费表'!B22&lt;=1,C19*F22*('数据-取费表'!B19/2+'数据-取费表'!B21),C19*(POWER((1+F22),('数据-取费表'!B19/2+'数据-取费表'!B21))-1)),0)</f>
        <v>0</v>
      </c>
      <c r="D24" s="282"/>
      <c r="E24" s="282"/>
      <c r="F24" s="283"/>
      <c r="G24" s="284" t="s">
        <v>2371</v>
      </c>
    </row>
    <row r="25" spans="1:7" s="258" customFormat="1" ht="24">
      <c r="A25" s="950" t="s">
        <v>2372</v>
      </c>
      <c r="B25" s="259" t="s">
        <v>2373</v>
      </c>
      <c r="C25" s="1354">
        <f ca="1">ROUND(IF('数据-取费表'!B22&lt;=1,C20*F22*'数据-取费表'!B23/2,C20*(POWER((1+F22),'数据-取费表'!B23/2)-1)),0)</f>
        <v>4</v>
      </c>
      <c r="D25" s="282"/>
      <c r="E25" s="285"/>
      <c r="F25" s="283"/>
      <c r="G25" s="286" t="s">
        <v>2374</v>
      </c>
    </row>
    <row r="26" spans="1:7" s="258" customFormat="1">
      <c r="A26" s="950"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502</v>
      </c>
      <c r="D27" s="279">
        <f ca="1">C29</f>
        <v>4.4999999999999997E-3</v>
      </c>
      <c r="E27" s="280" t="s">
        <v>2378</v>
      </c>
      <c r="F27" s="290">
        <f ca="1">IF(B1="",'数据-取费表'!Q16,INDIRECT("'数据-取费表'!q"&amp;$G$1))</f>
        <v>0.15</v>
      </c>
      <c r="G27" s="291" t="s">
        <v>2379</v>
      </c>
    </row>
    <row r="28" spans="1:7" s="258" customFormat="1" ht="13.5" customHeight="1">
      <c r="A28" s="950" t="s">
        <v>791</v>
      </c>
      <c r="B28" s="292" t="s">
        <v>2380</v>
      </c>
      <c r="C28" s="293">
        <f ca="1">ROUND((C5+C19+C20)*F27*'数据-取费表'!B21/'数据-取费表'!B20,0)</f>
        <v>502</v>
      </c>
      <c r="D28" s="279"/>
      <c r="E28" s="280"/>
      <c r="F28" s="290"/>
      <c r="G28" s="291"/>
    </row>
    <row r="29" spans="1:7" s="258" customFormat="1" ht="13.5" customHeight="1">
      <c r="A29" s="950" t="s">
        <v>792</v>
      </c>
      <c r="B29" s="292" t="s">
        <v>2381</v>
      </c>
      <c r="C29" s="282">
        <f ca="1">ROUND(C21*F27*'数据-取费表'!B21/'数据-取费表'!B20,4)</f>
        <v>4.4999999999999997E-3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4581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8772</v>
      </c>
      <c r="D33" s="276"/>
      <c r="E33" s="256"/>
      <c r="F33" s="285"/>
      <c r="G33" s="278"/>
    </row>
    <row r="34" spans="1:7" s="302" customFormat="1" ht="13.5" customHeight="1">
      <c r="A34" s="950" t="s">
        <v>791</v>
      </c>
      <c r="B34" s="259" t="s">
        <v>2389</v>
      </c>
      <c r="C34" s="264">
        <f ca="1">IF(B1="",IF(F34=100%,'数据-取费表'!M16,'数据-取费表'!O16),IF(F34=100%,INDIRECT("'数据-取费表'!m"&amp;$G$1)+INDIRECT("'数据-取费表'!t"&amp;$G$1),INDIRECT("'数据-取费表'!o"&amp;$G$1)+INDIRECT("'数据-取费表'!aq"&amp;$G$1)))</f>
        <v>7745</v>
      </c>
      <c r="D34" s="261"/>
      <c r="E34" s="264"/>
      <c r="F34" s="301">
        <f ca="1">IF('数据-取费表'!B24=0,1,IF(B1="",'数据-取费表'!N16,INDIRECT("'数据-取费表'!n"&amp;$G$1)))</f>
        <v>1</v>
      </c>
      <c r="G34" s="263" t="s">
        <v>2390</v>
      </c>
    </row>
    <row r="35" spans="1:7" ht="13.5" customHeight="1">
      <c r="A35" s="950" t="s">
        <v>796</v>
      </c>
      <c r="B35" s="259" t="s">
        <v>2391</v>
      </c>
      <c r="C35" s="264">
        <f ca="1">ROUND(C34*F35,0)</f>
        <v>387</v>
      </c>
      <c r="D35" s="264"/>
      <c r="E35" s="264"/>
      <c r="F35" s="303">
        <f>'数据-取费表'!B33</f>
        <v>0.05</v>
      </c>
      <c r="G35" s="263" t="s">
        <v>2392</v>
      </c>
    </row>
    <row r="36" spans="1:7" ht="24">
      <c r="A36" s="950"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0" t="s">
        <v>798</v>
      </c>
      <c r="B37" s="259" t="s">
        <v>2395</v>
      </c>
      <c r="C37" s="293">
        <f ca="1">ROUND(E37*D37*F34/10000,0)</f>
        <v>524</v>
      </c>
      <c r="D37" s="261">
        <f ca="1">D19</f>
        <v>26215.040000000001</v>
      </c>
      <c r="E37" s="293">
        <f>'数据-取费表'!B35</f>
        <v>200</v>
      </c>
      <c r="F37" s="303"/>
      <c r="G37" s="305" t="s">
        <v>2396</v>
      </c>
    </row>
    <row r="38" spans="1:7" ht="13.5" customHeight="1">
      <c r="A38" s="950" t="s">
        <v>799</v>
      </c>
      <c r="B38" s="259" t="s">
        <v>2397</v>
      </c>
      <c r="C38" s="264">
        <f ca="1">ROUND(C34*F38,0)</f>
        <v>116</v>
      </c>
      <c r="D38" s="264"/>
      <c r="E38" s="264"/>
      <c r="F38" s="303">
        <f>'数据-取费表'!B36</f>
        <v>1.4999999999999999E-2</v>
      </c>
      <c r="G38" s="263" t="s">
        <v>2392</v>
      </c>
    </row>
    <row r="39" spans="1:7" s="258" customFormat="1" ht="13.5" customHeight="1">
      <c r="A39" s="299" t="s">
        <v>2398</v>
      </c>
      <c r="B39" s="254" t="s">
        <v>2399</v>
      </c>
      <c r="C39" s="276">
        <f ca="1">ROUND(C33*F20,0)</f>
        <v>219</v>
      </c>
      <c r="D39" s="276"/>
      <c r="E39" s="276"/>
      <c r="F39" s="277"/>
      <c r="G39" s="278" t="s">
        <v>2400</v>
      </c>
    </row>
    <row r="40" spans="1:7" s="258" customFormat="1" ht="13.5" customHeight="1">
      <c r="A40" s="299" t="s">
        <v>2401</v>
      </c>
      <c r="B40" s="254" t="s">
        <v>2402</v>
      </c>
      <c r="C40" s="1727">
        <f>F21</f>
        <v>0.03</v>
      </c>
      <c r="D40" s="280" t="s">
        <v>2403</v>
      </c>
      <c r="E40" s="276"/>
      <c r="F40" s="277"/>
      <c r="G40" s="278" t="s">
        <v>2404</v>
      </c>
    </row>
    <row r="41" spans="1:7" s="258" customFormat="1" ht="13.5" customHeight="1">
      <c r="A41" s="299" t="s">
        <v>2405</v>
      </c>
      <c r="B41" s="254" t="s">
        <v>2406</v>
      </c>
      <c r="C41" s="276">
        <f ca="1">ROUND(SUM(C42:C43),0)</f>
        <v>427</v>
      </c>
      <c r="D41" s="279">
        <f ca="1">C44</f>
        <v>1.4E-3</v>
      </c>
      <c r="E41" s="280" t="s">
        <v>2403</v>
      </c>
      <c r="F41" s="281"/>
      <c r="G41" s="278" t="str">
        <f>IF('数据-取费表'!B22&lt;=1,"单利计息","复利计息")</f>
        <v>复利计息</v>
      </c>
    </row>
    <row r="42" spans="1:7" ht="13.5" customHeight="1">
      <c r="A42" s="950" t="s">
        <v>791</v>
      </c>
      <c r="B42" s="259" t="s">
        <v>2407</v>
      </c>
      <c r="C42" s="282">
        <f ca="1">ROUND(IF('数据-取费表'!B22&lt;=1,C33*F22*'数据-取费表'!B21/2,C33*(POWER((1+F22),'数据-取费表'!B21/2)-1)),0)</f>
        <v>417</v>
      </c>
      <c r="D42" s="282"/>
      <c r="E42" s="282"/>
      <c r="F42" s="283"/>
      <c r="G42" s="3156" t="s">
        <v>2408</v>
      </c>
    </row>
    <row r="43" spans="1:7" ht="13.5" customHeight="1">
      <c r="A43" s="950" t="s">
        <v>792</v>
      </c>
      <c r="B43" s="259" t="s">
        <v>2409</v>
      </c>
      <c r="C43" s="282">
        <f ca="1">ROUND(IF('数据-取费表'!B22&lt;=1,C39*F22*'数据-取费表'!B21/2,C39*(POWER((1+F22),'数据-取费表'!B21/2)-1)),0)</f>
        <v>10</v>
      </c>
      <c r="D43" s="282"/>
      <c r="E43" s="282"/>
      <c r="F43" s="283"/>
      <c r="G43" s="3157"/>
    </row>
    <row r="44" spans="1:7" ht="13.5" customHeight="1">
      <c r="A44" s="950" t="s">
        <v>793</v>
      </c>
      <c r="B44" s="259" t="s">
        <v>2410</v>
      </c>
      <c r="C44" s="282">
        <f ca="1">ROUND(IF('数据-取费表'!B22&lt;=1,C40*F22*'数据-取费表'!B21/2,C40*(POWER((1+F22),'数据-取费表'!B21/2)-1)),4)</f>
        <v>1.4E-3</v>
      </c>
      <c r="D44" s="282"/>
      <c r="E44" s="282"/>
      <c r="F44" s="283"/>
      <c r="G44" s="3158"/>
    </row>
    <row r="45" spans="1:7" s="258" customFormat="1" ht="13.5" customHeight="1">
      <c r="A45" s="299" t="s">
        <v>2411</v>
      </c>
      <c r="B45" s="288" t="s">
        <v>2377</v>
      </c>
      <c r="C45" s="289">
        <f ca="1">C46</f>
        <v>1349</v>
      </c>
      <c r="D45" s="279">
        <f ca="1">C47</f>
        <v>4.4999999999999997E-3</v>
      </c>
      <c r="E45" s="280" t="s">
        <v>2403</v>
      </c>
      <c r="F45" s="290"/>
      <c r="G45" s="291" t="s">
        <v>2412</v>
      </c>
    </row>
    <row r="46" spans="1:7" s="258" customFormat="1" ht="13.5" customHeight="1">
      <c r="A46" s="950" t="s">
        <v>791</v>
      </c>
      <c r="B46" s="292" t="s">
        <v>2413</v>
      </c>
      <c r="C46" s="293">
        <f ca="1">ROUND((C33+C39)*F27,0)</f>
        <v>1349</v>
      </c>
      <c r="D46" s="307"/>
      <c r="E46" s="280"/>
      <c r="F46" s="290"/>
      <c r="G46" s="291"/>
    </row>
    <row r="47" spans="1:7" s="258" customFormat="1" ht="13.5" customHeight="1">
      <c r="A47" s="950" t="s">
        <v>792</v>
      </c>
      <c r="B47" s="292" t="s">
        <v>2414</v>
      </c>
      <c r="C47" s="282">
        <f ca="1">ROUND(C40*F27,4)</f>
        <v>4.4999999999999997E-3</v>
      </c>
      <c r="D47" s="307"/>
      <c r="E47" s="280"/>
      <c r="F47" s="290"/>
      <c r="G47" s="291"/>
    </row>
    <row r="48" spans="1:7" s="258" customFormat="1" ht="13.5" customHeight="1">
      <c r="A48" s="299" t="s">
        <v>2376</v>
      </c>
      <c r="B48" s="254" t="s">
        <v>2415</v>
      </c>
      <c r="C48" s="1727">
        <f>ROUND(F30/(1+'数据-取费表'!C42),4)</f>
        <v>5.33E-2</v>
      </c>
      <c r="D48" s="280" t="s">
        <v>2403</v>
      </c>
      <c r="E48" s="276"/>
      <c r="F48" s="281"/>
      <c r="G48" s="278" t="s">
        <v>2416</v>
      </c>
    </row>
    <row r="49" spans="1:7" ht="16.5" customHeight="1">
      <c r="A49" s="299" t="s">
        <v>2382</v>
      </c>
      <c r="B49" s="254" t="s">
        <v>2417</v>
      </c>
      <c r="C49" s="276">
        <f ca="1">ROUND((C33+C39+C41+C45)/(1-C40-D41-D45-C48),0)</f>
        <v>11821</v>
      </c>
      <c r="D49" s="276"/>
      <c r="E49" s="276"/>
      <c r="F49" s="308"/>
      <c r="G49" s="278" t="s">
        <v>2418</v>
      </c>
    </row>
    <row r="50" spans="1:7" s="302" customFormat="1" ht="24">
      <c r="A50" s="299" t="s">
        <v>2419</v>
      </c>
      <c r="B50" s="254" t="s">
        <v>2420</v>
      </c>
      <c r="C50" s="276"/>
      <c r="D50" s="276"/>
      <c r="E50" s="276"/>
      <c r="F50" s="308">
        <f>IF('数据-取费表'!B24=0,'数据-取费表'!N16,1)</f>
        <v>0.999</v>
      </c>
      <c r="G50" s="291" t="s">
        <v>2421</v>
      </c>
    </row>
    <row r="51" spans="1:7" ht="16.5" customHeight="1">
      <c r="A51" s="299" t="s">
        <v>2422</v>
      </c>
      <c r="B51" s="254" t="s">
        <v>2423</v>
      </c>
      <c r="C51" s="276">
        <f ca="1">ROUND(C49*F50,0)</f>
        <v>11809</v>
      </c>
      <c r="D51" s="276"/>
      <c r="E51" s="276"/>
      <c r="F51" s="308"/>
      <c r="G51" s="278" t="s">
        <v>2424</v>
      </c>
    </row>
    <row r="52" spans="1:7" s="252" customFormat="1" ht="16.5" thickBot="1">
      <c r="A52" s="309" t="s">
        <v>2425</v>
      </c>
      <c r="B52" s="310"/>
      <c r="C52" s="311">
        <f ca="1">C31+C51</f>
        <v>16390</v>
      </c>
      <c r="D52" s="310"/>
      <c r="E52" s="310"/>
      <c r="F52" s="310"/>
      <c r="G52" s="312"/>
    </row>
    <row r="55" spans="1:7" ht="15">
      <c r="B55" s="314" t="s">
        <v>2426</v>
      </c>
      <c r="C55" s="315"/>
    </row>
    <row r="56" spans="1:7">
      <c r="B56" s="317" t="s">
        <v>1515</v>
      </c>
      <c r="C56" s="319">
        <f ca="1">1-C57</f>
        <v>0.27900000000000003</v>
      </c>
    </row>
    <row r="57" spans="1:7">
      <c r="B57" s="317" t="s">
        <v>1516</v>
      </c>
      <c r="C57" s="318">
        <f ca="1">ROUND(C51/C52,3)</f>
        <v>0.72099999999999997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0" t="str">
        <f>项目基本情况!B1</f>
        <v>江苏省南京市溧水区经济开发区驿府街68号房地产抵押价值预评估</v>
      </c>
      <c r="C37" s="2970"/>
      <c r="D37" s="2970"/>
      <c r="E37" s="2970"/>
      <c r="F37" s="2970"/>
      <c r="G37" s="2970"/>
      <c r="H37" s="2970"/>
      <c r="I37" s="2970"/>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郑燚（注册号：1120070131)、王鹏（注册号：1120050019)</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8">
        <f>MATCH(B1,'数据-取费表'!A6:A16,0)+5</f>
        <v>9</v>
      </c>
      <c r="H1" s="1281" t="str">
        <f>IF(ISERROR(FIND("住宅",B1)),"非住宅","住宅")</f>
        <v>非住宅</v>
      </c>
    </row>
    <row r="2" spans="1:8" s="244" customFormat="1" ht="18" customHeight="1">
      <c r="A2" s="245" t="s">
        <v>2326</v>
      </c>
      <c r="B2" s="246">
        <f ca="1">ROUND(IF(D2="——",C52/10000,C52/10000-E2),0)</f>
        <v>13096</v>
      </c>
      <c r="C2" s="243" t="s">
        <v>2327</v>
      </c>
      <c r="D2" s="2545" t="s">
        <v>70</v>
      </c>
      <c r="E2" s="1439" t="e">
        <f ca="1">SUMIF(INDIRECT("'"&amp;G2&amp;"'"&amp;"!A:A"),"承租人权益价值",INDIRECT("'"&amp;G2&amp;"'"&amp;"!c:c"))</f>
        <v>#REF!</v>
      </c>
      <c r="F2" s="2546" t="s">
        <v>2327</v>
      </c>
      <c r="G2" s="2547"/>
    </row>
    <row r="3" spans="1:8" s="244" customFormat="1" ht="18" customHeight="1" thickBot="1">
      <c r="A3" s="247" t="s">
        <v>2328</v>
      </c>
      <c r="B3" s="248">
        <f ca="1">ROUND(B2*10000/(IF(B1="",'数据-汇总表'!E3,INDIRECT("'数据-取费表'!k"&amp;$G$1))),0)</f>
        <v>4996</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3932256</v>
      </c>
      <c r="D5" s="255" t="s">
        <v>2333</v>
      </c>
      <c r="E5" s="256" t="s">
        <v>2334</v>
      </c>
      <c r="F5" s="256" t="s">
        <v>2335</v>
      </c>
      <c r="G5" s="257"/>
    </row>
    <row r="6" spans="1:8" s="258" customFormat="1" ht="13.5" customHeight="1">
      <c r="A6" s="948" t="s">
        <v>2336</v>
      </c>
      <c r="B6" s="259" t="s">
        <v>2337</v>
      </c>
      <c r="C6" s="260"/>
      <c r="D6" s="261"/>
      <c r="E6" s="262"/>
      <c r="F6" s="262"/>
      <c r="G6" s="263"/>
    </row>
    <row r="7" spans="1:8" s="258" customFormat="1" ht="13.5" customHeight="1">
      <c r="A7" s="948" t="s">
        <v>2338</v>
      </c>
      <c r="B7" s="259" t="s">
        <v>2339</v>
      </c>
      <c r="C7" s="264">
        <f>ROUND(C6*F7,0)</f>
        <v>0</v>
      </c>
      <c r="D7" s="264"/>
      <c r="E7" s="262"/>
      <c r="F7" s="265">
        <f>'数据-取费表'!B48+'数据-取费表'!B49</f>
        <v>4.0500000000000001E-2</v>
      </c>
      <c r="G7" s="263"/>
    </row>
    <row r="8" spans="1:8" s="267" customFormat="1">
      <c r="A8" s="948" t="s">
        <v>2340</v>
      </c>
      <c r="B8" s="259" t="s">
        <v>2341</v>
      </c>
      <c r="C8" s="264">
        <f ca="1">IF(G8="已包含在土地购买价格中",0,C9+C10)</f>
        <v>3932256</v>
      </c>
      <c r="D8" s="266"/>
      <c r="E8" s="264"/>
      <c r="F8" s="265"/>
      <c r="G8" s="2548"/>
    </row>
    <row r="9" spans="1:8" s="258" customFormat="1" ht="13.5" customHeight="1">
      <c r="A9" s="949" t="s">
        <v>800</v>
      </c>
      <c r="B9" s="268" t="s">
        <v>2342</v>
      </c>
      <c r="C9" s="269">
        <f ca="1">ROUND(D9*E9,0)</f>
        <v>0</v>
      </c>
      <c r="D9" s="1031">
        <f ca="1">IF(B1="",'数据-汇总表'!E5,IF(INDIRECT("'数据-取费表'!c"&amp;$G$1)="住宅",INDIRECT("'数据-取费表'!k"&amp;$G$1),0))</f>
        <v>0</v>
      </c>
      <c r="E9" s="269">
        <f>'数据-取费表'!B27</f>
        <v>150</v>
      </c>
      <c r="F9" s="265"/>
      <c r="G9" s="270"/>
    </row>
    <row r="10" spans="1:8" s="258" customFormat="1" ht="13.5" customHeight="1">
      <c r="A10" s="949" t="s">
        <v>801</v>
      </c>
      <c r="B10" s="268" t="s">
        <v>2344</v>
      </c>
      <c r="C10" s="269">
        <f ca="1">ROUND(D10*E10,0)</f>
        <v>3932256</v>
      </c>
      <c r="D10" s="1031">
        <f ca="1">IF(B1="",'数据-汇总表'!E6,IF(INDIRECT("'数据-取费表'!c"&amp;$G$1)="住宅",INDIRECT("'数据-取费表'!s"&amp;$G$1),INDIRECT("'数据-取费表'!k"&amp;$G$1)+INDIRECT("'数据-取费表'!s"&amp;$G$1)))</f>
        <v>26215.040000000001</v>
      </c>
      <c r="E10" s="269">
        <f>'数据-取费表'!B28</f>
        <v>150</v>
      </c>
      <c r="F10" s="265"/>
      <c r="G10" s="270"/>
    </row>
    <row r="11" spans="1:8" s="258" customFormat="1" ht="13.5" hidden="1" customHeight="1">
      <c r="A11" s="271" t="s">
        <v>7</v>
      </c>
      <c r="B11" s="259" t="s">
        <v>2345</v>
      </c>
      <c r="C11" s="255"/>
      <c r="D11" s="1033"/>
      <c r="E11" s="262"/>
      <c r="F11" s="262"/>
      <c r="G11" s="263"/>
    </row>
    <row r="12" spans="1:8" s="258" customFormat="1" ht="13.5" hidden="1" customHeight="1">
      <c r="A12" s="271" t="s">
        <v>8</v>
      </c>
      <c r="B12" s="259" t="s">
        <v>2428</v>
      </c>
      <c r="C12" s="255">
        <v>0</v>
      </c>
      <c r="D12" s="1033"/>
      <c r="E12" s="272"/>
      <c r="F12" s="265">
        <v>3.0499999999999999E-2</v>
      </c>
      <c r="G12" s="263"/>
    </row>
    <row r="13" spans="1:8" s="258" customFormat="1" ht="13.5" hidden="1" customHeight="1">
      <c r="A13" s="271" t="s">
        <v>9</v>
      </c>
      <c r="B13" s="259" t="s">
        <v>2429</v>
      </c>
      <c r="C13" s="255"/>
      <c r="D13" s="1033"/>
      <c r="E13" s="262"/>
      <c r="F13" s="262"/>
      <c r="G13" s="263"/>
    </row>
    <row r="14" spans="1:8" s="258" customFormat="1" ht="13.5" hidden="1" customHeight="1">
      <c r="A14" s="271" t="s">
        <v>10</v>
      </c>
      <c r="B14" s="259" t="s">
        <v>2341</v>
      </c>
      <c r="C14" s="255"/>
      <c r="D14" s="1033"/>
      <c r="E14" s="262"/>
      <c r="F14" s="262"/>
      <c r="G14" s="263" t="s">
        <v>2430</v>
      </c>
    </row>
    <row r="15" spans="1:8" s="258" customFormat="1" ht="13.5" hidden="1" customHeight="1">
      <c r="A15" s="271" t="s">
        <v>11</v>
      </c>
      <c r="B15" s="259" t="s">
        <v>2431</v>
      </c>
      <c r="C15" s="264"/>
      <c r="D15" s="1033"/>
      <c r="E15" s="262"/>
      <c r="F15" s="262"/>
      <c r="G15" s="263" t="s">
        <v>2432</v>
      </c>
    </row>
    <row r="16" spans="1:8" s="258" customFormat="1" ht="13.5" hidden="1" customHeight="1">
      <c r="A16" s="271" t="s">
        <v>12</v>
      </c>
      <c r="B16" s="259" t="s">
        <v>2341</v>
      </c>
      <c r="C16" s="264"/>
      <c r="D16" s="1033"/>
      <c r="E16" s="262"/>
      <c r="F16" s="262"/>
      <c r="G16" s="263"/>
    </row>
    <row r="17" spans="1:7" s="258" customFormat="1" ht="13.5" hidden="1" customHeight="1">
      <c r="A17" s="271" t="s">
        <v>13</v>
      </c>
      <c r="B17" s="259" t="s">
        <v>2433</v>
      </c>
      <c r="C17" s="273"/>
      <c r="D17" s="1034"/>
      <c r="E17" s="273"/>
      <c r="F17" s="273"/>
      <c r="G17" s="263" t="s">
        <v>2432</v>
      </c>
    </row>
    <row r="18" spans="1:7" s="258" customFormat="1" ht="13.5" hidden="1" customHeight="1">
      <c r="A18" s="271" t="s">
        <v>14</v>
      </c>
      <c r="B18" s="259" t="s">
        <v>2434</v>
      </c>
      <c r="C18" s="264">
        <v>0</v>
      </c>
      <c r="D18" s="1033"/>
      <c r="E18" s="262"/>
      <c r="F18" s="265">
        <v>3.0499999999999999E-2</v>
      </c>
      <c r="G18" s="263" t="s">
        <v>2435</v>
      </c>
    </row>
    <row r="19" spans="1:7" s="267" customFormat="1" ht="13.5" customHeight="1">
      <c r="A19" s="299" t="s">
        <v>2436</v>
      </c>
      <c r="B19" s="254" t="s">
        <v>2437</v>
      </c>
      <c r="C19" s="255">
        <f ca="1">IF(G19="已包含在土地取得成本中","0",ROUND(D19*E19,0))</f>
        <v>5243008</v>
      </c>
      <c r="D19" s="1035">
        <f ca="1">D9+D10</f>
        <v>26215.040000000001</v>
      </c>
      <c r="E19" s="255">
        <f>'数据-取费表'!B31</f>
        <v>200</v>
      </c>
      <c r="F19" s="275"/>
      <c r="G19" s="2548"/>
    </row>
    <row r="20" spans="1:7" s="258" customFormat="1" ht="13.5" customHeight="1">
      <c r="A20" s="299" t="s">
        <v>2438</v>
      </c>
      <c r="B20" s="254" t="s">
        <v>2439</v>
      </c>
      <c r="C20" s="276">
        <f ca="1">ROUND((C5+C19)*F20,0)</f>
        <v>229382</v>
      </c>
      <c r="D20" s="276"/>
      <c r="E20" s="276"/>
      <c r="F20" s="277">
        <f>'数据-取费表'!B37</f>
        <v>2.5000000000000001E-2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79">
        <f ca="1">ROUND(SUM(C23:C25),0)</f>
        <v>903247</v>
      </c>
      <c r="D22" s="279">
        <f ca="1">C26</f>
        <v>1.4E-3</v>
      </c>
      <c r="E22" s="280" t="s">
        <v>2443</v>
      </c>
      <c r="F22" s="281">
        <f ca="1">'数据-取费表'!B40</f>
        <v>4.7500000000000001E-2</v>
      </c>
      <c r="G22" s="278" t="str">
        <f>IF('数据-取费表'!B22&lt;=1,"单利计息","复利计息")</f>
        <v>复利计息</v>
      </c>
    </row>
    <row r="23" spans="1:7" s="258" customFormat="1" ht="13.5" customHeight="1">
      <c r="A23" s="950" t="s">
        <v>2336</v>
      </c>
      <c r="B23" s="259" t="s">
        <v>2447</v>
      </c>
      <c r="C23" s="1380">
        <f ca="1">ROUND(IF('数据-取费表'!B22&lt;=1,C5*F22*'数据-取费表'!B22,C5*(POWER((1+F22),'数据-取费表'!B22)-1)),0)</f>
        <v>382436</v>
      </c>
      <c r="D23" s="282"/>
      <c r="E23" s="282"/>
      <c r="F23" s="283"/>
      <c r="G23" s="284" t="s">
        <v>2448</v>
      </c>
    </row>
    <row r="24" spans="1:7" s="258" customFormat="1" ht="13.5" customHeight="1">
      <c r="A24" s="950" t="s">
        <v>2338</v>
      </c>
      <c r="B24" s="259" t="s">
        <v>2449</v>
      </c>
      <c r="C24" s="1380">
        <f ca="1">ROUND(IF('数据-取费表'!B22&lt;=1,C19*F22*('数据-取费表'!B19/2+'数据-取费表'!B20),C19*(POWER((1+F22),('数据-取费表'!B19/2+'数据-取费表'!B20))-1)),0)</f>
        <v>509915</v>
      </c>
      <c r="D24" s="282"/>
      <c r="E24" s="282"/>
      <c r="F24" s="283"/>
      <c r="G24" s="284" t="s">
        <v>2450</v>
      </c>
    </row>
    <row r="25" spans="1:7" s="258" customFormat="1" ht="24">
      <c r="A25" s="950" t="s">
        <v>2340</v>
      </c>
      <c r="B25" s="259" t="s">
        <v>2451</v>
      </c>
      <c r="C25" s="1380">
        <f ca="1">ROUND(IF('数据-取费表'!B22&lt;=1,C20*F22*'数据-取费表'!B22/2,C20*(POWER((1+F22),'数据-取费表'!B22/2)-1)),0)</f>
        <v>10896</v>
      </c>
      <c r="D25" s="282"/>
      <c r="E25" s="285"/>
      <c r="F25" s="283"/>
      <c r="G25" s="286" t="s">
        <v>2452</v>
      </c>
    </row>
    <row r="26" spans="1:7" s="258" customFormat="1">
      <c r="A26" s="950"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1410697</v>
      </c>
      <c r="D27" s="279">
        <f ca="1">C29</f>
        <v>4.4999999999999997E-3</v>
      </c>
      <c r="E27" s="280" t="s">
        <v>2378</v>
      </c>
      <c r="F27" s="290">
        <f ca="1">IF(B1="",'数据-取费表'!Q16,INDIRECT("'数据-取费表'!q"&amp;$G$1))</f>
        <v>0.15</v>
      </c>
      <c r="G27" s="291" t="s">
        <v>2379</v>
      </c>
    </row>
    <row r="28" spans="1:7" s="258" customFormat="1" ht="13.5" customHeight="1">
      <c r="A28" s="950" t="s">
        <v>791</v>
      </c>
      <c r="B28" s="292" t="s">
        <v>2380</v>
      </c>
      <c r="C28" s="293">
        <f ca="1">ROUND((C5+C19+C20)*F27,0)</f>
        <v>1410697</v>
      </c>
      <c r="D28" s="279"/>
      <c r="E28" s="280"/>
      <c r="F28" s="290"/>
      <c r="G28" s="291"/>
    </row>
    <row r="29" spans="1:7" s="258" customFormat="1" ht="13.5" customHeight="1">
      <c r="A29" s="950" t="s">
        <v>792</v>
      </c>
      <c r="B29" s="292" t="s">
        <v>2381</v>
      </c>
      <c r="C29" s="282">
        <f ca="1">ROUND(C21*F27,4)</f>
        <v>4.4999999999999997E-3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12866260</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87719822</v>
      </c>
      <c r="D33" s="276"/>
      <c r="E33" s="256"/>
      <c r="F33" s="285"/>
      <c r="G33" s="278"/>
    </row>
    <row r="34" spans="1:7" s="302" customFormat="1" ht="13.5" customHeight="1">
      <c r="A34" s="950" t="s">
        <v>791</v>
      </c>
      <c r="B34" s="259" t="s">
        <v>2389</v>
      </c>
      <c r="C34" s="264">
        <f ca="1">ROUND(IF(B1="",SUMPRODUCT('数据-取费表'!K6:K14,'数据-取费表'!L6:L14),INDIRECT("'数据-取费表'!l"&amp;$G$1)*INDIRECT("'数据-取费表'!k"&amp;$G$1)+'数据-取费表'!L14*INDIRECT("'数据-取费表'!S"&amp;$G$1)),0)</f>
        <v>77443018</v>
      </c>
      <c r="D34" s="261"/>
      <c r="E34" s="264"/>
      <c r="F34" s="301"/>
      <c r="G34" s="263"/>
    </row>
    <row r="35" spans="1:7" ht="13.5" customHeight="1">
      <c r="A35" s="950" t="s">
        <v>796</v>
      </c>
      <c r="B35" s="259" t="s">
        <v>2391</v>
      </c>
      <c r="C35" s="264">
        <f ca="1">ROUND(C34*F35,0)</f>
        <v>3872151</v>
      </c>
      <c r="D35" s="264"/>
      <c r="E35" s="264"/>
      <c r="F35" s="303">
        <f>'数据-取费表'!B33</f>
        <v>0.05</v>
      </c>
      <c r="G35" s="263" t="s">
        <v>2392</v>
      </c>
    </row>
    <row r="36" spans="1:7" ht="24">
      <c r="A36" s="950"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0" t="s">
        <v>798</v>
      </c>
      <c r="B37" s="259" t="s">
        <v>2395</v>
      </c>
      <c r="C37" s="293">
        <f ca="1">ROUND(E37*D37,0)</f>
        <v>5243008</v>
      </c>
      <c r="D37" s="261">
        <f ca="1">D19</f>
        <v>26215.040000000001</v>
      </c>
      <c r="E37" s="293">
        <f>'数据-取费表'!B35</f>
        <v>200</v>
      </c>
      <c r="F37" s="303"/>
      <c r="G37" s="305"/>
    </row>
    <row r="38" spans="1:7" ht="13.5" customHeight="1">
      <c r="A38" s="950" t="s">
        <v>799</v>
      </c>
      <c r="B38" s="259" t="s">
        <v>2397</v>
      </c>
      <c r="C38" s="264">
        <f ca="1">ROUND(C34*F38,0)</f>
        <v>1161645</v>
      </c>
      <c r="D38" s="264"/>
      <c r="E38" s="264"/>
      <c r="F38" s="303">
        <f>'数据-取费表'!B36</f>
        <v>1.4999999999999999E-2</v>
      </c>
      <c r="G38" s="263" t="s">
        <v>2392</v>
      </c>
    </row>
    <row r="39" spans="1:7" s="258" customFormat="1" ht="13.5" customHeight="1">
      <c r="A39" s="299" t="s">
        <v>2398</v>
      </c>
      <c r="B39" s="254" t="s">
        <v>2399</v>
      </c>
      <c r="C39" s="276">
        <f ca="1">ROUND(C33*F20,0)</f>
        <v>2192996</v>
      </c>
      <c r="D39" s="276"/>
      <c r="E39" s="276"/>
      <c r="F39" s="277"/>
      <c r="G39" s="278" t="s">
        <v>2400</v>
      </c>
    </row>
    <row r="40" spans="1:7" s="258" customFormat="1" ht="13.5" customHeight="1">
      <c r="A40" s="299" t="s">
        <v>2401</v>
      </c>
      <c r="B40" s="254" t="s">
        <v>2402</v>
      </c>
      <c r="C40" s="1727">
        <f>F21</f>
        <v>0.03</v>
      </c>
      <c r="D40" s="280" t="s">
        <v>2403</v>
      </c>
      <c r="E40" s="276"/>
      <c r="F40" s="277"/>
      <c r="G40" s="278" t="s">
        <v>2404</v>
      </c>
    </row>
    <row r="41" spans="1:7" s="258" customFormat="1" ht="13.5" customHeight="1">
      <c r="A41" s="299" t="s">
        <v>2405</v>
      </c>
      <c r="B41" s="254" t="s">
        <v>2406</v>
      </c>
      <c r="C41" s="276">
        <f ca="1">ROUND(SUM(C42:C43),0)</f>
        <v>4270859</v>
      </c>
      <c r="D41" s="279">
        <f ca="1">C44</f>
        <v>1.4E-3</v>
      </c>
      <c r="E41" s="280" t="s">
        <v>2403</v>
      </c>
      <c r="F41" s="281"/>
      <c r="G41" s="278" t="str">
        <f>IF('数据-取费表'!B22&lt;=1,"单利计息","复利计息")</f>
        <v>复利计息</v>
      </c>
    </row>
    <row r="42" spans="1:7" ht="13.5" customHeight="1">
      <c r="A42" s="950" t="s">
        <v>791</v>
      </c>
      <c r="B42" s="259" t="s">
        <v>2407</v>
      </c>
      <c r="C42" s="282">
        <f ca="1">ROUND(IF('数据-取费表'!B22&lt;=1,C33*F22*'数据-取费表'!B20/2,C33*(POWER((1+F22),'数据-取费表'!B20/2)-1)),0)</f>
        <v>4166692</v>
      </c>
      <c r="D42" s="282"/>
      <c r="E42" s="282"/>
      <c r="F42" s="283"/>
      <c r="G42" s="3156" t="s">
        <v>2455</v>
      </c>
    </row>
    <row r="43" spans="1:7" ht="13.5" customHeight="1">
      <c r="A43" s="950" t="s">
        <v>792</v>
      </c>
      <c r="B43" s="259" t="s">
        <v>2409</v>
      </c>
      <c r="C43" s="282">
        <f ca="1">ROUND(IF('数据-取费表'!B22&lt;=1,C39*F22*'数据-取费表'!B20/2,C39*(POWER((1+F22),'数据-取费表'!B20/2)-1)),0)</f>
        <v>104167</v>
      </c>
      <c r="D43" s="282"/>
      <c r="E43" s="282"/>
      <c r="F43" s="283"/>
      <c r="G43" s="3157"/>
    </row>
    <row r="44" spans="1:7" ht="13.5" customHeight="1">
      <c r="A44" s="950" t="s">
        <v>793</v>
      </c>
      <c r="B44" s="259" t="s">
        <v>2410</v>
      </c>
      <c r="C44" s="282">
        <f ca="1">ROUND(IF('数据-取费表'!B22&lt;=1,C40*F22*'数据-取费表'!B20/2,C40*(POWER((1+F22),'数据-取费表'!B20/2)-1)),4)</f>
        <v>1.4E-3</v>
      </c>
      <c r="D44" s="282"/>
      <c r="E44" s="282"/>
      <c r="F44" s="283"/>
      <c r="G44" s="3158"/>
    </row>
    <row r="45" spans="1:7" s="258" customFormat="1" ht="13.5" customHeight="1">
      <c r="A45" s="299" t="s">
        <v>2411</v>
      </c>
      <c r="B45" s="288" t="s">
        <v>2377</v>
      </c>
      <c r="C45" s="289">
        <f ca="1">C46</f>
        <v>13486923</v>
      </c>
      <c r="D45" s="279">
        <f ca="1">C47</f>
        <v>4.4999999999999997E-3</v>
      </c>
      <c r="E45" s="280" t="s">
        <v>2403</v>
      </c>
      <c r="F45" s="290"/>
      <c r="G45" s="291" t="s">
        <v>2412</v>
      </c>
    </row>
    <row r="46" spans="1:7" s="258" customFormat="1" ht="13.5" customHeight="1">
      <c r="A46" s="950" t="s">
        <v>791</v>
      </c>
      <c r="B46" s="292" t="s">
        <v>2413</v>
      </c>
      <c r="C46" s="293">
        <f ca="1">ROUND((C33+C39)*F27,0)</f>
        <v>13486923</v>
      </c>
      <c r="D46" s="307"/>
      <c r="E46" s="280"/>
      <c r="F46" s="290"/>
      <c r="G46" s="291"/>
    </row>
    <row r="47" spans="1:7" s="258" customFormat="1" ht="13.5" customHeight="1">
      <c r="A47" s="950" t="s">
        <v>792</v>
      </c>
      <c r="B47" s="292" t="s">
        <v>2414</v>
      </c>
      <c r="C47" s="282">
        <f ca="1">ROUND(C40*F27,4)</f>
        <v>4.4999999999999997E-3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118215415</v>
      </c>
      <c r="D49" s="276"/>
      <c r="E49" s="276"/>
      <c r="F49" s="308"/>
      <c r="G49" s="278" t="s">
        <v>2418</v>
      </c>
    </row>
    <row r="50" spans="1:7" s="302" customFormat="1">
      <c r="A50" s="299" t="s">
        <v>2419</v>
      </c>
      <c r="B50" s="254" t="s">
        <v>2420</v>
      </c>
      <c r="C50" s="276"/>
      <c r="D50" s="276"/>
      <c r="E50" s="276"/>
      <c r="F50" s="308">
        <f>IF('数据-取费表'!B24=0,'数据-取费表'!N16,1)</f>
        <v>0.999</v>
      </c>
      <c r="G50" s="291"/>
    </row>
    <row r="51" spans="1:7" ht="16.5" customHeight="1">
      <c r="A51" s="299" t="s">
        <v>2422</v>
      </c>
      <c r="B51" s="254" t="s">
        <v>2457</v>
      </c>
      <c r="C51" s="276">
        <f ca="1">ROUND(C49*F50,0)</f>
        <v>118097200</v>
      </c>
      <c r="D51" s="276"/>
      <c r="E51" s="276"/>
      <c r="F51" s="308"/>
      <c r="G51" s="278" t="s">
        <v>2424</v>
      </c>
    </row>
    <row r="52" spans="1:7" s="252" customFormat="1" ht="16.5" thickBot="1">
      <c r="A52" s="309" t="s">
        <v>2425</v>
      </c>
      <c r="B52" s="310"/>
      <c r="C52" s="311">
        <f ca="1">C31+C51</f>
        <v>130963460</v>
      </c>
      <c r="D52" s="310"/>
      <c r="E52" s="310"/>
      <c r="F52" s="310"/>
      <c r="G52" s="312"/>
    </row>
    <row r="55" spans="1:7" ht="15">
      <c r="B55" s="314" t="s">
        <v>2426</v>
      </c>
      <c r="C55" s="315"/>
    </row>
    <row r="56" spans="1:7">
      <c r="B56" s="317" t="s">
        <v>1515</v>
      </c>
      <c r="C56" s="319">
        <f ca="1">1-C57</f>
        <v>9.7999999999999976E-2</v>
      </c>
    </row>
    <row r="57" spans="1:7">
      <c r="B57" s="317" t="s">
        <v>1516</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2458</v>
      </c>
      <c r="B1" s="1580"/>
      <c r="C1" s="1581"/>
      <c r="D1" s="1579"/>
      <c r="E1" s="320"/>
      <c r="F1" s="320"/>
      <c r="G1" s="1580"/>
      <c r="H1" s="320"/>
      <c r="I1" s="320"/>
      <c r="J1" s="320"/>
      <c r="K1" s="320">
        <f>MATCH(C1,'数据-取费表'!A6:A16,0)+5</f>
        <v>9</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52" t="s">
        <v>2464</v>
      </c>
      <c r="D5" s="2552" t="s">
        <v>2465</v>
      </c>
      <c r="E5" s="2552" t="s">
        <v>2466</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2470</v>
      </c>
      <c r="B8" s="177"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1335</v>
      </c>
      <c r="B11" s="971" t="s">
        <v>2479</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1336</v>
      </c>
      <c r="B12" s="971" t="s">
        <v>2480</v>
      </c>
      <c r="C12" s="24">
        <f ca="1">ROUND(C11*F12,0)</f>
        <v>0</v>
      </c>
      <c r="D12" s="972"/>
      <c r="E12" s="375"/>
      <c r="F12" s="975">
        <f>'数据-取费表'!B33</f>
        <v>0.05</v>
      </c>
      <c r="G12" s="8" t="s">
        <v>2481</v>
      </c>
      <c r="H12" s="967"/>
      <c r="I12" s="967"/>
      <c r="J12" s="967"/>
      <c r="K12" s="968"/>
    </row>
    <row r="13" spans="1:33" s="974" customFormat="1" ht="13.5" customHeight="1">
      <c r="A13" s="970" t="s">
        <v>1337</v>
      </c>
      <c r="B13" s="971" t="s">
        <v>2482</v>
      </c>
      <c r="C13" s="24">
        <f ca="1">ROUND(IF(C1="",SUMIF('数据-取费表'!C:C,"住宅",'数据-取费表'!P:P)*F13,IF(INDIRECT("'数据-取费表'!c"&amp;$K$1)="住宅",INDIRECT("'数据-取费表'!P"&amp;$K$1)*F13,0)),0)</f>
        <v>0</v>
      </c>
      <c r="D13" s="1032"/>
      <c r="E13" s="375"/>
      <c r="F13" s="975">
        <f>'数据-取费表'!B34</f>
        <v>0</v>
      </c>
      <c r="G13" s="8" t="s">
        <v>2483</v>
      </c>
      <c r="H13" s="967"/>
      <c r="I13" s="967"/>
      <c r="J13" s="967"/>
      <c r="K13" s="968"/>
    </row>
    <row r="14" spans="1:33" s="976" customFormat="1" ht="13.5" customHeight="1">
      <c r="A14" s="970" t="s">
        <v>1338</v>
      </c>
      <c r="B14" s="971" t="s">
        <v>2484</v>
      </c>
      <c r="C14" s="24">
        <f ca="1">ROUND(D14*E14*F11/10000,0)</f>
        <v>0</v>
      </c>
      <c r="D14" s="1032">
        <f ca="1">IF(C1="",'数据-汇总表'!E3,INDIRECT("'数据-取费表'!K"&amp;$K$1)+INDIRECT("'数据-取费表'!S"&amp;$K$1))</f>
        <v>26215.040000000001</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26215.040000000001</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2491</v>
      </c>
      <c r="C18" s="24">
        <f ca="1">C19+C20-IF(C1="",'数据-取费表'!B29,IF(G18="已全部缴纳",C19+C20,H18))</f>
        <v>0</v>
      </c>
      <c r="D18" s="1032"/>
      <c r="E18" s="24"/>
      <c r="F18" s="975"/>
      <c r="G18" s="2554"/>
      <c r="H18" s="1576"/>
      <c r="I18" s="2555"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2494</v>
      </c>
      <c r="C20" s="24">
        <f ca="1">ROUND(D20*E20/10000,0)</f>
        <v>393</v>
      </c>
      <c r="D20" s="1032">
        <f ca="1">IF(C1="",'数据-汇总表'!E6,IF(INDIRECT("'数据-取费表'!c"&amp;$K$1)="住宅",INDIRECT("'数据-取费表'!s"&amp;$K$1),INDIRECT("'数据-取费表'!k"&amp;$K$1)+INDIRECT("'数据-取费表'!s"&amp;$K$1)))</f>
        <v>26215.040000000001</v>
      </c>
      <c r="E20" s="24">
        <f>'数据-取费表'!B28</f>
        <v>150</v>
      </c>
      <c r="F20" s="975"/>
      <c r="G20" s="15"/>
      <c r="H20" s="980"/>
      <c r="I20" s="980"/>
      <c r="J20" s="980"/>
      <c r="K20" s="981"/>
    </row>
    <row r="21" spans="1:33" s="974" customFormat="1" ht="13.5" customHeight="1">
      <c r="A21" s="960" t="s">
        <v>802</v>
      </c>
      <c r="B21" s="984" t="s">
        <v>2495</v>
      </c>
      <c r="C21" s="985">
        <f ca="1">C16+C17+C18</f>
        <v>0</v>
      </c>
      <c r="D21" s="986"/>
      <c r="E21" s="325"/>
      <c r="F21" s="325"/>
      <c r="G21" s="139" t="s">
        <v>2496</v>
      </c>
      <c r="H21" s="978"/>
      <c r="I21" s="978"/>
      <c r="J21" s="978"/>
      <c r="K21" s="979"/>
    </row>
    <row r="22" spans="1:33" s="974" customFormat="1" ht="13.5" customHeight="1">
      <c r="A22" s="960" t="s">
        <v>2468</v>
      </c>
      <c r="B22" s="984" t="s">
        <v>2497</v>
      </c>
      <c r="C22" s="985">
        <f ca="1">ROUND(C21*F22,0)</f>
        <v>0</v>
      </c>
      <c r="D22" s="325"/>
      <c r="E22" s="325"/>
      <c r="F22" s="987">
        <f>'数据-取费表'!B37</f>
        <v>2.5000000000000001E-2</v>
      </c>
      <c r="G22" s="8" t="s">
        <v>2498</v>
      </c>
      <c r="H22" s="967"/>
      <c r="I22" s="967"/>
      <c r="J22" s="967"/>
      <c r="K22" s="968"/>
    </row>
    <row r="23" spans="1:33" s="974" customFormat="1" ht="13.5" customHeight="1">
      <c r="A23" s="960" t="s">
        <v>2470</v>
      </c>
      <c r="B23" s="984" t="s">
        <v>2499</v>
      </c>
      <c r="C23" s="985">
        <f ca="1">ROUND(C4*F23*F11,0)</f>
        <v>0</v>
      </c>
      <c r="D23" s="325"/>
      <c r="E23" s="325"/>
      <c r="F23" s="987">
        <f>'数据-取费表'!B38</f>
        <v>0.03</v>
      </c>
      <c r="G23" s="8" t="s">
        <v>2500</v>
      </c>
      <c r="H23" s="967"/>
      <c r="I23" s="967"/>
      <c r="J23" s="967"/>
      <c r="K23" s="968"/>
    </row>
    <row r="24" spans="1:33" s="974" customFormat="1" ht="13.5" customHeight="1">
      <c r="A24" s="960" t="s">
        <v>2501</v>
      </c>
      <c r="B24" s="984" t="s">
        <v>2502</v>
      </c>
      <c r="C24" s="324">
        <f>ROUND(F24/(1+'数据-取费表'!C42),4)</f>
        <v>3.8600000000000002E-2</v>
      </c>
      <c r="D24" s="325" t="s">
        <v>15</v>
      </c>
      <c r="E24" s="325"/>
      <c r="F24" s="987">
        <f>'数据-取费表'!B48+'数据-取费表'!B49</f>
        <v>4.0500000000000001E-2</v>
      </c>
      <c r="G24" s="8" t="s">
        <v>2503</v>
      </c>
      <c r="H24" s="989"/>
      <c r="I24" s="989"/>
      <c r="J24" s="989"/>
      <c r="K24" s="990"/>
    </row>
    <row r="25" spans="1:33" s="974" customFormat="1" ht="13.5" customHeight="1">
      <c r="A25" s="960" t="s">
        <v>2504</v>
      </c>
      <c r="B25" s="986" t="s">
        <v>2505</v>
      </c>
      <c r="C25" s="1355">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2508</v>
      </c>
      <c r="B28" s="2557" t="s">
        <v>2509</v>
      </c>
      <c r="C28" s="331">
        <f ca="1">C30</f>
        <v>0</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2510</v>
      </c>
      <c r="C29" s="328">
        <f ca="1">ROUND((1+C24)*F28*'数据-取费表'!B24/'数据-取费表'!B20,4)</f>
        <v>0</v>
      </c>
      <c r="D29" s="328"/>
      <c r="E29" s="329"/>
      <c r="F29" s="334"/>
      <c r="G29" s="139" t="s">
        <v>2511</v>
      </c>
      <c r="H29" s="978"/>
      <c r="I29" s="978"/>
      <c r="J29" s="978"/>
      <c r="K29" s="979"/>
    </row>
    <row r="30" spans="1:33" s="335" customFormat="1" ht="13.5" customHeight="1">
      <c r="A30" s="970" t="s">
        <v>804</v>
      </c>
      <c r="B30" s="993" t="s">
        <v>2512</v>
      </c>
      <c r="C30" s="336">
        <f ca="1">ROUND((C21+C22+C23)*F28,0)</f>
        <v>0</v>
      </c>
      <c r="D30" s="328"/>
      <c r="E30" s="329"/>
      <c r="F30" s="334"/>
      <c r="G30" s="139"/>
      <c r="H30" s="978"/>
      <c r="I30" s="978"/>
      <c r="J30" s="978"/>
      <c r="K30" s="979"/>
    </row>
    <row r="31" spans="1:33" s="974" customFormat="1" ht="13.5" customHeight="1" thickBot="1">
      <c r="A31" s="2558" t="s">
        <v>2513</v>
      </c>
      <c r="B31" s="1004" t="s">
        <v>2514</v>
      </c>
      <c r="C31" s="1005">
        <f>ROUND(C4*F31/(1+'数据-取费表'!C42),0)</f>
        <v>0</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L24" sqref="L24:M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1">
        <f ca="1">C6+C10+C12</f>
        <v>0</v>
      </c>
      <c r="D5" s="1821" t="s">
        <v>1603</v>
      </c>
      <c r="E5" s="1292"/>
      <c r="F5" s="1293"/>
      <c r="G5" s="1850"/>
      <c r="H5" s="344">
        <v>1</v>
      </c>
      <c r="I5" s="345" t="s">
        <v>1602</v>
      </c>
      <c r="J5" s="1291">
        <f ca="1">J6+J10+J12</f>
        <v>0</v>
      </c>
      <c r="K5" s="1821" t="s">
        <v>1603</v>
      </c>
      <c r="L5" s="1292"/>
      <c r="M5" s="1293"/>
    </row>
    <row r="6" spans="1:37" ht="18" customHeight="1">
      <c r="A6" s="1290" t="s">
        <v>1035</v>
      </c>
      <c r="B6" s="3159" t="s">
        <v>1404</v>
      </c>
      <c r="C6" s="1295">
        <f ca="1">ROUND(F6*F8*F7*(1-F9),0)</f>
        <v>0</v>
      </c>
      <c r="D6" s="164" t="s">
        <v>3027</v>
      </c>
      <c r="E6" s="347" t="s">
        <v>1406</v>
      </c>
      <c r="F6" s="348">
        <f ca="1">INDIRECT("'数据-取费表'!u"&amp;$G$1)</f>
        <v>0</v>
      </c>
      <c r="G6" s="1850"/>
      <c r="H6" s="1290" t="s">
        <v>1035</v>
      </c>
      <c r="I6" s="3159" t="s">
        <v>1404</v>
      </c>
      <c r="J6" s="346">
        <f ca="1">ROUND(M6*M8*M7*(1-M9),0)</f>
        <v>0</v>
      </c>
      <c r="K6" s="1833" t="s">
        <v>3030</v>
      </c>
      <c r="L6" s="347" t="s">
        <v>1406</v>
      </c>
      <c r="M6" s="348">
        <f ca="1">INDIRECT("'数据-取费表'!z"&amp;$G$1)</f>
        <v>0</v>
      </c>
    </row>
    <row r="7" spans="1:37" ht="18" customHeight="1">
      <c r="A7" s="1294"/>
      <c r="B7" s="3160"/>
      <c r="C7" s="1296"/>
      <c r="D7" s="352"/>
      <c r="E7" s="1297" t="s">
        <v>1407</v>
      </c>
      <c r="F7" s="348">
        <f ca="1">IF(INDIRECT("'数据-取费表'!ah"&amp;$G$1)="",INDIRECT("'数据-取费表'!k"&amp;$G$1),INDIRECT("'数据-取费表'!ah"&amp;$G$1))</f>
        <v>0</v>
      </c>
      <c r="G7" s="1850"/>
      <c r="H7" s="349"/>
      <c r="I7" s="3160"/>
      <c r="J7" s="351"/>
      <c r="K7" s="352"/>
      <c r="L7" s="347" t="s">
        <v>1407</v>
      </c>
      <c r="M7" s="348">
        <f ca="1">F7</f>
        <v>0</v>
      </c>
    </row>
    <row r="8" spans="1:37" ht="18" customHeight="1">
      <c r="A8" s="349"/>
      <c r="B8" s="3160"/>
      <c r="C8" s="351"/>
      <c r="D8" s="352"/>
      <c r="E8" s="347" t="s">
        <v>1408</v>
      </c>
      <c r="F8" s="348">
        <f ca="1">INDIRECT("'数据-取费表'!ai"&amp;$G$1)</f>
        <v>0</v>
      </c>
      <c r="G8" s="1850"/>
      <c r="H8" s="349"/>
      <c r="I8" s="3160"/>
      <c r="J8" s="351"/>
      <c r="K8" s="352"/>
      <c r="L8" s="347" t="s">
        <v>1408</v>
      </c>
      <c r="M8" s="348">
        <f ca="1">INDIRECT("'数据-取费表'!ai"&amp;$G$1)</f>
        <v>0</v>
      </c>
    </row>
    <row r="9" spans="1:37" ht="18" customHeight="1">
      <c r="A9" s="349"/>
      <c r="B9" s="3161"/>
      <c r="C9" s="351"/>
      <c r="D9" s="352"/>
      <c r="E9" s="347" t="s">
        <v>1409</v>
      </c>
      <c r="F9" s="357">
        <f ca="1">INDIRECT("'数据-取费表'!w"&amp;$G$1)</f>
        <v>0</v>
      </c>
      <c r="G9" s="1850"/>
      <c r="H9" s="349"/>
      <c r="I9" s="3161"/>
      <c r="J9" s="351"/>
      <c r="K9" s="352"/>
      <c r="L9" s="358" t="s">
        <v>1409</v>
      </c>
      <c r="M9" s="359">
        <f ca="1">INDIRECT("'数据-取费表'!ab"&amp;$G$1)</f>
        <v>0</v>
      </c>
    </row>
    <row r="10" spans="1:37" ht="18" customHeight="1">
      <c r="A10" s="1290" t="s">
        <v>1039</v>
      </c>
      <c r="B10" s="1822" t="s">
        <v>1410</v>
      </c>
      <c r="C10" s="361">
        <f ca="1">ROUND(IF(F10="押一",F6*F8*F7/12*F11,IF(F10="押二",F6*F8*F7/12*2*F11,IF(F10="押三",F6*F8*F7/12*3*F11,C11*F11))),0)</f>
        <v>0</v>
      </c>
      <c r="D10" s="1823" t="s">
        <v>3028</v>
      </c>
      <c r="E10" s="358" t="s">
        <v>1412</v>
      </c>
      <c r="F10" s="1365"/>
      <c r="G10" s="1850"/>
      <c r="H10" s="1290" t="s">
        <v>1039</v>
      </c>
      <c r="I10" s="1822" t="s">
        <v>1410</v>
      </c>
      <c r="J10" s="346">
        <f ca="1">ROUND(IF(M10="押一",M6*M8*M7/12*M11,IF(M10="押二",M6*M8*M7/12*2*M11,IF(M10="押三",M6*M8*M7/12*3*M11,J11*M11))),0)</f>
        <v>0</v>
      </c>
      <c r="K10" s="1834" t="s">
        <v>3029</v>
      </c>
      <c r="L10" s="358" t="s">
        <v>1412</v>
      </c>
      <c r="M10" s="1365"/>
    </row>
    <row r="11" spans="1:37" ht="18" customHeight="1">
      <c r="A11" s="353"/>
      <c r="B11" s="1824" t="s">
        <v>1604</v>
      </c>
      <c r="C11" s="1177"/>
      <c r="D11" s="352"/>
      <c r="E11" s="358" t="s">
        <v>1414</v>
      </c>
      <c r="F11" s="359">
        <f ca="1">'数据-取费表'!B39</f>
        <v>1.4999999999999999E-2</v>
      </c>
      <c r="G11" s="1850"/>
      <c r="H11" s="1298"/>
      <c r="I11" s="1824" t="s">
        <v>1605</v>
      </c>
      <c r="J11" s="1177"/>
      <c r="K11" s="748"/>
      <c r="L11" s="358" t="s">
        <v>1414</v>
      </c>
      <c r="M11" s="1055">
        <f ca="1">'数据-取费表'!B39</f>
        <v>1.4999999999999999E-2</v>
      </c>
    </row>
    <row r="12" spans="1:37" ht="18" customHeight="1" thickBot="1">
      <c r="A12" s="1332" t="s">
        <v>1075</v>
      </c>
      <c r="B12" s="1826" t="s">
        <v>1415</v>
      </c>
      <c r="C12" s="1333"/>
      <c r="D12" s="1334"/>
      <c r="E12" s="1339"/>
      <c r="F12" s="1335"/>
      <c r="G12" s="1850"/>
      <c r="H12" s="1332" t="s">
        <v>1075</v>
      </c>
      <c r="I12" s="1826"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0"/>
      <c r="H13" s="1328">
        <v>2</v>
      </c>
      <c r="I13" s="1329" t="s">
        <v>1416</v>
      </c>
      <c r="J13" s="1289">
        <f ca="1">ROUND(J14*J15,0)</f>
        <v>0</v>
      </c>
      <c r="K13" s="1336" t="s">
        <v>1417</v>
      </c>
      <c r="L13" s="1851"/>
      <c r="M13" s="1852"/>
    </row>
    <row r="14" spans="1:37" ht="18" customHeight="1">
      <c r="A14" s="1200" t="s">
        <v>1034</v>
      </c>
      <c r="B14" s="347" t="s">
        <v>1419</v>
      </c>
      <c r="C14" s="363">
        <f ca="1">ROUND(INDIRECT("'数据-取费表'!l"&amp;$G$1)*F43+'数据-取费表'!L14*INDIRECT("'数据-取费表'!S"&amp;$G$1),0)</f>
        <v>0</v>
      </c>
      <c r="D14" s="1799" t="s">
        <v>1420</v>
      </c>
      <c r="E14" s="1793"/>
      <c r="F14" s="364"/>
      <c r="G14" s="1850"/>
      <c r="H14" s="1200" t="s">
        <v>1035</v>
      </c>
      <c r="I14" s="347" t="s">
        <v>1421</v>
      </c>
      <c r="J14" s="24">
        <f ca="1">C29</f>
        <v>0</v>
      </c>
      <c r="K14" s="15"/>
      <c r="L14" s="978"/>
      <c r="M14" s="979"/>
    </row>
    <row r="15" spans="1:37" s="1857" customFormat="1" ht="18" customHeight="1" thickBot="1">
      <c r="A15" s="1200" t="s">
        <v>1036</v>
      </c>
      <c r="B15" s="347" t="s">
        <v>1422</v>
      </c>
      <c r="C15" s="24">
        <f ca="1">ROUND(C14*F15,0)</f>
        <v>0</v>
      </c>
      <c r="D15" s="365" t="s">
        <v>1423</v>
      </c>
      <c r="E15" s="365" t="s">
        <v>1424</v>
      </c>
      <c r="F15" s="366">
        <f>'数据-取费表'!B33</f>
        <v>0.05</v>
      </c>
      <c r="G15" s="1853"/>
      <c r="H15" s="1338" t="s">
        <v>1039</v>
      </c>
      <c r="I15" s="1339" t="s">
        <v>1418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0"/>
      <c r="H16" s="1328" t="s">
        <v>1030</v>
      </c>
      <c r="I16" s="1329" t="s">
        <v>1426</v>
      </c>
      <c r="J16" s="355">
        <f ca="1">ROUND(J17+J22+J23+J24,0)</f>
        <v>0</v>
      </c>
      <c r="K16" s="1336" t="s">
        <v>1427</v>
      </c>
      <c r="L16" s="1337"/>
      <c r="M16" s="1293"/>
    </row>
    <row r="17" spans="1:37" s="1857" customFormat="1" ht="18" customHeight="1">
      <c r="A17" s="1200" t="s">
        <v>1391</v>
      </c>
      <c r="B17" s="347" t="s">
        <v>1428</v>
      </c>
      <c r="C17" s="24">
        <f ca="1">ROUND(F17*(F43+INDIRECT("'数据-取费表'!S"&amp;$G$1)),0)</f>
        <v>0</v>
      </c>
      <c r="D17" s="347" t="s">
        <v>1429</v>
      </c>
      <c r="E17" s="347" t="s">
        <v>1430</v>
      </c>
      <c r="F17" s="26">
        <f>'数据-取费表'!B35</f>
        <v>200</v>
      </c>
      <c r="G17" s="1853"/>
      <c r="H17" s="1200"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7" t="s">
        <v>1434</v>
      </c>
      <c r="C18" s="24">
        <f ca="1">ROUND(C14*F18,0)</f>
        <v>0</v>
      </c>
      <c r="D18" s="347" t="s">
        <v>1423</v>
      </c>
      <c r="E18" s="347" t="s">
        <v>1424</v>
      </c>
      <c r="F18" s="367">
        <f>'数据-取费表'!B36</f>
        <v>1.4999999999999999E-2</v>
      </c>
      <c r="G18" s="1853"/>
      <c r="H18" s="1200" t="s">
        <v>1034</v>
      </c>
      <c r="I18" s="347" t="s">
        <v>1435</v>
      </c>
      <c r="J18" s="24">
        <f ca="1">ROUND(J5*M18/(1+'数据-取费表'!C42),0)</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1437</v>
      </c>
      <c r="C19" s="24">
        <f ca="1">SUM(C14:C18)</f>
        <v>0</v>
      </c>
      <c r="D19" s="139" t="s">
        <v>1438</v>
      </c>
      <c r="E19" s="1817"/>
      <c r="F19" s="26"/>
      <c r="G19" s="1850"/>
      <c r="H19" s="1200"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200" t="s">
        <v>1039</v>
      </c>
      <c r="B20" s="347" t="s">
        <v>1441</v>
      </c>
      <c r="C20" s="24">
        <f ca="1">ROUND(C19*F20,0)</f>
        <v>0</v>
      </c>
      <c r="D20" s="369" t="s">
        <v>1442</v>
      </c>
      <c r="E20" s="347" t="s">
        <v>1424</v>
      </c>
      <c r="F20" s="367">
        <f>'数据-取费表'!B37</f>
        <v>2.5000000000000001E-2</v>
      </c>
      <c r="G20" s="1853"/>
      <c r="H20" s="1200" t="s">
        <v>1390</v>
      </c>
      <c r="I20" s="164" t="s">
        <v>1443</v>
      </c>
      <c r="J20" s="25">
        <f ca="1">ROUND(M20*M21,0)</f>
        <v>0</v>
      </c>
      <c r="K20" s="370" t="s">
        <v>1444</v>
      </c>
      <c r="L20" s="347" t="s">
        <v>1445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1446</v>
      </c>
      <c r="C21" s="24" t="s">
        <v>1</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7" t="s">
        <v>1450</v>
      </c>
      <c r="C22" s="24"/>
      <c r="D22" s="139" t="str">
        <f>IF(F23&lt;=1,"单利计息。","复利计息。")&amp;"建造成本、管理费用、销售费用产生的利息。"</f>
        <v>复利计息。建造成本、管理费用、销售费用产生的利息。</v>
      </c>
      <c r="E22" s="1817"/>
      <c r="F22" s="26"/>
      <c r="G22" s="1850"/>
      <c r="H22" s="1200" t="s">
        <v>1039</v>
      </c>
      <c r="I22" s="347" t="s">
        <v>1451</v>
      </c>
      <c r="J22" s="24">
        <f ca="1">ROUND(J14*M22,0)</f>
        <v>0</v>
      </c>
      <c r="K22" s="1797" t="s">
        <v>1452</v>
      </c>
      <c r="L22" s="347" t="s">
        <v>1424</v>
      </c>
      <c r="M22" s="374">
        <f ca="1">INDIRECT("'数据-取费表'!Ak"&amp;$G$1)</f>
        <v>0</v>
      </c>
    </row>
    <row r="23" spans="1:37" s="1857"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200"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3"/>
      <c r="H24" s="1338" t="s">
        <v>1394</v>
      </c>
      <c r="I24" s="1339" t="s">
        <v>1441</v>
      </c>
      <c r="J24" s="1340">
        <f ca="1">ROUND(J5*M24,0)</f>
        <v>0</v>
      </c>
      <c r="K24" s="1341" t="s">
        <v>1461</v>
      </c>
      <c r="L24" s="1339" t="s">
        <v>1457</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1462</v>
      </c>
      <c r="B25" s="347" t="s">
        <v>1463</v>
      </c>
      <c r="C25" s="24"/>
      <c r="D25" s="139" t="s">
        <v>1464</v>
      </c>
      <c r="E25" s="1817"/>
      <c r="F25" s="26"/>
      <c r="G25" s="1850"/>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0"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1480</v>
      </c>
      <c r="C29" s="1340">
        <f ca="1">ROUND((C19+C20+C23+C26)/(1-F21-C24-C27-C28),0)</f>
        <v>0</v>
      </c>
      <c r="D29" s="1341"/>
      <c r="E29" s="1339"/>
      <c r="F29" s="1342"/>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1426</v>
      </c>
      <c r="C30" s="355">
        <f ca="1">ROUND(C31+C36+C37+C38,0)</f>
        <v>0</v>
      </c>
      <c r="D30" s="1336" t="s">
        <v>1427</v>
      </c>
      <c r="E30" s="1337"/>
      <c r="F30" s="1293"/>
      <c r="G30" s="1850"/>
      <c r="H30" s="745"/>
      <c r="I30" s="746"/>
      <c r="J30" s="747"/>
      <c r="K30" s="748"/>
      <c r="L30" s="749"/>
      <c r="M30" s="750"/>
    </row>
    <row r="31" spans="1:37" ht="18" customHeight="1">
      <c r="A31" s="1200"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1435</v>
      </c>
      <c r="C32" s="24">
        <f ca="1">IF(项目基本情况!B11="自然人","——",ROUND(C5*F32/(1+'数据-取费表'!C42),0))</f>
        <v>0</v>
      </c>
      <c r="D32" s="1797" t="s">
        <v>1436</v>
      </c>
      <c r="E32" s="347" t="s">
        <v>1424</v>
      </c>
      <c r="F32" s="377">
        <f>'数据-取费表'!B41</f>
        <v>5.6000000000000001E-2</v>
      </c>
      <c r="G32" s="1850"/>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0" t="s">
        <v>1390</v>
      </c>
      <c r="B34" s="164" t="s">
        <v>1443</v>
      </c>
      <c r="C34" s="25">
        <f ca="1">IF(项目基本情况!B11="自然人","——",ROUND(F34*F35,))</f>
        <v>0</v>
      </c>
      <c r="D34" s="370" t="s">
        <v>1444</v>
      </c>
      <c r="E34" s="347" t="s">
        <v>1445</v>
      </c>
      <c r="F34" s="371">
        <f>'数据-取费表'!B52</f>
        <v>3</v>
      </c>
      <c r="G34" s="1850"/>
      <c r="H34" s="745"/>
      <c r="I34" s="1859"/>
      <c r="J34" s="1860"/>
      <c r="K34" s="1862"/>
      <c r="L34" s="1863"/>
      <c r="M34" s="1863"/>
    </row>
    <row r="35" spans="1:18" ht="18" customHeight="1">
      <c r="A35" s="1352"/>
      <c r="B35" s="1350"/>
      <c r="C35" s="29"/>
      <c r="D35" s="373"/>
      <c r="E35" s="347" t="s">
        <v>1449</v>
      </c>
      <c r="F35" s="348">
        <f ca="1">INDIRECT("'数据-取费表'!r"&amp;$G$1)</f>
        <v>0</v>
      </c>
      <c r="G35" s="1850"/>
      <c r="H35" s="745"/>
      <c r="I35" s="1859"/>
      <c r="J35" s="1860"/>
      <c r="K35" s="1861"/>
      <c r="L35" s="1858"/>
      <c r="M35" s="1858"/>
    </row>
    <row r="36" spans="1:18" ht="18" customHeight="1">
      <c r="A36" s="1351" t="s">
        <v>1039</v>
      </c>
      <c r="B36" s="347" t="s">
        <v>1451</v>
      </c>
      <c r="C36" s="24">
        <f ca="1">ROUND(C29*F36,0)</f>
        <v>0</v>
      </c>
      <c r="D36" s="1797" t="s">
        <v>1484</v>
      </c>
      <c r="E36" s="347" t="s">
        <v>1424</v>
      </c>
      <c r="F36" s="374">
        <f ca="1">INDIRECT("'数据-取费表'!Ak"&amp;$G$1)</f>
        <v>0</v>
      </c>
      <c r="G36" s="1850"/>
      <c r="H36" s="1858"/>
      <c r="I36" s="1859"/>
      <c r="J36" s="1860"/>
      <c r="K36" s="751"/>
      <c r="L36" s="1858"/>
      <c r="M36" s="1858"/>
    </row>
    <row r="37" spans="1:18" ht="18" customHeight="1">
      <c r="A37" s="1200" t="s">
        <v>1075</v>
      </c>
      <c r="B37" s="347" t="s">
        <v>1455</v>
      </c>
      <c r="C37" s="24">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8" t="s">
        <v>1394</v>
      </c>
      <c r="B38" s="1339" t="s">
        <v>1441</v>
      </c>
      <c r="C38" s="1340">
        <f ca="1">ROUND(C5*F38,1)</f>
        <v>0</v>
      </c>
      <c r="D38" s="1341" t="s">
        <v>1461</v>
      </c>
      <c r="E38" s="1339" t="s">
        <v>1457</v>
      </c>
      <c r="F38" s="1335">
        <f ca="1">INDIRECT("'数据-取费表'!Am"&amp;$G$1)</f>
        <v>0</v>
      </c>
      <c r="G38" s="1850"/>
      <c r="H38" s="1858"/>
      <c r="I38" s="1859"/>
      <c r="J38" s="1860"/>
      <c r="K38" s="1864"/>
      <c r="L38" s="1858"/>
      <c r="M38" s="1858"/>
    </row>
    <row r="39" spans="1:18" ht="24.6" customHeight="1" thickTop="1">
      <c r="A39" s="1328" t="s">
        <v>1031</v>
      </c>
      <c r="B39" s="1343" t="s">
        <v>1485</v>
      </c>
      <c r="C39" s="355">
        <f ca="1">C5-C30</f>
        <v>0</v>
      </c>
      <c r="D39" s="1344" t="s">
        <v>1486</v>
      </c>
      <c r="E39" s="1345"/>
      <c r="F39" s="1346"/>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4" t="s">
        <v>1397</v>
      </c>
      <c r="B47" s="1196" t="s">
        <v>1398</v>
      </c>
      <c r="C47" s="1196" t="s">
        <v>1399</v>
      </c>
      <c r="D47" s="1196" t="s">
        <v>1400</v>
      </c>
      <c r="E47" s="1278" t="s">
        <v>1401</v>
      </c>
      <c r="F47" s="1279"/>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9" t="s">
        <v>1135</v>
      </c>
      <c r="B48" s="345" t="s">
        <v>1402</v>
      </c>
      <c r="C48" s="1816">
        <f ca="1">C49+C53+C55</f>
        <v>0</v>
      </c>
      <c r="D48" s="1361"/>
      <c r="E48" s="1362"/>
      <c r="F48" s="1180"/>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3" t="s">
        <v>1136</v>
      </c>
      <c r="B49" s="1828" t="s">
        <v>1492</v>
      </c>
      <c r="C49" s="1363">
        <f ca="1">ROUND(F49*F51*F50*(1-F52),0)</f>
        <v>0</v>
      </c>
      <c r="D49" s="1275" t="s">
        <v>1405</v>
      </c>
      <c r="E49" s="1829" t="s">
        <v>1493</v>
      </c>
      <c r="F49" s="1280"/>
      <c r="G49" s="1890"/>
      <c r="H49" s="793"/>
      <c r="I49" s="1886" t="s">
        <v>1536</v>
      </c>
      <c r="J49" s="1891"/>
      <c r="K49" s="1888" t="s">
        <v>1537</v>
      </c>
      <c r="L49" s="1892"/>
      <c r="O49" s="1893" t="s">
        <v>1042</v>
      </c>
      <c r="P49" s="1884" t="s">
        <v>1538</v>
      </c>
      <c r="Q49" s="1885">
        <f ca="1">C29</f>
        <v>0</v>
      </c>
      <c r="R49" s="1885" t="s">
        <v>1531</v>
      </c>
    </row>
    <row r="50" spans="1:18" s="1841" customFormat="1" ht="13.5" thickBot="1">
      <c r="A50" s="1194"/>
      <c r="B50" s="1197"/>
      <c r="C50" s="1198"/>
      <c r="D50" s="1171"/>
      <c r="E50" s="1276" t="s">
        <v>1407</v>
      </c>
      <c r="F50" s="1277">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5"/>
      <c r="B51" s="1197"/>
      <c r="C51" s="1198"/>
      <c r="D51" s="1171"/>
      <c r="E51" s="1199"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5"/>
      <c r="B52" s="1197"/>
      <c r="C52" s="1198"/>
      <c r="D52" s="1171"/>
      <c r="E52" s="1199" t="s">
        <v>1409</v>
      </c>
      <c r="F52" s="1274"/>
      <c r="I52" s="1902" t="s">
        <v>1545</v>
      </c>
      <c r="J52" s="1903"/>
      <c r="K52" s="1902" t="s">
        <v>1546</v>
      </c>
      <c r="L52" s="1903"/>
      <c r="O52" s="1893" t="s">
        <v>1045</v>
      </c>
      <c r="P52" s="1884" t="s">
        <v>1547</v>
      </c>
      <c r="Q52" s="1885" t="b">
        <f>J53</f>
        <v>0</v>
      </c>
      <c r="R52" s="1885" t="s">
        <v>1548</v>
      </c>
    </row>
    <row r="53" spans="1:18" s="1841" customFormat="1" ht="30.75" customHeight="1" thickBot="1">
      <c r="A53" s="1360" t="s">
        <v>1137</v>
      </c>
      <c r="B53" s="369" t="s">
        <v>1410</v>
      </c>
      <c r="C53" s="361">
        <f ca="1">ROUND(IF(F53="押一",F49*F51*F50/12*F11,IF(F53="押二",F49*F51*F50/12*2*F11,IF(F53="押三",F49*F51*F50/12*3*F11,C54*F11))),0)</f>
        <v>0</v>
      </c>
      <c r="D53" s="1823" t="s">
        <v>1411</v>
      </c>
      <c r="E53" s="358" t="s">
        <v>1412</v>
      </c>
      <c r="F53" s="1365"/>
      <c r="I53" s="1904" t="s">
        <v>1549</v>
      </c>
      <c r="J53" s="1905" t="b">
        <f>IF(M47="住宅",J51,IF(D1="——",MIN(J51,L48),IF(D1="在建（套用方法）",MIN(J51,L48-'数据-取费表'!B24),IF(D1="土地（套用方法）",MIN(J51,L48-'数据-取费表'!B20)))))</f>
        <v>0</v>
      </c>
      <c r="K53" s="3162" t="s">
        <v>1550</v>
      </c>
      <c r="L53" s="3163"/>
      <c r="O53" s="1883" t="s">
        <v>1046</v>
      </c>
      <c r="P53" s="1884" t="s">
        <v>1551</v>
      </c>
      <c r="Q53" s="1885" t="e">
        <f ca="1">Q47+Q48</f>
        <v>#DIV/0!</v>
      </c>
      <c r="R53" s="1885" t="s">
        <v>1047</v>
      </c>
    </row>
    <row r="54" spans="1:18" s="1841" customFormat="1" ht="13.5" thickBot="1">
      <c r="A54" s="1193"/>
      <c r="B54" s="1940" t="s">
        <v>1605</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2" t="s">
        <v>1075</v>
      </c>
      <c r="B55" s="1826" t="s">
        <v>1415</v>
      </c>
      <c r="C55" s="1333"/>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5">
        <v>2</v>
      </c>
      <c r="B56" s="1176"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8"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6" t="s">
        <v>1426</v>
      </c>
      <c r="C58" s="361">
        <f ca="1">ROUND(C59+C64+C65+C66,0)</f>
        <v>0</v>
      </c>
      <c r="D58" s="1178" t="s">
        <v>1427</v>
      </c>
      <c r="E58" s="1179"/>
      <c r="F58" s="1180"/>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IF(项目基本情况!B11="自然人","——",ROUND(C48*F60/(1+'数据-取费表'!C42),0))</f>
        <v>0</v>
      </c>
      <c r="D60" s="1182" t="s">
        <v>1436</v>
      </c>
      <c r="E60" s="1168"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IF(项目基本情况!B11="自然人","——",IF(D61="按租金收入计税",ROUND(C48*F61,0),IF(D61="按房产原值计税",ROUND(C57*F61*0.7,0),INDIRECT("'数据-取费表'!Aj"&amp;$G$1))))</f>
        <v>0</v>
      </c>
      <c r="D61" s="1827" t="s">
        <v>1440</v>
      </c>
      <c r="E61" s="1168"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0" t="s">
        <v>1497</v>
      </c>
      <c r="B62" s="1167" t="s">
        <v>1498</v>
      </c>
      <c r="C62" s="25">
        <f ca="1">IF(项目基本情况!B11="自然人","——",ROUND(F62*F63,0))</f>
        <v>0</v>
      </c>
      <c r="D62" s="1183" t="s">
        <v>1499</v>
      </c>
      <c r="E62" s="1168" t="s">
        <v>1500</v>
      </c>
      <c r="F62" s="371">
        <f t="shared" si="0"/>
        <v>3</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4"/>
      <c r="C63" s="29"/>
      <c r="D63" s="1184"/>
      <c r="E63" s="1168"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ROUND(C57*F64,0)</f>
        <v>0</v>
      </c>
      <c r="D64" s="1182" t="s">
        <v>1504</v>
      </c>
      <c r="E64" s="1168"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ROUND(C56*F65,0)</f>
        <v>0</v>
      </c>
      <c r="D65" s="1182" t="s">
        <v>1456</v>
      </c>
      <c r="E65" s="1168"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0" t="s">
        <v>1506</v>
      </c>
      <c r="B66" s="1168" t="s">
        <v>1441</v>
      </c>
      <c r="C66" s="24">
        <f ca="1">ROUND(C48*F66,0)</f>
        <v>0</v>
      </c>
      <c r="D66" s="1182" t="s">
        <v>1507</v>
      </c>
      <c r="E66" s="1168" t="s">
        <v>1424</v>
      </c>
      <c r="F66" s="357">
        <f t="shared" ca="1" si="0"/>
        <v>0</v>
      </c>
      <c r="O66" s="1883" t="s">
        <v>1041</v>
      </c>
      <c r="P66" s="1884" t="s">
        <v>1560</v>
      </c>
      <c r="Q66" s="1885" t="e">
        <f ca="1">L60</f>
        <v>#DIV/0!</v>
      </c>
      <c r="R66" s="1885" t="s">
        <v>1583</v>
      </c>
    </row>
    <row r="67" spans="1:18" s="1841" customFormat="1" ht="16.5" thickBot="1">
      <c r="A67" s="1175" t="s">
        <v>1031</v>
      </c>
      <c r="B67" s="1185" t="s">
        <v>1465</v>
      </c>
      <c r="C67" s="361">
        <f ca="1">C48-C58</f>
        <v>0</v>
      </c>
      <c r="D67" s="1181" t="s">
        <v>1466</v>
      </c>
      <c r="E67" s="1186"/>
      <c r="F67" s="1187"/>
      <c r="O67" s="1893" t="s">
        <v>1042</v>
      </c>
      <c r="P67" s="1884" t="s">
        <v>1564</v>
      </c>
      <c r="Q67" s="1932">
        <f ca="1">L51</f>
        <v>0</v>
      </c>
      <c r="R67" s="1885" t="s">
        <v>1584</v>
      </c>
    </row>
    <row r="68" spans="1:18" s="1841" customFormat="1" ht="16.5" thickBot="1">
      <c r="A68" s="1165" t="s">
        <v>1032</v>
      </c>
      <c r="B68" s="1166" t="s">
        <v>1487</v>
      </c>
      <c r="C68" s="346" t="e">
        <f ca="1">ROUND(C67*(1-((1+F70)/(1+F68))^F69)/(F68-F70),0)</f>
        <v>#DIV/0!</v>
      </c>
      <c r="D68" s="1183" t="s">
        <v>1471</v>
      </c>
      <c r="E68" s="1168" t="s">
        <v>1472</v>
      </c>
      <c r="F68" s="357">
        <f ca="1">F40</f>
        <v>0</v>
      </c>
      <c r="O68" s="1893" t="s">
        <v>1043</v>
      </c>
      <c r="P68" s="1933" t="s">
        <v>1585</v>
      </c>
      <c r="Q68" s="1885">
        <f ca="1">ROUND(Q69-Q70*Q71,0)</f>
        <v>0</v>
      </c>
      <c r="R68" s="1885" t="s">
        <v>1051</v>
      </c>
    </row>
    <row r="69" spans="1:18" s="1841" customFormat="1" ht="13.5" thickBot="1">
      <c r="A69" s="1169"/>
      <c r="B69" s="1170"/>
      <c r="C69" s="351"/>
      <c r="D69" s="1188" t="s">
        <v>1475</v>
      </c>
      <c r="E69" s="1168" t="s">
        <v>1476</v>
      </c>
      <c r="F69" s="379">
        <f ca="1">F41</f>
        <v>0</v>
      </c>
      <c r="O69" s="1893" t="s">
        <v>1048</v>
      </c>
      <c r="P69" s="1933" t="s">
        <v>1586</v>
      </c>
      <c r="Q69" s="1885">
        <f ca="1">C39</f>
        <v>0</v>
      </c>
      <c r="R69" s="1885" t="s">
        <v>1531</v>
      </c>
    </row>
    <row r="70" spans="1:18" s="1841" customFormat="1" ht="13.5" thickBot="1">
      <c r="A70" s="1172"/>
      <c r="B70" s="1173"/>
      <c r="C70" s="355"/>
      <c r="D70" s="1184"/>
      <c r="E70" s="1168" t="s">
        <v>1479</v>
      </c>
      <c r="F70" s="1274">
        <f ca="1">F42</f>
        <v>0</v>
      </c>
      <c r="O70" s="1893" t="s">
        <v>1049</v>
      </c>
      <c r="P70" s="1933" t="s">
        <v>1587</v>
      </c>
      <c r="Q70" s="1885">
        <f ca="1">C13</f>
        <v>0</v>
      </c>
      <c r="R70" s="1885" t="s">
        <v>1531</v>
      </c>
    </row>
    <row r="71" spans="1:18" s="1841" customFormat="1" ht="13.5" thickBot="1">
      <c r="A71" s="1189" t="s">
        <v>1033</v>
      </c>
      <c r="B71" s="1190" t="s">
        <v>1489</v>
      </c>
      <c r="C71" s="382" t="e">
        <f ca="1">ROUND(C68/F71,0)</f>
        <v>#DIV/0!</v>
      </c>
      <c r="D71" s="1191" t="s">
        <v>1490</v>
      </c>
      <c r="E71" s="1192"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2761</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1053</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2644</v>
      </c>
      <c r="B4" s="402"/>
      <c r="C4" s="3168" t="s">
        <v>2645</v>
      </c>
      <c r="D4" s="3181"/>
      <c r="E4" s="3182" t="s">
        <v>2646</v>
      </c>
      <c r="F4" s="3183"/>
      <c r="G4" s="3168" t="s">
        <v>2647</v>
      </c>
      <c r="H4" s="3181"/>
      <c r="I4" s="3168" t="s">
        <v>2648</v>
      </c>
      <c r="J4" s="3181"/>
      <c r="K4" s="610" t="s">
        <v>2649</v>
      </c>
      <c r="L4" s="1129"/>
      <c r="M4" s="1130"/>
      <c r="N4" s="1130"/>
      <c r="O4" s="1130"/>
      <c r="P4" s="3184" t="s">
        <v>2650</v>
      </c>
      <c r="Q4" s="3185"/>
      <c r="R4" s="3190" t="s">
        <v>2646</v>
      </c>
      <c r="S4" s="3191"/>
      <c r="T4" s="3190" t="s">
        <v>2647</v>
      </c>
      <c r="U4" s="3191"/>
      <c r="V4" s="3177" t="s">
        <v>2648</v>
      </c>
      <c r="W4" s="3177"/>
      <c r="X4" s="1812"/>
      <c r="Y4" s="3190" t="s">
        <v>2650</v>
      </c>
      <c r="Z4" s="3191"/>
      <c r="AA4" s="3178" t="s">
        <v>2646</v>
      </c>
      <c r="AB4" s="3179" t="s">
        <v>2647</v>
      </c>
      <c r="AC4" s="3178" t="s">
        <v>2648</v>
      </c>
    </row>
    <row r="5" spans="1:30" ht="38.25" customHeight="1">
      <c r="A5" s="404"/>
      <c r="B5" s="405"/>
      <c r="C5" s="3198" t="s">
        <v>2541</v>
      </c>
      <c r="D5" s="3199"/>
      <c r="E5" s="3205" t="str">
        <f>土地案例!A9</f>
        <v>机场路以北、123省道两侧C</v>
      </c>
      <c r="F5" s="3206"/>
      <c r="G5" s="3198" t="str">
        <f>土地案例!A14</f>
        <v>南京市溧水区城南新区D</v>
      </c>
      <c r="H5" s="3199"/>
      <c r="I5" s="3198" t="str">
        <f>土地案例!A38</f>
        <v>随园路东、幸源路北</v>
      </c>
      <c r="J5" s="3199"/>
      <c r="K5" s="610"/>
      <c r="L5" s="1129"/>
      <c r="M5" s="1130"/>
      <c r="N5" s="1130"/>
      <c r="O5" s="1130"/>
      <c r="P5" s="3186"/>
      <c r="Q5" s="3187"/>
      <c r="R5" s="3192"/>
      <c r="S5" s="3193"/>
      <c r="T5" s="3192"/>
      <c r="U5" s="3193"/>
      <c r="V5" s="3177"/>
      <c r="W5" s="3177"/>
      <c r="X5" s="1812"/>
      <c r="Y5" s="3192"/>
      <c r="Z5" s="3193"/>
      <c r="AA5" s="3179"/>
      <c r="AB5" s="3179"/>
      <c r="AC5" s="3179"/>
    </row>
    <row r="6" spans="1:30" ht="15.75" thickBot="1">
      <c r="A6" s="406"/>
      <c r="B6" s="407"/>
      <c r="C6" s="3196" t="s">
        <v>2545</v>
      </c>
      <c r="D6" s="3197"/>
      <c r="E6" s="3203" t="s">
        <v>2545</v>
      </c>
      <c r="F6" s="3204"/>
      <c r="G6" s="3196" t="s">
        <v>2545</v>
      </c>
      <c r="H6" s="3197"/>
      <c r="I6" s="3196" t="s">
        <v>2545</v>
      </c>
      <c r="J6" s="3197"/>
      <c r="K6" s="610" t="s">
        <v>2546</v>
      </c>
      <c r="L6" s="1129"/>
      <c r="M6" s="1130"/>
      <c r="N6" s="1130"/>
      <c r="O6" s="1130"/>
      <c r="P6" s="3188"/>
      <c r="Q6" s="3189"/>
      <c r="R6" s="3192"/>
      <c r="S6" s="3193"/>
      <c r="T6" s="3194"/>
      <c r="U6" s="3195"/>
      <c r="V6" s="3177"/>
      <c r="W6" s="3177"/>
      <c r="X6" s="1812"/>
      <c r="Y6" s="3194"/>
      <c r="Z6" s="3195"/>
      <c r="AA6" s="3180"/>
      <c r="AB6" s="3180"/>
      <c r="AC6" s="3180"/>
    </row>
    <row r="7" spans="1:30" s="117" customFormat="1" ht="15.75" thickBot="1">
      <c r="A7" s="408" t="s">
        <v>2547</v>
      </c>
      <c r="B7" s="409"/>
      <c r="C7" s="410">
        <f>'数据-取费表'!B2</f>
        <v>43076</v>
      </c>
      <c r="D7" s="411">
        <v>100</v>
      </c>
      <c r="E7" s="412" t="str">
        <f>土地案例!I9</f>
        <v>2017-02-07</v>
      </c>
      <c r="F7" s="413">
        <f>SUMIF(70:70,YEAR(E7)&amp;"-"&amp;INT((MONTH(E7)+2)/3),71:71)</f>
        <v>97</v>
      </c>
      <c r="G7" s="2694" t="str">
        <f>土地案例!I14</f>
        <v>2016-10-20</v>
      </c>
      <c r="H7" s="411">
        <f>SUMIF(70:70,YEAR(G7)&amp;"-"&amp;INT((MONTH(G7)+2)/3),71:71)</f>
        <v>96</v>
      </c>
      <c r="I7" s="2694" t="str">
        <f>土地案例!I38</f>
        <v>2015-09-18</v>
      </c>
      <c r="J7" s="411">
        <f>SUMIF(70:70,YEAR(I7)&amp;"-"&amp;INT((MONTH(I7)+2)/3),71:71)</f>
        <v>91</v>
      </c>
      <c r="K7" s="611"/>
      <c r="L7" s="1131"/>
      <c r="M7" s="1132"/>
      <c r="N7" s="1132"/>
      <c r="O7" s="1132"/>
      <c r="P7" s="3200" t="s">
        <v>2548</v>
      </c>
      <c r="Q7" s="3202"/>
      <c r="R7" s="770" t="s">
        <v>17</v>
      </c>
      <c r="S7" s="771">
        <f t="shared" ref="S7:S15" si="0">F7</f>
        <v>97</v>
      </c>
      <c r="T7" s="770" t="s">
        <v>17</v>
      </c>
      <c r="U7" s="771">
        <f t="shared" ref="U7:U15" si="1">H7</f>
        <v>96</v>
      </c>
      <c r="V7" s="770" t="s">
        <v>17</v>
      </c>
      <c r="W7" s="771">
        <f t="shared" ref="W7:W15" si="2">J7</f>
        <v>91</v>
      </c>
      <c r="X7" s="772"/>
      <c r="Y7" s="3200" t="s">
        <v>2548</v>
      </c>
      <c r="Z7" s="3201"/>
      <c r="AA7" s="773">
        <f>D7/F7</f>
        <v>1.0309278350515463</v>
      </c>
      <c r="AB7" s="773">
        <f>D7/H7</f>
        <v>1.0416666666666667</v>
      </c>
      <c r="AC7" s="773">
        <f>D7/J7</f>
        <v>1.098901098901099</v>
      </c>
    </row>
    <row r="8" spans="1:30" s="117" customFormat="1" ht="15.75" thickBot="1">
      <c r="A8" s="408" t="s">
        <v>2549</v>
      </c>
      <c r="B8" s="409"/>
      <c r="C8" s="414" t="s">
        <v>2550</v>
      </c>
      <c r="D8" s="411">
        <v>100</v>
      </c>
      <c r="E8" s="414" t="s">
        <v>3226</v>
      </c>
      <c r="F8" s="413">
        <f>SUMIF(73:73,E8,74:74)-SUMIF(73:73,C8,74:74)+100</f>
        <v>100</v>
      </c>
      <c r="G8" s="414" t="s">
        <v>3226</v>
      </c>
      <c r="H8" s="411">
        <f>SUMIF(73:73,G8,74:74)-SUMIF(73:73,C8,74:74)+100</f>
        <v>100</v>
      </c>
      <c r="I8" s="414" t="s">
        <v>3226</v>
      </c>
      <c r="J8" s="411">
        <f>SUMIF(73:73,I8,74:74)-SUMIF(73:73,C8,74:74)+100</f>
        <v>100</v>
      </c>
      <c r="K8" s="611"/>
      <c r="L8" s="1131"/>
      <c r="M8" s="1132"/>
      <c r="N8" s="1132"/>
      <c r="O8" s="1132"/>
      <c r="P8" s="3200" t="s">
        <v>2551</v>
      </c>
      <c r="Q8" s="3201"/>
      <c r="R8" s="770" t="s">
        <v>17</v>
      </c>
      <c r="S8" s="771">
        <f t="shared" si="0"/>
        <v>100</v>
      </c>
      <c r="T8" s="770" t="s">
        <v>17</v>
      </c>
      <c r="U8" s="771">
        <f t="shared" si="1"/>
        <v>100</v>
      </c>
      <c r="V8" s="770" t="s">
        <v>17</v>
      </c>
      <c r="W8" s="771">
        <f t="shared" si="2"/>
        <v>100</v>
      </c>
      <c r="X8" s="772"/>
      <c r="Y8" s="3200" t="s">
        <v>2551</v>
      </c>
      <c r="Z8" s="3201"/>
      <c r="AA8" s="773">
        <f t="shared" ref="AA8:AA45" si="3">D8/F8</f>
        <v>1</v>
      </c>
      <c r="AB8" s="773">
        <f t="shared" ref="AB8:AB45" si="4">D8/H8</f>
        <v>1</v>
      </c>
      <c r="AC8" s="773">
        <f t="shared" ref="AC8:AC45" si="5">D8/J8</f>
        <v>1</v>
      </c>
    </row>
    <row r="9" spans="1:30" s="117" customFormat="1">
      <c r="A9" s="415" t="s">
        <v>2552</v>
      </c>
      <c r="B9" s="71" t="s">
        <v>2553</v>
      </c>
      <c r="C9" s="2697" t="s">
        <v>3154</v>
      </c>
      <c r="D9" s="134">
        <v>100</v>
      </c>
      <c r="E9" s="2697" t="s">
        <v>3108</v>
      </c>
      <c r="F9" s="134">
        <f>SUMIF(75:75,E9,76:76)-SUMIF(75:75,C9,76:76)+100</f>
        <v>100</v>
      </c>
      <c r="G9" s="2697" t="s">
        <v>3148</v>
      </c>
      <c r="H9" s="134">
        <f>SUMIF(75:75,G9,76:76)-SUMIF(75:75,C9,76:76)+100</f>
        <v>100</v>
      </c>
      <c r="I9" s="2697" t="s">
        <v>3108</v>
      </c>
      <c r="J9" s="134">
        <f>SUMIF(75:75,I9,76:76)-SUMIF(75:75,C9,76:76)+100</f>
        <v>100</v>
      </c>
      <c r="K9" s="611"/>
      <c r="L9" s="1131"/>
      <c r="M9" s="1132"/>
      <c r="N9" s="1132"/>
      <c r="O9" s="1133"/>
      <c r="P9" s="3171" t="s">
        <v>2554</v>
      </c>
      <c r="Q9" s="179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30" s="427" customFormat="1" ht="27">
      <c r="A10" s="421"/>
      <c r="B10" s="422" t="s">
        <v>2556</v>
      </c>
      <c r="C10" s="432" t="s">
        <v>3261</v>
      </c>
      <c r="D10" s="135">
        <v>100</v>
      </c>
      <c r="E10" s="465" t="s">
        <v>3229</v>
      </c>
      <c r="F10" s="135">
        <f>ROUND(100/'数据-取费表'!G16,0)</f>
        <v>123</v>
      </c>
      <c r="G10" s="463" t="s">
        <v>3229</v>
      </c>
      <c r="H10" s="135">
        <f>ROUND(100/'数据-取费表'!G16,0)</f>
        <v>123</v>
      </c>
      <c r="I10" s="463" t="s">
        <v>3229</v>
      </c>
      <c r="J10" s="135">
        <f>ROUND(100/'数据-取费表'!G16,0)</f>
        <v>123</v>
      </c>
      <c r="K10" s="672"/>
      <c r="L10" s="1134"/>
      <c r="M10" s="1135"/>
      <c r="N10" s="1135"/>
      <c r="O10" s="1136"/>
      <c r="P10" s="3171"/>
      <c r="Q10" s="1794" t="str">
        <f t="shared" si="6"/>
        <v>土地使用年限（年）</v>
      </c>
      <c r="R10" s="770" t="s">
        <v>17</v>
      </c>
      <c r="S10" s="771">
        <f t="shared" si="0"/>
        <v>123</v>
      </c>
      <c r="T10" s="770" t="s">
        <v>17</v>
      </c>
      <c r="U10" s="771">
        <f t="shared" si="1"/>
        <v>123</v>
      </c>
      <c r="V10" s="770" t="s">
        <v>17</v>
      </c>
      <c r="W10" s="771">
        <f t="shared" si="2"/>
        <v>123</v>
      </c>
      <c r="X10" s="772"/>
      <c r="Y10" s="3014"/>
      <c r="Z10" s="55" t="str">
        <f t="shared" si="7"/>
        <v>土地使用年限（年）</v>
      </c>
      <c r="AA10" s="773">
        <f t="shared" si="3"/>
        <v>0.81300813008130079</v>
      </c>
      <c r="AB10" s="773">
        <f t="shared" si="4"/>
        <v>0.81300813008130079</v>
      </c>
      <c r="AC10" s="773">
        <f t="shared" si="5"/>
        <v>0.81300813008130079</v>
      </c>
    </row>
    <row r="11" spans="1:30" ht="15">
      <c r="A11" s="428"/>
      <c r="B11" s="422" t="s">
        <v>2557</v>
      </c>
      <c r="C11" s="2964">
        <f>'数据-汇总表'!I3</f>
        <v>2.09</v>
      </c>
      <c r="D11" s="135">
        <v>100</v>
      </c>
      <c r="E11" s="429">
        <v>3</v>
      </c>
      <c r="F11" s="135">
        <f>LOOKUP(E11,80:80,81:81)-LOOKUP(C11,80:80,81:81)+100</f>
        <v>104</v>
      </c>
      <c r="G11" s="430">
        <v>2.2000000000000002</v>
      </c>
      <c r="H11" s="135">
        <f>LOOKUP(G11,80:80,81:81)-LOOKUP(C11,80:80,81:81)+100</f>
        <v>100</v>
      </c>
      <c r="I11" s="429">
        <v>2.5</v>
      </c>
      <c r="J11" s="135">
        <f>LOOKUP(I11,80:80,81:81)-LOOKUP(C11,80:80,81:81)+100</f>
        <v>102</v>
      </c>
      <c r="K11" s="673">
        <v>2</v>
      </c>
      <c r="L11" s="1137"/>
      <c r="M11" s="1130"/>
      <c r="N11" s="1130"/>
      <c r="O11" s="1138"/>
      <c r="P11" s="3171"/>
      <c r="Q11" s="1794" t="str">
        <f t="shared" si="6"/>
        <v>容积率</v>
      </c>
      <c r="R11" s="770" t="s">
        <v>17</v>
      </c>
      <c r="S11" s="771">
        <f t="shared" si="0"/>
        <v>104</v>
      </c>
      <c r="T11" s="770" t="s">
        <v>17</v>
      </c>
      <c r="U11" s="771">
        <f t="shared" si="1"/>
        <v>100</v>
      </c>
      <c r="V11" s="770" t="s">
        <v>17</v>
      </c>
      <c r="W11" s="771">
        <f t="shared" si="2"/>
        <v>102</v>
      </c>
      <c r="X11" s="772"/>
      <c r="Y11" s="3014"/>
      <c r="Z11" s="55" t="str">
        <f t="shared" si="7"/>
        <v>容积率</v>
      </c>
      <c r="AA11" s="773">
        <f t="shared" si="3"/>
        <v>0.96153846153846156</v>
      </c>
      <c r="AB11" s="773">
        <f t="shared" si="4"/>
        <v>1</v>
      </c>
      <c r="AC11" s="773">
        <f t="shared" si="5"/>
        <v>0.98039215686274506</v>
      </c>
    </row>
    <row r="12" spans="1:30" s="117" customFormat="1" ht="15" hidden="1">
      <c r="A12" s="431"/>
      <c r="B12" s="2949"/>
      <c r="C12" s="2950"/>
      <c r="D12" s="433">
        <v>100</v>
      </c>
      <c r="E12" s="2951"/>
      <c r="F12" s="135">
        <f>SUMIF(82:82,E12,83:83)-SUMIF(82:82,C12,83:83)+100</f>
        <v>100</v>
      </c>
      <c r="G12" s="2951"/>
      <c r="H12" s="135">
        <f>SUMIF(82:82,G12,83:83)-SUMIF(82:82,C12,83:83)+100</f>
        <v>100</v>
      </c>
      <c r="I12" s="2951"/>
      <c r="J12" s="135">
        <f>SUMIF(82:82,I12,83:83)-SUMIF(82:82,C12,83:83)+100</f>
        <v>100</v>
      </c>
      <c r="K12" s="672"/>
      <c r="L12" s="1131"/>
      <c r="M12" s="1132"/>
      <c r="N12" s="1132"/>
      <c r="O12" s="1133"/>
      <c r="P12" s="3171"/>
      <c r="Q12" s="1794">
        <f t="shared" si="6"/>
        <v>0</v>
      </c>
      <c r="R12" s="770" t="s">
        <v>17</v>
      </c>
      <c r="S12" s="771">
        <f t="shared" si="0"/>
        <v>100</v>
      </c>
      <c r="T12" s="770" t="s">
        <v>17</v>
      </c>
      <c r="U12" s="771">
        <f t="shared" si="1"/>
        <v>100</v>
      </c>
      <c r="V12" s="770" t="s">
        <v>17</v>
      </c>
      <c r="W12" s="771">
        <f t="shared" si="2"/>
        <v>100</v>
      </c>
      <c r="X12" s="772"/>
      <c r="Y12" s="3014"/>
      <c r="Z12" s="55">
        <f t="shared" si="7"/>
        <v>0</v>
      </c>
      <c r="AA12" s="773">
        <f>D12/F12</f>
        <v>1</v>
      </c>
      <c r="AB12" s="773">
        <f>D12/H12</f>
        <v>1</v>
      </c>
      <c r="AC12" s="773">
        <f>D12/J12</f>
        <v>1</v>
      </c>
    </row>
    <row r="13" spans="1:30" ht="15" hidden="1">
      <c r="A13" s="428"/>
      <c r="B13" s="2598"/>
      <c r="C13" s="434"/>
      <c r="D13" s="435">
        <v>100</v>
      </c>
      <c r="E13" s="549"/>
      <c r="F13" s="135">
        <f>SUMIF(84:84,E13,85:85)-SUMIF(84:84,C13,85:85)+100</f>
        <v>100</v>
      </c>
      <c r="G13" s="674"/>
      <c r="H13" s="435">
        <f>SUMIF(84:84,G13,85:85)-SUMIF(84:84,C13,85:85)+100</f>
        <v>100</v>
      </c>
      <c r="I13" s="674"/>
      <c r="J13" s="435">
        <f>SUMIF(84:84,I13,85:85)-SUMIF(84:84,C13,85:85)+100</f>
        <v>100</v>
      </c>
      <c r="K13" s="672"/>
      <c r="L13" s="1139"/>
      <c r="M13" s="1130"/>
      <c r="N13" s="1130"/>
      <c r="O13" s="1138"/>
      <c r="P13" s="3171"/>
      <c r="Q13" s="1794">
        <f t="shared" si="6"/>
        <v>0</v>
      </c>
      <c r="R13" s="770" t="s">
        <v>17</v>
      </c>
      <c r="S13" s="771">
        <f t="shared" si="0"/>
        <v>100</v>
      </c>
      <c r="T13" s="770" t="s">
        <v>17</v>
      </c>
      <c r="U13" s="771">
        <f t="shared" si="1"/>
        <v>100</v>
      </c>
      <c r="V13" s="770" t="s">
        <v>17</v>
      </c>
      <c r="W13" s="771">
        <f t="shared" si="2"/>
        <v>100</v>
      </c>
      <c r="X13" s="772"/>
      <c r="Y13" s="3014"/>
      <c r="Z13" s="55">
        <f t="shared" si="7"/>
        <v>0</v>
      </c>
      <c r="AA13" s="773">
        <f>D13/F13</f>
        <v>1</v>
      </c>
      <c r="AB13" s="773">
        <f>D13/H13</f>
        <v>1</v>
      </c>
      <c r="AC13" s="773">
        <f>D13/J13</f>
        <v>1</v>
      </c>
    </row>
    <row r="14" spans="1:30" ht="15.75" hidden="1" thickBot="1">
      <c r="A14" s="436"/>
      <c r="B14" s="2600"/>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1"/>
      <c r="Q14" s="1794">
        <f t="shared" si="6"/>
        <v>0</v>
      </c>
      <c r="R14" s="770" t="s">
        <v>17</v>
      </c>
      <c r="S14" s="771">
        <f t="shared" si="0"/>
        <v>100</v>
      </c>
      <c r="T14" s="770" t="s">
        <v>17</v>
      </c>
      <c r="U14" s="771">
        <f t="shared" si="1"/>
        <v>100</v>
      </c>
      <c r="V14" s="770" t="s">
        <v>17</v>
      </c>
      <c r="W14" s="771">
        <f t="shared" si="2"/>
        <v>100</v>
      </c>
      <c r="X14" s="772"/>
      <c r="Y14" s="3014"/>
      <c r="Z14" s="55">
        <f t="shared" si="7"/>
        <v>0</v>
      </c>
      <c r="AA14" s="773">
        <f>D14/F14</f>
        <v>1</v>
      </c>
      <c r="AB14" s="773">
        <f>D14/H14</f>
        <v>1</v>
      </c>
      <c r="AC14" s="773">
        <f>D14/J14</f>
        <v>1</v>
      </c>
    </row>
    <row r="15" spans="1:30" ht="99.75" hidden="1">
      <c r="A15" s="440" t="s">
        <v>2558</v>
      </c>
      <c r="B15" s="69" t="s">
        <v>2083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73" t="s">
        <v>2559</v>
      </c>
      <c r="Q15" s="1809" t="str">
        <f t="shared" si="6"/>
        <v>居住社区成熟度</v>
      </c>
      <c r="R15" s="774" t="s">
        <v>17</v>
      </c>
      <c r="S15" s="775">
        <f t="shared" si="0"/>
        <v>100</v>
      </c>
      <c r="T15" s="774" t="s">
        <v>17</v>
      </c>
      <c r="U15" s="775">
        <f t="shared" si="1"/>
        <v>100</v>
      </c>
      <c r="V15" s="774" t="s">
        <v>17</v>
      </c>
      <c r="W15" s="775">
        <f t="shared" si="2"/>
        <v>100</v>
      </c>
      <c r="X15" s="1812"/>
      <c r="Y15" s="3173" t="s">
        <v>2559</v>
      </c>
      <c r="Z15" s="1813" t="str">
        <f t="shared" si="7"/>
        <v>居住社区成熟度</v>
      </c>
      <c r="AA15" s="1810">
        <f t="shared" si="3"/>
        <v>1</v>
      </c>
      <c r="AB15" s="1810">
        <f t="shared" si="4"/>
        <v>1</v>
      </c>
      <c r="AC15" s="1810">
        <f t="shared" si="5"/>
        <v>1</v>
      </c>
    </row>
    <row r="16" spans="1:30" ht="15" hidden="1">
      <c r="A16" s="428"/>
      <c r="B16" s="446"/>
      <c r="C16" s="447"/>
      <c r="D16" s="448"/>
      <c r="E16" s="2603"/>
      <c r="F16" s="448"/>
      <c r="G16" s="2603"/>
      <c r="H16" s="450"/>
      <c r="I16" s="2602"/>
      <c r="J16" s="448"/>
      <c r="K16" s="672"/>
      <c r="L16" s="1139"/>
      <c r="M16" s="1130"/>
      <c r="N16" s="1130"/>
      <c r="O16" s="1138"/>
      <c r="P16" s="3174"/>
      <c r="Q16" s="1809"/>
      <c r="R16" s="774"/>
      <c r="S16" s="775"/>
      <c r="T16" s="774"/>
      <c r="U16" s="775"/>
      <c r="V16" s="774"/>
      <c r="W16" s="775"/>
      <c r="X16" s="1812"/>
      <c r="Y16" s="3174"/>
      <c r="Z16" s="1813"/>
      <c r="AA16" s="1810">
        <v>1</v>
      </c>
      <c r="AB16" s="1810">
        <v>1</v>
      </c>
      <c r="AC16" s="1810">
        <v>1</v>
      </c>
    </row>
    <row r="17" spans="1:29" ht="71.25">
      <c r="A17" s="428"/>
      <c r="B17" s="451" t="s">
        <v>2652</v>
      </c>
      <c r="C17" s="2662" t="str">
        <f>估价对象房地状况!C16</f>
        <v>估价对象位于XX商圈，周边商业氛围成熟，人流量大，商业繁华度好</v>
      </c>
      <c r="D17" s="450">
        <v>100</v>
      </c>
      <c r="E17" s="452"/>
      <c r="F17" s="450">
        <f>SUMIF(90:90,E18,91:91)-SUMIF(90:90,C18,91:91)+100</f>
        <v>102</v>
      </c>
      <c r="G17" s="452"/>
      <c r="H17" s="455">
        <f>SUMIF(90:90,G18,91:91)-SUMIF(90:90,C18,91:91)+100</f>
        <v>102</v>
      </c>
      <c r="I17" s="454"/>
      <c r="J17" s="455">
        <f>SUMIF(90:90,I18,91:91)-SUMIF(90:90,C18,91:91)+100</f>
        <v>102</v>
      </c>
      <c r="K17" s="673">
        <v>2</v>
      </c>
      <c r="L17" s="1139"/>
      <c r="M17" s="1130"/>
      <c r="N17" s="1130"/>
      <c r="O17" s="1138"/>
      <c r="P17" s="3174"/>
      <c r="Q17" s="1809" t="str">
        <f>B17</f>
        <v>商业繁华度</v>
      </c>
      <c r="R17" s="774" t="s">
        <v>17</v>
      </c>
      <c r="S17" s="775">
        <f>F17</f>
        <v>102</v>
      </c>
      <c r="T17" s="774" t="s">
        <v>17</v>
      </c>
      <c r="U17" s="775">
        <f>H17</f>
        <v>102</v>
      </c>
      <c r="V17" s="774" t="s">
        <v>17</v>
      </c>
      <c r="W17" s="775">
        <f>J17</f>
        <v>102</v>
      </c>
      <c r="X17" s="1812"/>
      <c r="Y17" s="3174"/>
      <c r="Z17" s="1813" t="str">
        <f>Q17</f>
        <v>商业繁华度</v>
      </c>
      <c r="AA17" s="1810">
        <f t="shared" si="3"/>
        <v>0.98039215686274506</v>
      </c>
      <c r="AB17" s="1810">
        <f t="shared" si="4"/>
        <v>0.98039215686274506</v>
      </c>
      <c r="AC17" s="1810">
        <f t="shared" si="5"/>
        <v>0.98039215686274506</v>
      </c>
    </row>
    <row r="18" spans="1:29" ht="15">
      <c r="A18" s="428"/>
      <c r="B18" s="456"/>
      <c r="C18" s="2606" t="s">
        <v>3244</v>
      </c>
      <c r="D18" s="450"/>
      <c r="E18" s="2608" t="s">
        <v>3245</v>
      </c>
      <c r="F18" s="450"/>
      <c r="G18" s="2608" t="s">
        <v>3245</v>
      </c>
      <c r="H18" s="448"/>
      <c r="I18" s="2607" t="s">
        <v>3245</v>
      </c>
      <c r="J18" s="448"/>
      <c r="K18" s="672"/>
      <c r="L18" s="1139"/>
      <c r="M18" s="1130"/>
      <c r="N18" s="1130"/>
      <c r="O18" s="1138"/>
      <c r="P18" s="3174"/>
      <c r="Q18" s="1809"/>
      <c r="R18" s="774"/>
      <c r="S18" s="775"/>
      <c r="T18" s="774"/>
      <c r="U18" s="775"/>
      <c r="V18" s="774"/>
      <c r="W18" s="775"/>
      <c r="X18" s="1812"/>
      <c r="Y18" s="3174"/>
      <c r="Z18" s="1813"/>
      <c r="AA18" s="1810">
        <v>1</v>
      </c>
      <c r="AB18" s="1810">
        <v>1</v>
      </c>
      <c r="AC18" s="1810">
        <v>1</v>
      </c>
    </row>
    <row r="19" spans="1:29" ht="71.25">
      <c r="A19" s="428"/>
      <c r="B19" s="451" t="s">
        <v>2686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39"/>
      <c r="M19" s="1130"/>
      <c r="N19" s="1130"/>
      <c r="O19" s="1138"/>
      <c r="P19" s="3174"/>
      <c r="Q19" s="1809" t="str">
        <f>B19</f>
        <v>办公集聚程度</v>
      </c>
      <c r="R19" s="774" t="s">
        <v>17</v>
      </c>
      <c r="S19" s="775">
        <f>F19</f>
        <v>100</v>
      </c>
      <c r="T19" s="774" t="s">
        <v>17</v>
      </c>
      <c r="U19" s="775">
        <f>H19</f>
        <v>100</v>
      </c>
      <c r="V19" s="774" t="s">
        <v>17</v>
      </c>
      <c r="W19" s="775">
        <f>J19</f>
        <v>100</v>
      </c>
      <c r="X19" s="1812"/>
      <c r="Y19" s="3174"/>
      <c r="Z19" s="1813" t="str">
        <f>Q19</f>
        <v>办公集聚程度</v>
      </c>
      <c r="AA19" s="1810">
        <f t="shared" si="3"/>
        <v>1</v>
      </c>
      <c r="AB19" s="1810">
        <f t="shared" si="4"/>
        <v>1</v>
      </c>
      <c r="AC19" s="1810">
        <f t="shared" si="5"/>
        <v>1</v>
      </c>
    </row>
    <row r="20" spans="1:29" ht="15">
      <c r="A20" s="428"/>
      <c r="B20" s="456"/>
      <c r="C20" s="447" t="s">
        <v>3244</v>
      </c>
      <c r="D20" s="448"/>
      <c r="E20" s="2603" t="s">
        <v>3244</v>
      </c>
      <c r="F20" s="448"/>
      <c r="G20" s="2603" t="s">
        <v>3244</v>
      </c>
      <c r="H20" s="448"/>
      <c r="I20" s="2602" t="s">
        <v>3244</v>
      </c>
      <c r="J20" s="448"/>
      <c r="K20" s="672"/>
      <c r="L20" s="1139"/>
      <c r="M20" s="1130"/>
      <c r="N20" s="1130"/>
      <c r="O20" s="1138"/>
      <c r="P20" s="3174"/>
      <c r="Q20" s="1809"/>
      <c r="R20" s="774"/>
      <c r="S20" s="775"/>
      <c r="T20" s="774"/>
      <c r="U20" s="775"/>
      <c r="V20" s="774"/>
      <c r="W20" s="775"/>
      <c r="X20" s="1812"/>
      <c r="Y20" s="3174"/>
      <c r="Z20" s="1813"/>
      <c r="AA20" s="1810">
        <v>1</v>
      </c>
      <c r="AB20" s="1810">
        <v>1</v>
      </c>
      <c r="AC20" s="1810">
        <v>1</v>
      </c>
    </row>
    <row r="21" spans="1:29" ht="85.5">
      <c r="A21" s="428"/>
      <c r="B21" s="451" t="s">
        <v>2708</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39"/>
      <c r="M21" s="1130"/>
      <c r="N21" s="1130"/>
      <c r="O21" s="1138"/>
      <c r="P21" s="3174"/>
      <c r="Q21" s="1809" t="str">
        <f>B21</f>
        <v>交通便捷度</v>
      </c>
      <c r="R21" s="774" t="s">
        <v>17</v>
      </c>
      <c r="S21" s="775">
        <f>F21</f>
        <v>100</v>
      </c>
      <c r="T21" s="774" t="s">
        <v>17</v>
      </c>
      <c r="U21" s="775">
        <f>H21</f>
        <v>100</v>
      </c>
      <c r="V21" s="774" t="s">
        <v>17</v>
      </c>
      <c r="W21" s="775">
        <f>J21</f>
        <v>100</v>
      </c>
      <c r="X21" s="1812"/>
      <c r="Y21" s="3174"/>
      <c r="Z21" s="1813" t="str">
        <f>Q21</f>
        <v>交通便捷度</v>
      </c>
      <c r="AA21" s="1810">
        <f t="shared" si="3"/>
        <v>1</v>
      </c>
      <c r="AB21" s="1810">
        <f t="shared" si="4"/>
        <v>1</v>
      </c>
      <c r="AC21" s="1810">
        <f t="shared" si="5"/>
        <v>1</v>
      </c>
    </row>
    <row r="22" spans="1:29" ht="15">
      <c r="A22" s="428"/>
      <c r="B22" s="1383"/>
      <c r="C22" s="447" t="s">
        <v>3245</v>
      </c>
      <c r="D22" s="450"/>
      <c r="E22" s="2603" t="s">
        <v>3245</v>
      </c>
      <c r="F22" s="448"/>
      <c r="G22" s="2603" t="s">
        <v>3245</v>
      </c>
      <c r="H22" s="448"/>
      <c r="I22" s="2602" t="s">
        <v>3245</v>
      </c>
      <c r="J22" s="448"/>
      <c r="K22" s="672"/>
      <c r="L22" s="1139"/>
      <c r="M22" s="1130"/>
      <c r="N22" s="1130"/>
      <c r="O22" s="1138"/>
      <c r="P22" s="3174"/>
      <c r="Q22" s="1809"/>
      <c r="R22" s="774"/>
      <c r="S22" s="775"/>
      <c r="T22" s="774"/>
      <c r="U22" s="775"/>
      <c r="V22" s="774"/>
      <c r="W22" s="775"/>
      <c r="X22" s="1812"/>
      <c r="Y22" s="3174"/>
      <c r="Z22" s="1813"/>
      <c r="AA22" s="1810">
        <v>1</v>
      </c>
      <c r="AB22" s="1810">
        <v>1</v>
      </c>
      <c r="AC22" s="1810">
        <v>1</v>
      </c>
    </row>
    <row r="23" spans="1:29" ht="15">
      <c r="A23" s="404"/>
      <c r="B23" s="451" t="s">
        <v>2746</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39"/>
      <c r="M23" s="1130"/>
      <c r="N23" s="1130"/>
      <c r="O23" s="1138"/>
      <c r="P23" s="3174"/>
      <c r="Q23" s="1809" t="str">
        <f t="shared" ref="Q23:Q37" si="8">B23</f>
        <v>区域土地利用方向</v>
      </c>
      <c r="R23" s="774" t="s">
        <v>17</v>
      </c>
      <c r="S23" s="775">
        <f>F23</f>
        <v>100</v>
      </c>
      <c r="T23" s="774" t="s">
        <v>17</v>
      </c>
      <c r="U23" s="775">
        <f>H23</f>
        <v>100</v>
      </c>
      <c r="V23" s="774" t="s">
        <v>17</v>
      </c>
      <c r="W23" s="775">
        <f>J23</f>
        <v>100</v>
      </c>
      <c r="X23" s="1812"/>
      <c r="Y23" s="3174"/>
      <c r="Z23" s="1813" t="str">
        <f>Q23</f>
        <v>区域土地利用方向</v>
      </c>
      <c r="AA23" s="1810">
        <f t="shared" si="3"/>
        <v>1</v>
      </c>
      <c r="AB23" s="1810">
        <f t="shared" si="4"/>
        <v>1</v>
      </c>
      <c r="AC23" s="1810">
        <f t="shared" si="5"/>
        <v>1</v>
      </c>
    </row>
    <row r="24" spans="1:29" ht="15">
      <c r="A24" s="404"/>
      <c r="B24" s="456"/>
      <c r="C24" s="616" t="s">
        <v>3237</v>
      </c>
      <c r="D24" s="448"/>
      <c r="E24" s="2603" t="s">
        <v>3237</v>
      </c>
      <c r="F24" s="448"/>
      <c r="G24" s="2603" t="s">
        <v>3237</v>
      </c>
      <c r="H24" s="448"/>
      <c r="I24" s="2603" t="s">
        <v>3237</v>
      </c>
      <c r="J24" s="448"/>
      <c r="K24" s="808"/>
      <c r="L24" s="1139"/>
      <c r="M24" s="1130"/>
      <c r="N24" s="1130"/>
      <c r="O24" s="1138"/>
      <c r="P24" s="3174"/>
      <c r="Q24" s="1809"/>
      <c r="R24" s="774"/>
      <c r="S24" s="775"/>
      <c r="T24" s="774"/>
      <c r="U24" s="775"/>
      <c r="V24" s="774"/>
      <c r="W24" s="775"/>
      <c r="X24" s="1812"/>
      <c r="Y24" s="3174"/>
      <c r="Z24" s="1813"/>
      <c r="AA24" s="1810"/>
      <c r="AB24" s="1810"/>
      <c r="AC24" s="1810"/>
    </row>
    <row r="25" spans="1:29" ht="57">
      <c r="A25" s="404"/>
      <c r="B25" s="1383" t="s">
        <v>2747</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39"/>
      <c r="M25" s="1130"/>
      <c r="N25" s="1130"/>
      <c r="O25" s="1138"/>
      <c r="P25" s="3174"/>
      <c r="Q25" s="1809" t="str">
        <f t="shared" si="8"/>
        <v>自然及人文环境状况</v>
      </c>
      <c r="R25" s="774" t="s">
        <v>17</v>
      </c>
      <c r="S25" s="775">
        <f>F25</f>
        <v>100</v>
      </c>
      <c r="T25" s="774" t="s">
        <v>17</v>
      </c>
      <c r="U25" s="775">
        <f>H25</f>
        <v>100</v>
      </c>
      <c r="V25" s="774" t="s">
        <v>17</v>
      </c>
      <c r="W25" s="775">
        <f>J25</f>
        <v>100</v>
      </c>
      <c r="X25" s="1812"/>
      <c r="Y25" s="3174"/>
      <c r="Z25" s="1813" t="str">
        <f>Q25</f>
        <v>自然及人文环境状况</v>
      </c>
      <c r="AA25" s="1810">
        <f t="shared" si="3"/>
        <v>1</v>
      </c>
      <c r="AB25" s="1810">
        <f t="shared" si="4"/>
        <v>1</v>
      </c>
      <c r="AC25" s="1810">
        <f t="shared" si="5"/>
        <v>1</v>
      </c>
    </row>
    <row r="26" spans="1:29" ht="15">
      <c r="A26" s="404"/>
      <c r="B26" s="456"/>
      <c r="C26" s="447" t="s">
        <v>3245</v>
      </c>
      <c r="D26" s="448"/>
      <c r="E26" s="447" t="s">
        <v>3245</v>
      </c>
      <c r="F26" s="448"/>
      <c r="G26" s="447" t="s">
        <v>3245</v>
      </c>
      <c r="H26" s="448"/>
      <c r="I26" s="447" t="s">
        <v>3245</v>
      </c>
      <c r="J26" s="448"/>
      <c r="K26" s="672"/>
      <c r="L26" s="1139"/>
      <c r="M26" s="1130"/>
      <c r="N26" s="1130"/>
      <c r="O26" s="1138"/>
      <c r="P26" s="3174"/>
      <c r="Q26" s="1809"/>
      <c r="R26" s="774"/>
      <c r="S26" s="775"/>
      <c r="T26" s="774"/>
      <c r="U26" s="775"/>
      <c r="V26" s="774"/>
      <c r="W26" s="775"/>
      <c r="X26" s="1812"/>
      <c r="Y26" s="3174"/>
      <c r="Z26" s="1813"/>
      <c r="AA26" s="1810">
        <v>1</v>
      </c>
      <c r="AB26" s="1810">
        <v>1</v>
      </c>
      <c r="AC26" s="1810">
        <v>1</v>
      </c>
    </row>
    <row r="27" spans="1:29" s="117" customFormat="1" ht="42.75">
      <c r="A27" s="649"/>
      <c r="B27" s="1383" t="s">
        <v>2653</v>
      </c>
      <c r="C27" s="2605"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102</v>
      </c>
      <c r="K27" s="673">
        <v>2</v>
      </c>
      <c r="L27" s="1131"/>
      <c r="M27" s="1132"/>
      <c r="N27" s="1132"/>
      <c r="O27" s="1133"/>
      <c r="P27" s="3174"/>
      <c r="Q27" s="1794" t="str">
        <f t="shared" si="8"/>
        <v>公共配套设施</v>
      </c>
      <c r="R27" s="770" t="s">
        <v>17</v>
      </c>
      <c r="S27" s="771">
        <f>F27</f>
        <v>102</v>
      </c>
      <c r="T27" s="770" t="s">
        <v>17</v>
      </c>
      <c r="U27" s="771">
        <f>H27</f>
        <v>102</v>
      </c>
      <c r="V27" s="770" t="s">
        <v>17</v>
      </c>
      <c r="W27" s="771">
        <f>J27</f>
        <v>102</v>
      </c>
      <c r="X27" s="772"/>
      <c r="Y27" s="3174"/>
      <c r="Z27" s="55" t="str">
        <f>Q27</f>
        <v>公共配套设施</v>
      </c>
      <c r="AA27" s="1810">
        <f>D27/F27</f>
        <v>0.98039215686274506</v>
      </c>
      <c r="AB27" s="1810">
        <f>D27/H27</f>
        <v>0.98039215686274506</v>
      </c>
      <c r="AC27" s="1810">
        <f>D27/J27</f>
        <v>0.98039215686274506</v>
      </c>
    </row>
    <row r="28" spans="1:29" s="117" customFormat="1" ht="15">
      <c r="A28" s="649"/>
      <c r="B28" s="456"/>
      <c r="C28" s="2698" t="s">
        <v>3244</v>
      </c>
      <c r="D28" s="448"/>
      <c r="E28" s="2609" t="s">
        <v>3245</v>
      </c>
      <c r="F28" s="448"/>
      <c r="G28" s="2698" t="s">
        <v>3245</v>
      </c>
      <c r="H28" s="448"/>
      <c r="I28" s="2698" t="s">
        <v>3245</v>
      </c>
      <c r="J28" s="448"/>
      <c r="K28" s="672"/>
      <c r="L28" s="1131"/>
      <c r="M28" s="1132"/>
      <c r="N28" s="1132"/>
      <c r="O28" s="1133"/>
      <c r="P28" s="3174"/>
      <c r="Q28" s="1794"/>
      <c r="R28" s="770"/>
      <c r="S28" s="771"/>
      <c r="T28" s="770"/>
      <c r="U28" s="771"/>
      <c r="V28" s="770"/>
      <c r="W28" s="771"/>
      <c r="X28" s="772"/>
      <c r="Y28" s="3174"/>
      <c r="Z28" s="55"/>
      <c r="AA28" s="1810">
        <v>1</v>
      </c>
      <c r="AB28" s="1810">
        <v>1</v>
      </c>
      <c r="AC28" s="1810">
        <v>1</v>
      </c>
    </row>
    <row r="29" spans="1:29" s="117" customFormat="1" ht="28.5">
      <c r="A29" s="649"/>
      <c r="B29" s="1383" t="s">
        <v>2654</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1"/>
      <c r="M29" s="1132"/>
      <c r="N29" s="1132"/>
      <c r="O29" s="1133"/>
      <c r="P29" s="3174"/>
      <c r="Q29" s="1794"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0">
        <f>D29/F29</f>
        <v>1</v>
      </c>
      <c r="AB29" s="1810">
        <f>D29/H29</f>
        <v>1</v>
      </c>
      <c r="AC29" s="1810">
        <f>D29/J29</f>
        <v>1</v>
      </c>
    </row>
    <row r="30" spans="1:29" s="117" customFormat="1" ht="15">
      <c r="A30" s="649"/>
      <c r="B30" s="456"/>
      <c r="C30" s="2698" t="s">
        <v>3246</v>
      </c>
      <c r="D30" s="448"/>
      <c r="E30" s="2698" t="s">
        <v>3246</v>
      </c>
      <c r="F30" s="448"/>
      <c r="G30" s="2698" t="s">
        <v>3246</v>
      </c>
      <c r="H30" s="448"/>
      <c r="I30" s="2698" t="s">
        <v>3246</v>
      </c>
      <c r="J30" s="448"/>
      <c r="K30" s="672"/>
      <c r="L30" s="1131"/>
      <c r="M30" s="1132"/>
      <c r="N30" s="1132"/>
      <c r="O30" s="1133"/>
      <c r="P30" s="3174"/>
      <c r="Q30" s="1794"/>
      <c r="R30" s="770"/>
      <c r="S30" s="771"/>
      <c r="T30" s="770"/>
      <c r="U30" s="771"/>
      <c r="V30" s="770"/>
      <c r="W30" s="771"/>
      <c r="X30" s="772"/>
      <c r="Y30" s="3174"/>
      <c r="Z30" s="55"/>
      <c r="AA30" s="1810">
        <v>1</v>
      </c>
      <c r="AB30" s="1810">
        <v>1</v>
      </c>
      <c r="AC30" s="1810">
        <v>1</v>
      </c>
    </row>
    <row r="31" spans="1:29" ht="15" hidden="1">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7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4"/>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39"/>
      <c r="M32" s="1130"/>
      <c r="N32" s="1130"/>
      <c r="O32" s="1138"/>
      <c r="P32" s="3174"/>
      <c r="Q32" s="1809" t="str">
        <f t="shared" si="8"/>
        <v>毗邻道路的类型与等级</v>
      </c>
      <c r="R32" s="774" t="s">
        <v>17</v>
      </c>
      <c r="S32" s="775">
        <f t="shared" si="10"/>
        <v>100</v>
      </c>
      <c r="T32" s="774" t="s">
        <v>17</v>
      </c>
      <c r="U32" s="775">
        <f t="shared" si="11"/>
        <v>100</v>
      </c>
      <c r="V32" s="774" t="s">
        <v>17</v>
      </c>
      <c r="W32" s="775">
        <f t="shared" si="12"/>
        <v>100</v>
      </c>
      <c r="X32" s="1812"/>
      <c r="Y32" s="3174"/>
      <c r="Z32" s="1813" t="str">
        <f t="shared" si="13"/>
        <v>毗邻道路的类型与等级</v>
      </c>
      <c r="AA32" s="1810">
        <f t="shared" si="3"/>
        <v>1</v>
      </c>
      <c r="AB32" s="1810">
        <f t="shared" si="4"/>
        <v>1</v>
      </c>
      <c r="AC32" s="1810">
        <f t="shared" si="5"/>
        <v>1</v>
      </c>
    </row>
    <row r="33" spans="1:29" ht="15.75" thickBot="1">
      <c r="A33" s="428"/>
      <c r="B33" s="456"/>
      <c r="C33" s="447" t="s">
        <v>3248</v>
      </c>
      <c r="D33" s="448"/>
      <c r="E33" s="447" t="s">
        <v>3248</v>
      </c>
      <c r="F33" s="448"/>
      <c r="G33" s="447" t="s">
        <v>3248</v>
      </c>
      <c r="H33" s="448"/>
      <c r="I33" s="447" t="s">
        <v>3248</v>
      </c>
      <c r="J33" s="448"/>
      <c r="K33" s="613"/>
      <c r="L33" s="1139"/>
      <c r="M33" s="1130"/>
      <c r="N33" s="1130"/>
      <c r="O33" s="1138"/>
      <c r="P33" s="3174"/>
      <c r="Q33" s="1809"/>
      <c r="R33" s="774"/>
      <c r="S33" s="775"/>
      <c r="T33" s="774"/>
      <c r="U33" s="775"/>
      <c r="V33" s="774"/>
      <c r="W33" s="775"/>
      <c r="X33" s="1812"/>
      <c r="Y33" s="3174"/>
      <c r="Z33" s="1813"/>
      <c r="AA33" s="1810">
        <v>1</v>
      </c>
      <c r="AB33" s="1810">
        <v>1</v>
      </c>
      <c r="AC33" s="1810">
        <v>1</v>
      </c>
    </row>
    <row r="34" spans="1:29" ht="15.75" hidden="1" thickBot="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74"/>
      <c r="Q34" s="1809" t="str">
        <f t="shared" si="8"/>
        <v>土地级别</v>
      </c>
      <c r="R34" s="774" t="s">
        <v>17</v>
      </c>
      <c r="S34" s="775">
        <f t="shared" si="10"/>
        <v>100</v>
      </c>
      <c r="T34" s="774" t="s">
        <v>17</v>
      </c>
      <c r="U34" s="775">
        <f t="shared" si="11"/>
        <v>100</v>
      </c>
      <c r="V34" s="774" t="s">
        <v>17</v>
      </c>
      <c r="W34" s="775">
        <f t="shared" si="12"/>
        <v>100</v>
      </c>
      <c r="X34" s="1812"/>
      <c r="Y34" s="3174"/>
      <c r="Z34" s="1813" t="str">
        <f t="shared" si="13"/>
        <v>土地级别</v>
      </c>
      <c r="AA34" s="1810">
        <f t="shared" si="3"/>
        <v>1</v>
      </c>
      <c r="AB34" s="1810">
        <f t="shared" si="4"/>
        <v>1</v>
      </c>
      <c r="AC34" s="1810">
        <f t="shared" si="5"/>
        <v>1</v>
      </c>
    </row>
    <row r="35" spans="1:29" ht="15" hidden="1">
      <c r="A35" s="404"/>
      <c r="B35" s="1385"/>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74"/>
      <c r="Q35" s="1809">
        <f t="shared" si="8"/>
        <v>0</v>
      </c>
      <c r="R35" s="774" t="s">
        <v>17</v>
      </c>
      <c r="S35" s="775">
        <f t="shared" si="10"/>
        <v>100</v>
      </c>
      <c r="T35" s="774" t="s">
        <v>17</v>
      </c>
      <c r="U35" s="775">
        <f t="shared" si="11"/>
        <v>100</v>
      </c>
      <c r="V35" s="774" t="s">
        <v>17</v>
      </c>
      <c r="W35" s="775">
        <f t="shared" si="12"/>
        <v>100</v>
      </c>
      <c r="X35" s="1812"/>
      <c r="Y35" s="3174"/>
      <c r="Z35" s="1813">
        <f t="shared" si="13"/>
        <v>0</v>
      </c>
      <c r="AA35" s="1810">
        <f t="shared" si="3"/>
        <v>1</v>
      </c>
      <c r="AB35" s="1810">
        <f t="shared" si="4"/>
        <v>1</v>
      </c>
      <c r="AC35" s="1810">
        <f t="shared" si="5"/>
        <v>1</v>
      </c>
    </row>
    <row r="36" spans="1:29" ht="15" hidden="1">
      <c r="A36" s="675"/>
      <c r="B36" s="1386"/>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175" t="s">
        <v>2564</v>
      </c>
      <c r="Q36" s="1809">
        <f t="shared" si="8"/>
        <v>0</v>
      </c>
      <c r="R36" s="774" t="s">
        <v>17</v>
      </c>
      <c r="S36" s="775">
        <f t="shared" si="10"/>
        <v>100</v>
      </c>
      <c r="T36" s="774" t="s">
        <v>17</v>
      </c>
      <c r="U36" s="775">
        <f t="shared" si="11"/>
        <v>100</v>
      </c>
      <c r="V36" s="774" t="s">
        <v>17</v>
      </c>
      <c r="W36" s="775">
        <f t="shared" si="12"/>
        <v>100</v>
      </c>
      <c r="X36" s="1812"/>
      <c r="Y36" s="3176" t="s">
        <v>2564</v>
      </c>
      <c r="Z36" s="1813">
        <f t="shared" si="13"/>
        <v>0</v>
      </c>
      <c r="AA36" s="1810">
        <f t="shared" si="3"/>
        <v>1</v>
      </c>
      <c r="AB36" s="1810">
        <f t="shared" si="4"/>
        <v>1</v>
      </c>
      <c r="AC36" s="1810">
        <f t="shared" si="5"/>
        <v>1</v>
      </c>
    </row>
    <row r="37" spans="1:29" s="471" customFormat="1" ht="15.75" hidden="1" thickBot="1">
      <c r="A37" s="676"/>
      <c r="B37" s="1387"/>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76"/>
      <c r="Q37" s="1809">
        <f t="shared" si="8"/>
        <v>0</v>
      </c>
      <c r="R37" s="777" t="s">
        <v>17</v>
      </c>
      <c r="S37" s="778">
        <f t="shared" si="10"/>
        <v>100</v>
      </c>
      <c r="T37" s="777" t="s">
        <v>17</v>
      </c>
      <c r="U37" s="778">
        <f t="shared" si="11"/>
        <v>100</v>
      </c>
      <c r="V37" s="777" t="s">
        <v>17</v>
      </c>
      <c r="W37" s="778">
        <f t="shared" si="12"/>
        <v>100</v>
      </c>
      <c r="X37" s="779"/>
      <c r="Y37" s="3176"/>
      <c r="Z37" s="780">
        <f t="shared" si="13"/>
        <v>0</v>
      </c>
      <c r="AA37" s="1810">
        <f t="shared" si="3"/>
        <v>1</v>
      </c>
      <c r="AB37" s="1810">
        <f t="shared" si="4"/>
        <v>1</v>
      </c>
      <c r="AC37" s="1810">
        <f t="shared" si="5"/>
        <v>1</v>
      </c>
    </row>
    <row r="38" spans="1:29" ht="15">
      <c r="A38" s="472" t="s">
        <v>2562</v>
      </c>
      <c r="B38" s="456" t="s">
        <v>2749</v>
      </c>
      <c r="C38" s="679">
        <f>'数据-汇总表'!D3</f>
        <v>12572.36</v>
      </c>
      <c r="D38" s="467">
        <v>100</v>
      </c>
      <c r="E38" s="679">
        <f>土地案例!F9</f>
        <v>26250.1</v>
      </c>
      <c r="F38" s="467">
        <f>LOOKUP(E38,117:117,118:118)-LOOKUP(C38,117:117,118:118)+100</f>
        <v>100</v>
      </c>
      <c r="G38" s="679">
        <f>土地案例!F14</f>
        <v>77624.7</v>
      </c>
      <c r="H38" s="467">
        <f>LOOKUP(G38,117:117,118:118)-LOOKUP(C38,117:117,118:118)+100</f>
        <v>102</v>
      </c>
      <c r="I38" s="530">
        <f>土地案例!F39</f>
        <v>5153.8999999999996</v>
      </c>
      <c r="J38" s="467">
        <f>LOOKUP(I38,117:117,118:118)-LOOKUP(C38,117:117,118:118)+100</f>
        <v>99</v>
      </c>
      <c r="K38" s="613"/>
      <c r="L38" s="1139"/>
      <c r="M38" s="1130"/>
      <c r="N38" s="1130"/>
      <c r="O38" s="1138"/>
      <c r="P38" s="3176"/>
      <c r="Q38" s="1809" t="str">
        <f>B38</f>
        <v>宗地面积</v>
      </c>
      <c r="R38" s="774" t="s">
        <v>17</v>
      </c>
      <c r="S38" s="775">
        <f t="shared" si="10"/>
        <v>100</v>
      </c>
      <c r="T38" s="774" t="s">
        <v>17</v>
      </c>
      <c r="U38" s="775">
        <f t="shared" si="11"/>
        <v>102</v>
      </c>
      <c r="V38" s="774" t="s">
        <v>17</v>
      </c>
      <c r="W38" s="775">
        <f t="shared" si="12"/>
        <v>99</v>
      </c>
      <c r="X38" s="1812"/>
      <c r="Y38" s="3176"/>
      <c r="Z38" s="1813" t="str">
        <f t="shared" si="13"/>
        <v>宗地面积</v>
      </c>
      <c r="AA38" s="1810">
        <f t="shared" si="3"/>
        <v>1</v>
      </c>
      <c r="AB38" s="1810">
        <f t="shared" si="4"/>
        <v>0.98039215686274506</v>
      </c>
      <c r="AC38" s="1810">
        <f t="shared" si="5"/>
        <v>1.0101010101010102</v>
      </c>
    </row>
    <row r="39" spans="1:29" ht="15">
      <c r="A39" s="472"/>
      <c r="B39" s="422" t="s">
        <v>2750</v>
      </c>
      <c r="C39" s="2611" t="s">
        <v>3233</v>
      </c>
      <c r="D39" s="435">
        <v>100</v>
      </c>
      <c r="E39" s="2611" t="s">
        <v>3233</v>
      </c>
      <c r="F39" s="435">
        <f>SUMIF(119:119,E39,120:120)-SUMIF(119:119,C39,120:120)+100</f>
        <v>100</v>
      </c>
      <c r="G39" s="2611" t="s">
        <v>3233</v>
      </c>
      <c r="H39" s="435">
        <f>SUMIF(119:119,G39,120:120)-SUMIF(119:119,C39,120:120)+100</f>
        <v>100</v>
      </c>
      <c r="I39" s="2611" t="s">
        <v>3233</v>
      </c>
      <c r="J39" s="435">
        <f>SUMIF(119:119,I39,120:120)-SUMIF(119:119,C39,120:120)+100</f>
        <v>100</v>
      </c>
      <c r="K39" s="612">
        <v>1</v>
      </c>
      <c r="L39" s="1139"/>
      <c r="M39" s="1130"/>
      <c r="N39" s="1130"/>
      <c r="O39" s="1138"/>
      <c r="P39" s="3176"/>
      <c r="Q39" s="1809" t="str">
        <f t="shared" ref="Q39:Q45" si="14">B39</f>
        <v>宗地形状</v>
      </c>
      <c r="R39" s="774" t="s">
        <v>17</v>
      </c>
      <c r="S39" s="775">
        <f t="shared" si="10"/>
        <v>100</v>
      </c>
      <c r="T39" s="774" t="s">
        <v>17</v>
      </c>
      <c r="U39" s="775">
        <f t="shared" si="11"/>
        <v>100</v>
      </c>
      <c r="V39" s="774" t="s">
        <v>17</v>
      </c>
      <c r="W39" s="775">
        <f t="shared" si="12"/>
        <v>100</v>
      </c>
      <c r="X39" s="1812"/>
      <c r="Y39" s="3176"/>
      <c r="Z39" s="1813" t="str">
        <f t="shared" si="13"/>
        <v>宗地形状</v>
      </c>
      <c r="AA39" s="1810">
        <f t="shared" si="3"/>
        <v>1</v>
      </c>
      <c r="AB39" s="1810">
        <f t="shared" si="4"/>
        <v>1</v>
      </c>
      <c r="AC39" s="1810">
        <f t="shared" si="5"/>
        <v>1</v>
      </c>
    </row>
    <row r="40" spans="1:29" ht="15" hidden="1">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176"/>
      <c r="Q40" s="1809" t="str">
        <f t="shared" si="14"/>
        <v>临街宽度及深度</v>
      </c>
      <c r="R40" s="774" t="s">
        <v>17</v>
      </c>
      <c r="S40" s="775">
        <f t="shared" si="10"/>
        <v>100</v>
      </c>
      <c r="T40" s="774" t="s">
        <v>17</v>
      </c>
      <c r="U40" s="775">
        <f t="shared" si="11"/>
        <v>100</v>
      </c>
      <c r="V40" s="774" t="s">
        <v>17</v>
      </c>
      <c r="W40" s="775">
        <f t="shared" si="12"/>
        <v>100</v>
      </c>
      <c r="X40" s="1812"/>
      <c r="Y40" s="3176"/>
      <c r="Z40" s="1813" t="str">
        <f t="shared" si="13"/>
        <v>临街宽度及深度</v>
      </c>
      <c r="AA40" s="1810">
        <f t="shared" si="3"/>
        <v>1</v>
      </c>
      <c r="AB40" s="1810">
        <f t="shared" si="4"/>
        <v>1</v>
      </c>
      <c r="AC40" s="1810">
        <f t="shared" si="5"/>
        <v>1</v>
      </c>
    </row>
    <row r="41" spans="1:29" s="117" customFormat="1" ht="15">
      <c r="A41" s="473"/>
      <c r="B41" s="422" t="s">
        <v>2752</v>
      </c>
      <c r="C41" s="2700" t="s">
        <v>3235</v>
      </c>
      <c r="D41" s="135">
        <v>100</v>
      </c>
      <c r="E41" s="2700" t="s">
        <v>3235</v>
      </c>
      <c r="F41" s="435">
        <f>SUMIF(123:123,E41,124:124)-SUMIF(123:123,C41,124:124)+100</f>
        <v>100</v>
      </c>
      <c r="G41" s="2700" t="s">
        <v>3235</v>
      </c>
      <c r="H41" s="435">
        <f>SUMIF(123:123,G41,124:124)-SUMIF(123:123,C41,124:124)+100</f>
        <v>100</v>
      </c>
      <c r="I41" s="2700" t="s">
        <v>3235</v>
      </c>
      <c r="J41" s="435">
        <f>SUMIF(123:123,I41,124:124)-SUMIF(123:123,C41,124:124)+100</f>
        <v>100</v>
      </c>
      <c r="K41" s="612">
        <v>1</v>
      </c>
      <c r="L41" s="1131"/>
      <c r="M41" s="1132"/>
      <c r="N41" s="1132"/>
      <c r="O41" s="1133"/>
      <c r="P41" s="3176"/>
      <c r="Q41" s="1809"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75" thickBot="1">
      <c r="A42" s="472"/>
      <c r="B42" s="422" t="s">
        <v>2753</v>
      </c>
      <c r="C42" s="2611" t="s">
        <v>3237</v>
      </c>
      <c r="D42" s="435">
        <v>100</v>
      </c>
      <c r="E42" s="2611" t="s">
        <v>3237</v>
      </c>
      <c r="F42" s="435">
        <f>SUMIF(125:125,E42,126:126)-SUMIF(125:125,C42,126:126)+100</f>
        <v>100</v>
      </c>
      <c r="G42" s="2611" t="s">
        <v>3237</v>
      </c>
      <c r="H42" s="435">
        <f>SUMIF(125:125,G42,126:126)-SUMIF(125:125,C42,126:126)+100</f>
        <v>100</v>
      </c>
      <c r="I42" s="2611" t="s">
        <v>3237</v>
      </c>
      <c r="J42" s="435">
        <f>SUMIF(125:125,I42,126:126)-SUMIF(125:125,C42,126:126)+100</f>
        <v>100</v>
      </c>
      <c r="K42" s="612">
        <v>1</v>
      </c>
      <c r="L42" s="1139"/>
      <c r="M42" s="1130"/>
      <c r="N42" s="1130"/>
      <c r="O42" s="1138"/>
      <c r="P42" s="3176" t="s">
        <v>2564</v>
      </c>
      <c r="Q42" s="1809" t="str">
        <f t="shared" si="14"/>
        <v>工程地质条件</v>
      </c>
      <c r="R42" s="774" t="s">
        <v>17</v>
      </c>
      <c r="S42" s="775">
        <f t="shared" si="10"/>
        <v>100</v>
      </c>
      <c r="T42" s="774" t="s">
        <v>17</v>
      </c>
      <c r="U42" s="775">
        <f t="shared" si="11"/>
        <v>100</v>
      </c>
      <c r="V42" s="774" t="s">
        <v>17</v>
      </c>
      <c r="W42" s="775">
        <f t="shared" si="12"/>
        <v>100</v>
      </c>
      <c r="X42" s="1812"/>
      <c r="Y42" s="3176" t="s">
        <v>2564</v>
      </c>
      <c r="Z42" s="1813" t="str">
        <f t="shared" si="13"/>
        <v>工程地质条件</v>
      </c>
      <c r="AA42" s="1810">
        <f t="shared" si="3"/>
        <v>1</v>
      </c>
      <c r="AB42" s="1810">
        <f t="shared" si="4"/>
        <v>1</v>
      </c>
      <c r="AC42" s="1810">
        <f t="shared" si="5"/>
        <v>1</v>
      </c>
    </row>
    <row r="43" spans="1:29" ht="15.75" hidden="1" thickBot="1">
      <c r="A43" s="472"/>
      <c r="B43" s="2952"/>
      <c r="C43" s="2953"/>
      <c r="D43" s="435">
        <v>100</v>
      </c>
      <c r="E43" s="2953"/>
      <c r="F43" s="435">
        <f>SUMIF(127:127,E43,128:128)-SUMIF(127:127,C43,128:128)+100</f>
        <v>100</v>
      </c>
      <c r="G43" s="2953"/>
      <c r="H43" s="435">
        <f>SUMIF(127:127,G43,128:128)-SUMIF(127:127,C43,128:128)+100</f>
        <v>100</v>
      </c>
      <c r="I43" s="2954"/>
      <c r="J43" s="435">
        <f>SUMIF(127:127,I43,128:128)-SUMIF(127:127,C43,128:128)+100</f>
        <v>100</v>
      </c>
      <c r="K43" s="613"/>
      <c r="L43" s="1139"/>
      <c r="M43" s="1130"/>
      <c r="N43" s="1130"/>
      <c r="O43" s="1138"/>
      <c r="P43" s="3176"/>
      <c r="Q43" s="1809">
        <f t="shared" si="14"/>
        <v>0</v>
      </c>
      <c r="R43" s="774" t="s">
        <v>17</v>
      </c>
      <c r="S43" s="775">
        <f t="shared" si="10"/>
        <v>100</v>
      </c>
      <c r="T43" s="774" t="s">
        <v>17</v>
      </c>
      <c r="U43" s="775">
        <f t="shared" si="11"/>
        <v>100</v>
      </c>
      <c r="V43" s="774" t="s">
        <v>17</v>
      </c>
      <c r="W43" s="775">
        <f t="shared" si="12"/>
        <v>100</v>
      </c>
      <c r="X43" s="1812"/>
      <c r="Y43" s="3176"/>
      <c r="Z43" s="1813">
        <f t="shared" si="13"/>
        <v>0</v>
      </c>
      <c r="AA43" s="1810">
        <f t="shared" si="3"/>
        <v>1</v>
      </c>
      <c r="AB43" s="1810">
        <f t="shared" si="4"/>
        <v>1</v>
      </c>
      <c r="AC43" s="1810">
        <f t="shared" si="5"/>
        <v>1</v>
      </c>
    </row>
    <row r="44" spans="1:29" ht="15" hidden="1">
      <c r="A44" s="472"/>
      <c r="B44" s="1386"/>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76"/>
      <c r="Q44" s="1809">
        <f t="shared" si="14"/>
        <v>0</v>
      </c>
      <c r="R44" s="774" t="s">
        <v>17</v>
      </c>
      <c r="S44" s="775">
        <f t="shared" si="10"/>
        <v>100</v>
      </c>
      <c r="T44" s="774" t="s">
        <v>17</v>
      </c>
      <c r="U44" s="775">
        <f t="shared" si="11"/>
        <v>100</v>
      </c>
      <c r="V44" s="774" t="s">
        <v>17</v>
      </c>
      <c r="W44" s="775">
        <f t="shared" si="12"/>
        <v>100</v>
      </c>
      <c r="X44" s="1812"/>
      <c r="Y44" s="3176"/>
      <c r="Z44" s="1813">
        <f t="shared" si="13"/>
        <v>0</v>
      </c>
      <c r="AA44" s="1810">
        <f t="shared" si="3"/>
        <v>1</v>
      </c>
      <c r="AB44" s="1810">
        <f t="shared" si="4"/>
        <v>1</v>
      </c>
      <c r="AC44" s="1810">
        <f t="shared" si="5"/>
        <v>1</v>
      </c>
    </row>
    <row r="45" spans="1:29" s="471" customFormat="1" ht="15.75" hidden="1" thickBot="1">
      <c r="A45" s="468"/>
      <c r="B45" s="1386"/>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76"/>
      <c r="Q45" s="1809">
        <f t="shared" si="14"/>
        <v>0</v>
      </c>
      <c r="R45" s="777" t="s">
        <v>17</v>
      </c>
      <c r="S45" s="778">
        <f t="shared" si="10"/>
        <v>100</v>
      </c>
      <c r="T45" s="777" t="s">
        <v>17</v>
      </c>
      <c r="U45" s="778">
        <f t="shared" si="11"/>
        <v>100</v>
      </c>
      <c r="V45" s="777" t="s">
        <v>17</v>
      </c>
      <c r="W45" s="778">
        <f t="shared" si="12"/>
        <v>100</v>
      </c>
      <c r="X45" s="779"/>
      <c r="Y45" s="3176"/>
      <c r="Z45" s="780">
        <f t="shared" si="13"/>
        <v>0</v>
      </c>
      <c r="AA45" s="1810">
        <f t="shared" si="3"/>
        <v>1</v>
      </c>
      <c r="AB45" s="1810">
        <f t="shared" si="4"/>
        <v>1</v>
      </c>
      <c r="AC45" s="1810">
        <f t="shared" si="5"/>
        <v>1</v>
      </c>
    </row>
    <row r="46" spans="1:29" ht="15">
      <c r="A46" s="479" t="s">
        <v>2719</v>
      </c>
      <c r="B46" s="2702" t="s">
        <v>3258</v>
      </c>
      <c r="C46" s="682" t="s">
        <v>1</v>
      </c>
      <c r="D46" s="481"/>
      <c r="E46" s="482">
        <f>土地案例!R9</f>
        <v>2971</v>
      </c>
      <c r="F46" s="483"/>
      <c r="G46" s="484">
        <f>土地案例!R14</f>
        <v>2641</v>
      </c>
      <c r="H46" s="485"/>
      <c r="I46" s="482">
        <f>土地案例!R39</f>
        <v>2561</v>
      </c>
      <c r="J46" s="485"/>
      <c r="K46" s="783"/>
      <c r="L46" s="1142"/>
      <c r="M46" s="1143"/>
      <c r="N46" s="1130"/>
      <c r="O46" s="1143"/>
      <c r="P46" s="3171" t="str">
        <f>A46</f>
        <v>成交单价</v>
      </c>
      <c r="Q46" s="3171"/>
      <c r="R46" s="3177">
        <f>E46</f>
        <v>2971</v>
      </c>
      <c r="S46" s="3177"/>
      <c r="T46" s="3177">
        <f>G46</f>
        <v>2641</v>
      </c>
      <c r="U46" s="3177"/>
      <c r="V46" s="3177">
        <f>I46</f>
        <v>2561</v>
      </c>
      <c r="W46" s="3177"/>
      <c r="X46" s="759"/>
      <c r="Y46" s="781"/>
      <c r="Z46" s="759"/>
      <c r="AA46" s="759"/>
      <c r="AB46" s="759"/>
      <c r="AC46" s="759"/>
    </row>
    <row r="47" spans="1:29" ht="15.75" thickBot="1">
      <c r="A47" s="486" t="s">
        <v>2668</v>
      </c>
      <c r="B47" s="683"/>
      <c r="C47" s="490">
        <f>R48</f>
        <v>2196</v>
      </c>
      <c r="D47" s="489"/>
      <c r="E47" s="490">
        <f>R47</f>
        <v>2301</v>
      </c>
      <c r="F47" s="491"/>
      <c r="G47" s="488">
        <f>T47</f>
        <v>2108</v>
      </c>
      <c r="H47" s="489"/>
      <c r="I47" s="490">
        <f>V47</f>
        <v>2178</v>
      </c>
      <c r="J47" s="489"/>
      <c r="K47" s="784"/>
      <c r="L47" s="1142"/>
      <c r="M47" s="1143"/>
      <c r="N47" s="1143"/>
      <c r="O47" s="1143"/>
      <c r="P47" s="3171" t="str">
        <f>A47</f>
        <v>比较价值（元/平方米）</v>
      </c>
      <c r="Q47" s="3171"/>
      <c r="R47" s="3164">
        <f>ROUND(PRODUCT(R46,AA7:AA45),0)</f>
        <v>2301</v>
      </c>
      <c r="S47" s="3164"/>
      <c r="T47" s="3164">
        <f>ROUND(PRODUCT(T46,AB7:AB45),0)</f>
        <v>2108</v>
      </c>
      <c r="U47" s="3164"/>
      <c r="V47" s="3164">
        <f>ROUND(PRODUCT(V46,AC7:AC45),0)</f>
        <v>2178</v>
      </c>
      <c r="W47" s="3164"/>
      <c r="X47" s="759"/>
      <c r="Y47" s="759"/>
      <c r="Z47" s="759"/>
      <c r="AA47" s="759"/>
      <c r="AB47" s="759"/>
      <c r="AC47" s="759"/>
    </row>
    <row r="48" spans="1:29" ht="15.75" thickBot="1">
      <c r="A48" s="492" t="s">
        <v>2754</v>
      </c>
      <c r="B48" s="493"/>
      <c r="C48" s="494">
        <f>R48</f>
        <v>2196</v>
      </c>
      <c r="D48" s="494"/>
      <c r="E48" s="494"/>
      <c r="F48" s="494"/>
      <c r="G48" s="494"/>
      <c r="H48" s="494"/>
      <c r="I48" s="494"/>
      <c r="J48" s="494"/>
      <c r="K48" s="785"/>
      <c r="L48" s="1142"/>
      <c r="M48" s="1143"/>
      <c r="N48" s="1143"/>
      <c r="O48" s="1143"/>
      <c r="P48" s="3165" t="str">
        <f>A48</f>
        <v>估价对象XX用房的比较价值（楼面单价，元/平方米）</v>
      </c>
      <c r="Q48" s="3166"/>
      <c r="R48" s="3167">
        <f>ROUND(AVERAGE(R47:V47),0)</f>
        <v>2196</v>
      </c>
      <c r="S48" s="3167"/>
      <c r="T48" s="3167"/>
      <c r="U48" s="3167"/>
      <c r="V48" s="3167"/>
      <c r="W48" s="3167"/>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2670</v>
      </c>
      <c r="D51" s="498"/>
      <c r="E51" s="499">
        <f>IF(E46&lt;E47,E47/E46-1,E46/E47-1)</f>
        <v>0.29117774880486746</v>
      </c>
      <c r="F51" s="500" t="str">
        <f>IF(OR(E51&gt;=0.3,E51&lt;=-0.3),"超过30%","")</f>
        <v/>
      </c>
      <c r="G51" s="499">
        <f>IF(G46&lt;G47,G47/G46-1,G46/G47-1)</f>
        <v>0.25284629981024676</v>
      </c>
      <c r="H51" s="500" t="str">
        <f>IF(OR(G51&gt;=0.3,G51&lt;=-0.3),"超过30%","")</f>
        <v/>
      </c>
      <c r="I51" s="499">
        <f>IF(I46&lt;I47,I47/I46-1,I46/I47-1)</f>
        <v>0.17584940312213049</v>
      </c>
      <c r="J51" s="500" t="str">
        <f>IF(OR(I51&gt;=0.3,I51&lt;=-0.3),"超过30%","")</f>
        <v/>
      </c>
      <c r="K51" s="1104"/>
      <c r="L51" s="1105"/>
      <c r="M51" s="1143"/>
      <c r="N51" s="1143"/>
      <c r="O51" s="1143"/>
    </row>
    <row r="52" spans="1:15" ht="13.5" customHeight="1">
      <c r="A52" s="1143"/>
      <c r="B52" s="1143"/>
      <c r="C52" s="497" t="s">
        <v>2671</v>
      </c>
      <c r="D52" s="501"/>
      <c r="E52" s="499">
        <f>IF(E47&lt;G47,G47/E47-1,E47/G47-1)</f>
        <v>9.1555977229601515E-2</v>
      </c>
      <c r="F52" s="500" t="str">
        <f>IF(OR(E52&gt;=0.2,E52&lt;=-0.2),"超过20%","")</f>
        <v/>
      </c>
      <c r="G52" s="499">
        <f>IF(G47&lt;I47,I47/G47-1,G47/I47-1)</f>
        <v>3.3206831119544589E-2</v>
      </c>
      <c r="H52" s="500" t="str">
        <f>IF(OR(G52&gt;=0.2,G52&lt;=-0.2),"超过20%","")</f>
        <v/>
      </c>
      <c r="I52" s="499">
        <f>IF(I47&lt;E47,E47/I47-1,I47/E47-1)</f>
        <v>5.6473829201101999E-2</v>
      </c>
      <c r="J52" s="500" t="str">
        <f>IF(OR(I52&gt;=0.2,I52&lt;=-0.2),"超过20%","")</f>
        <v/>
      </c>
      <c r="K52" s="1104"/>
      <c r="L52" s="1105"/>
      <c r="M52" s="1143"/>
      <c r="N52" s="1143"/>
      <c r="O52" s="1143"/>
    </row>
    <row r="53" spans="1:15" s="502" customFormat="1" ht="13.5" customHeight="1">
      <c r="A53" s="1144"/>
      <c r="B53" s="1144"/>
      <c r="C53" s="497" t="s">
        <v>2672</v>
      </c>
      <c r="D53" s="501"/>
      <c r="E53" s="499">
        <f>IF(E46&lt;G46,G46/E46-1,E46/G46-1)</f>
        <v>0.12495266944339267</v>
      </c>
      <c r="F53" s="500" t="str">
        <f>IF(OR(E53&gt;=0.3,E53&lt;=-0.3),"超过30%","")</f>
        <v/>
      </c>
      <c r="G53" s="499">
        <f>IF(G46&lt;I46,I46/G46-1,G46/I46-1)</f>
        <v>3.1237797735259587E-2</v>
      </c>
      <c r="H53" s="500" t="str">
        <f>IF(OR(G53&gt;=0.3,G53&lt;=-0.3),"超过30%","")</f>
        <v/>
      </c>
      <c r="I53" s="499">
        <f>IF(I46&lt;E46,E46/I46-1,I46/E46-1)</f>
        <v>0.16009371339320588</v>
      </c>
      <c r="J53" s="500" t="str">
        <f>IF(OR(I53&gt;=0.3,I53&lt;=-0.3),"超过30%","")</f>
        <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2755</v>
      </c>
      <c r="B55" s="685" t="s">
        <v>2756</v>
      </c>
      <c r="C55" s="2703" t="s">
        <v>2757</v>
      </c>
      <c r="D55" s="2704" t="s">
        <v>2758</v>
      </c>
      <c r="E55" s="686" t="s">
        <v>2759</v>
      </c>
      <c r="F55" s="1106" t="s">
        <v>2760</v>
      </c>
      <c r="G55" s="3168" t="s">
        <v>2761</v>
      </c>
      <c r="H55" s="3169"/>
      <c r="I55" s="143" t="s">
        <v>2762</v>
      </c>
      <c r="J55" s="2705" t="str">
        <f>项目基本情况!F35</f>
        <v>江苏省南京市</v>
      </c>
      <c r="K55" s="2706" t="s">
        <v>2763</v>
      </c>
      <c r="L55" s="1105"/>
      <c r="M55" s="1143"/>
      <c r="N55" s="1143"/>
      <c r="O55" s="1143"/>
    </row>
    <row r="56" spans="1:15" s="692" customFormat="1">
      <c r="A56" s="688" t="s">
        <v>2764</v>
      </c>
      <c r="B56" s="689">
        <f>C48</f>
        <v>2196</v>
      </c>
      <c r="C56" s="690">
        <v>1</v>
      </c>
      <c r="D56" s="1162">
        <v>1</v>
      </c>
      <c r="E56" s="690">
        <f>'数据-汇总表'!E8+'数据-汇总表'!E9</f>
        <v>26215.040000000001</v>
      </c>
      <c r="F56" s="1102">
        <f t="shared" ref="F56:F65" si="15">ROUND(B56*E56/10000,0)</f>
        <v>5757</v>
      </c>
      <c r="G56" s="3170"/>
      <c r="H56" s="3171"/>
      <c r="I56" s="1107">
        <v>1</v>
      </c>
      <c r="J56" s="1110">
        <v>1</v>
      </c>
      <c r="K56" s="1144"/>
      <c r="L56" s="940"/>
      <c r="M56" s="940"/>
      <c r="N56" s="940"/>
      <c r="O56" s="940"/>
    </row>
    <row r="57" spans="1:15" s="692" customFormat="1">
      <c r="A57" s="693" t="s">
        <v>2765</v>
      </c>
      <c r="B57" s="262">
        <f>ROUND($C$48*C57*D57,0)</f>
        <v>0</v>
      </c>
      <c r="C57" s="200">
        <f t="shared" ref="C57:C65" si="16">IF($C$55="北京市系数",I57,J57)</f>
        <v>0</v>
      </c>
      <c r="D57" s="1163">
        <v>0.25</v>
      </c>
      <c r="E57" s="694"/>
      <c r="F57" s="1102">
        <f t="shared" si="15"/>
        <v>0</v>
      </c>
      <c r="G57" s="3172" t="s">
        <v>2766</v>
      </c>
      <c r="H57" s="1103">
        <f>项目基本情况!B37</f>
        <v>0</v>
      </c>
      <c r="I57" s="1107">
        <f>SUMIF(修正!A45:A56,H57,修正!B45:B56)</f>
        <v>0</v>
      </c>
      <c r="J57" s="1111"/>
      <c r="K57" s="1143"/>
      <c r="L57" s="940"/>
      <c r="M57" s="940"/>
      <c r="N57" s="940"/>
      <c r="O57" s="940"/>
    </row>
    <row r="58" spans="1:15" s="692" customFormat="1">
      <c r="A58" s="693" t="s">
        <v>2767</v>
      </c>
      <c r="B58" s="262">
        <f t="shared" ref="B58:B65" si="17">ROUND($C$48*C58*D58,0)</f>
        <v>0</v>
      </c>
      <c r="C58" s="200">
        <f t="shared" si="16"/>
        <v>0</v>
      </c>
      <c r="D58" s="1163">
        <v>0.25</v>
      </c>
      <c r="E58" s="694"/>
      <c r="F58" s="1102">
        <f t="shared" si="15"/>
        <v>0</v>
      </c>
      <c r="G58" s="3172"/>
      <c r="H58" s="1103">
        <f>项目基本情况!B37</f>
        <v>0</v>
      </c>
      <c r="I58" s="1107">
        <f>SUMIF(修正!A45:A56,H58,修正!C45:C56)</f>
        <v>0</v>
      </c>
      <c r="J58" s="1111"/>
      <c r="K58" s="1144"/>
      <c r="L58" s="940"/>
      <c r="M58" s="940"/>
      <c r="N58" s="940"/>
      <c r="O58" s="940"/>
    </row>
    <row r="59" spans="1:15" s="692" customFormat="1">
      <c r="A59" s="693" t="s">
        <v>2768</v>
      </c>
      <c r="B59" s="262">
        <f t="shared" si="17"/>
        <v>0</v>
      </c>
      <c r="C59" s="200">
        <f t="shared" si="16"/>
        <v>0</v>
      </c>
      <c r="D59" s="1163">
        <v>0.25</v>
      </c>
      <c r="E59" s="694"/>
      <c r="F59" s="1102">
        <f t="shared" si="15"/>
        <v>0</v>
      </c>
      <c r="G59" s="3172"/>
      <c r="H59" s="1103">
        <f>项目基本情况!B37</f>
        <v>0</v>
      </c>
      <c r="I59" s="1107">
        <f>SUMIF(修正!A45:A56,H59,修正!D45:D56)</f>
        <v>0</v>
      </c>
      <c r="J59" s="1111"/>
      <c r="K59" s="1143"/>
      <c r="L59" s="940"/>
      <c r="M59" s="940"/>
      <c r="N59" s="940"/>
      <c r="O59" s="940"/>
    </row>
    <row r="60" spans="1:15" s="692" customFormat="1">
      <c r="A60" s="693" t="s">
        <v>2769</v>
      </c>
      <c r="B60" s="262">
        <f t="shared" si="17"/>
        <v>0</v>
      </c>
      <c r="C60" s="200">
        <f t="shared" si="16"/>
        <v>0</v>
      </c>
      <c r="D60" s="1163">
        <v>0.25</v>
      </c>
      <c r="E60" s="694"/>
      <c r="F60" s="1102">
        <f t="shared" si="15"/>
        <v>0</v>
      </c>
      <c r="G60" s="3172"/>
      <c r="H60" s="1103">
        <f>项目基本情况!B37</f>
        <v>0</v>
      </c>
      <c r="I60" s="1107">
        <f>SUMIF(修正!A45:A56,H60,修正!E45:E56)</f>
        <v>0</v>
      </c>
      <c r="J60" s="1111"/>
      <c r="K60" s="1144"/>
      <c r="L60" s="940"/>
      <c r="M60" s="940"/>
      <c r="N60" s="940"/>
      <c r="O60" s="940"/>
    </row>
    <row r="61" spans="1:15" s="692" customFormat="1">
      <c r="A61" s="693" t="s">
        <v>2770</v>
      </c>
      <c r="B61" s="262">
        <f t="shared" si="17"/>
        <v>0</v>
      </c>
      <c r="C61" s="200">
        <f t="shared" si="16"/>
        <v>0</v>
      </c>
      <c r="D61" s="1163">
        <v>0.25</v>
      </c>
      <c r="E61" s="261">
        <f>'数据-汇总表'!E11</f>
        <v>0</v>
      </c>
      <c r="F61" s="1102">
        <f t="shared" si="15"/>
        <v>0</v>
      </c>
      <c r="G61" s="2707" t="s">
        <v>2771</v>
      </c>
      <c r="H61" s="1103">
        <f>项目基本情况!C37</f>
        <v>0</v>
      </c>
      <c r="I61" s="1107">
        <f>SUMIF(修正!A45:A56,H61,修正!F45:F56)</f>
        <v>0</v>
      </c>
      <c r="J61" s="1111"/>
      <c r="K61" s="1143"/>
      <c r="L61" s="940"/>
      <c r="M61" s="940"/>
      <c r="N61" s="940"/>
      <c r="O61" s="940"/>
    </row>
    <row r="62" spans="1:15" s="692" customFormat="1">
      <c r="A62" s="693" t="s">
        <v>2772</v>
      </c>
      <c r="B62" s="262">
        <f t="shared" si="17"/>
        <v>0</v>
      </c>
      <c r="C62" s="200">
        <f t="shared" si="16"/>
        <v>0</v>
      </c>
      <c r="D62" s="1163">
        <v>0.25</v>
      </c>
      <c r="E62" s="261">
        <f>'数据-汇总表'!E12</f>
        <v>0</v>
      </c>
      <c r="F62" s="1102">
        <f t="shared" si="15"/>
        <v>0</v>
      </c>
      <c r="G62" s="1108" t="s">
        <v>2773</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2774</v>
      </c>
      <c r="B63" s="262">
        <f t="shared" si="17"/>
        <v>0</v>
      </c>
      <c r="C63" s="200">
        <f t="shared" si="16"/>
        <v>0</v>
      </c>
      <c r="D63" s="1163">
        <v>0.25</v>
      </c>
      <c r="E63" s="261">
        <f>'数据-汇总表'!E13</f>
        <v>0</v>
      </c>
      <c r="F63" s="1102">
        <f t="shared" si="15"/>
        <v>0</v>
      </c>
      <c r="G63" s="1108" t="s">
        <v>2775</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2776</v>
      </c>
      <c r="B64" s="262">
        <f t="shared" si="17"/>
        <v>0</v>
      </c>
      <c r="C64" s="200">
        <f t="shared" si="16"/>
        <v>0</v>
      </c>
      <c r="D64" s="1163">
        <v>0.25</v>
      </c>
      <c r="E64" s="261">
        <f>'数据-汇总表'!E14</f>
        <v>0</v>
      </c>
      <c r="F64" s="1102">
        <f t="shared" si="15"/>
        <v>0</v>
      </c>
      <c r="G64" s="2707" t="s">
        <v>2766</v>
      </c>
      <c r="H64" s="1103">
        <f>项目基本情况!B37</f>
        <v>0</v>
      </c>
      <c r="I64" s="1107">
        <f>SUMIF(修正!A45:A56,H64,修正!H45:H56)</f>
        <v>0</v>
      </c>
      <c r="J64" s="1111"/>
      <c r="K64" s="1144"/>
      <c r="L64" s="940"/>
      <c r="M64" s="940"/>
      <c r="N64" s="940"/>
      <c r="O64" s="940"/>
    </row>
    <row r="65" spans="1:17" s="692" customFormat="1" ht="15" thickBot="1">
      <c r="A65" s="693" t="s">
        <v>2777</v>
      </c>
      <c r="B65" s="262">
        <f t="shared" si="17"/>
        <v>0</v>
      </c>
      <c r="C65" s="200">
        <f t="shared" si="16"/>
        <v>0</v>
      </c>
      <c r="D65" s="1163">
        <v>0.25</v>
      </c>
      <c r="E65" s="261">
        <f>'数据-汇总表'!E15</f>
        <v>0</v>
      </c>
      <c r="F65" s="1102">
        <f t="shared" si="15"/>
        <v>0</v>
      </c>
      <c r="G65" s="2708" t="s">
        <v>2771</v>
      </c>
      <c r="H65" s="1113">
        <f>项目基本情况!C37</f>
        <v>0</v>
      </c>
      <c r="I65" s="1109">
        <f>SUMIF(修正!A45:A56,H65,修正!H45:H56)</f>
        <v>0</v>
      </c>
      <c r="J65" s="1112"/>
      <c r="K65" s="1143"/>
      <c r="L65" s="940"/>
      <c r="M65" s="940"/>
      <c r="N65" s="940"/>
      <c r="O65" s="940"/>
    </row>
    <row r="66" spans="1:17" s="692" customFormat="1" ht="13.5" thickBot="1">
      <c r="A66" s="695" t="s">
        <v>2778</v>
      </c>
      <c r="B66" s="696" t="s">
        <v>28</v>
      </c>
      <c r="C66" s="696" t="s">
        <v>29</v>
      </c>
      <c r="D66" s="696" t="s">
        <v>1029</v>
      </c>
      <c r="E66" s="696">
        <f>IF(B46="楼面地价",SUM(E56:E65),'数据-汇总表'!D3)</f>
        <v>12572.36</v>
      </c>
      <c r="F66" s="697">
        <f>IF(B46="楼面地价",SUM(F56:F65),ROUND(C48*E66/10000,0))</f>
        <v>2761</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2673</v>
      </c>
      <c r="B69" s="759"/>
      <c r="C69" s="764"/>
      <c r="D69" s="764"/>
      <c r="E69" s="764"/>
      <c r="F69" s="765"/>
      <c r="G69" s="765"/>
      <c r="H69" s="764"/>
      <c r="I69" s="764"/>
      <c r="J69" s="1158"/>
      <c r="K69" s="1159"/>
      <c r="L69" s="1160"/>
      <c r="M69" s="1158"/>
      <c r="N69" s="1158"/>
      <c r="O69" s="1158"/>
      <c r="P69" s="503"/>
      <c r="Q69" s="504"/>
    </row>
    <row r="70" spans="1:17" s="508" customFormat="1" ht="15">
      <c r="A70" s="2709" t="s">
        <v>2779</v>
      </c>
      <c r="B70" s="1358"/>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7" customFormat="1" ht="30" customHeight="1">
      <c r="A71" s="2710" t="s">
        <v>27</v>
      </c>
      <c r="B71" s="332" t="str">
        <f>"北京市平均增长率"&amp;TEXT(SUMIF(基准地价修正!N21:N25,A71,基准地价修正!P21:P25),"0.00%")</f>
        <v>北京市平均增长率1.64%</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2584</v>
      </c>
      <c r="B72" s="516"/>
      <c r="C72" s="517">
        <v>1</v>
      </c>
      <c r="D72" s="518"/>
      <c r="E72" s="518"/>
      <c r="F72" s="518"/>
      <c r="G72" s="518"/>
      <c r="H72" s="518"/>
      <c r="I72" s="518"/>
      <c r="J72" s="518"/>
      <c r="K72" s="518"/>
      <c r="L72" s="518"/>
      <c r="M72" s="519"/>
      <c r="N72" s="518"/>
      <c r="O72" s="1161"/>
      <c r="P72" s="504"/>
      <c r="Q72" s="504"/>
    </row>
    <row r="73" spans="1:17" s="117" customFormat="1" ht="15">
      <c r="A73" s="521" t="s">
        <v>2549</v>
      </c>
      <c r="B73" s="510"/>
      <c r="C73" s="522" t="s">
        <v>2651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2587</v>
      </c>
      <c r="B75" s="528" t="s">
        <v>2553</v>
      </c>
      <c r="C75" s="2946" t="s">
        <v>3227</v>
      </c>
      <c r="D75" s="530" t="str">
        <f>土地案例!E9</f>
        <v>商业用地</v>
      </c>
      <c r="E75" s="530" t="str">
        <f>土地案例!E14</f>
        <v>零售商业用地</v>
      </c>
      <c r="F75" s="530"/>
      <c r="G75" s="530"/>
      <c r="H75" s="530"/>
      <c r="I75" s="530"/>
      <c r="J75" s="530"/>
      <c r="K75" s="531"/>
      <c r="L75" s="532"/>
      <c r="M75" s="533"/>
      <c r="N75" s="1151"/>
      <c r="O75" s="1151"/>
      <c r="P75" s="45"/>
      <c r="Q75" s="504"/>
    </row>
    <row r="76" spans="1:17" ht="15.75" thickBot="1">
      <c r="A76" s="534"/>
      <c r="B76" s="535"/>
      <c r="C76" s="536">
        <v>100</v>
      </c>
      <c r="D76" s="536">
        <v>100</v>
      </c>
      <c r="E76" s="536">
        <v>100</v>
      </c>
      <c r="F76" s="536"/>
      <c r="G76" s="536"/>
      <c r="H76" s="536"/>
      <c r="I76" s="536"/>
      <c r="J76" s="536"/>
      <c r="K76" s="536"/>
      <c r="L76" s="536"/>
      <c r="M76" s="537"/>
      <c r="N76" s="1152"/>
      <c r="O76" s="1152"/>
      <c r="P76" s="45"/>
      <c r="Q76" s="504"/>
    </row>
    <row r="77" spans="1:17" ht="27.75" thickTop="1">
      <c r="A77" s="534"/>
      <c r="B77" s="538" t="s">
        <v>2556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2557</v>
      </c>
      <c r="C79" s="547" t="str">
        <f>C80&amp;"（含）"&amp;"-"&amp;D80</f>
        <v>1.5（含）-2</v>
      </c>
      <c r="D79" s="547" t="str">
        <f t="shared" ref="D79:L79" si="21">D80&amp;"（含）"&amp;"-"&amp;E80</f>
        <v>2（含）-2.5</v>
      </c>
      <c r="E79" s="547" t="str">
        <f t="shared" si="21"/>
        <v>2.5（含）-3</v>
      </c>
      <c r="F79" s="547" t="str">
        <f t="shared" si="21"/>
        <v>3（含）-3.5</v>
      </c>
      <c r="G79" s="547" t="str">
        <f t="shared" si="21"/>
        <v>3.5（含）-</v>
      </c>
      <c r="H79" s="547" t="str">
        <f t="shared" si="21"/>
        <v>（含）-</v>
      </c>
      <c r="I79" s="547" t="str">
        <f t="shared" si="21"/>
        <v>（含）-</v>
      </c>
      <c r="J79" s="547" t="str">
        <f t="shared" si="21"/>
        <v>（含）-</v>
      </c>
      <c r="K79" s="547" t="str">
        <f t="shared" si="21"/>
        <v>（含）-</v>
      </c>
      <c r="L79" s="547" t="str">
        <f t="shared" si="21"/>
        <v>（含）-</v>
      </c>
      <c r="M79" s="448" t="str">
        <f>M80&amp;"（含）"&amp;"-"&amp;P80</f>
        <v>（含）-</v>
      </c>
      <c r="N79" s="1152"/>
      <c r="O79" s="1152"/>
      <c r="P79" s="45"/>
      <c r="Q79" s="504"/>
    </row>
    <row r="80" spans="1:17" ht="15">
      <c r="A80" s="534"/>
      <c r="B80" s="548"/>
      <c r="C80" s="549">
        <v>1.5</v>
      </c>
      <c r="D80" s="549">
        <v>2</v>
      </c>
      <c r="E80" s="549">
        <v>2.5</v>
      </c>
      <c r="F80" s="549">
        <v>3</v>
      </c>
      <c r="G80" s="549">
        <v>3.5</v>
      </c>
      <c r="H80" s="549"/>
      <c r="I80" s="549"/>
      <c r="J80" s="549"/>
      <c r="K80" s="550"/>
      <c r="L80" s="551"/>
      <c r="M80" s="552"/>
      <c r="N80" s="1151"/>
      <c r="O80" s="1151"/>
      <c r="P80" s="45"/>
      <c r="Q80" s="504"/>
    </row>
    <row r="81" spans="1:17" ht="15.75" thickBot="1">
      <c r="A81" s="534"/>
      <c r="B81" s="535"/>
      <c r="C81" s="544">
        <v>100</v>
      </c>
      <c r="D81" s="544">
        <f t="shared" ref="D81:M81" si="22">IF($B$46="单位面积地价",C81+$K11,C81-$K11)</f>
        <v>102</v>
      </c>
      <c r="E81" s="544">
        <f t="shared" si="22"/>
        <v>104</v>
      </c>
      <c r="F81" s="544">
        <f t="shared" si="22"/>
        <v>106</v>
      </c>
      <c r="G81" s="544">
        <f t="shared" si="22"/>
        <v>108</v>
      </c>
      <c r="H81" s="544">
        <f t="shared" si="22"/>
        <v>110</v>
      </c>
      <c r="I81" s="544">
        <f t="shared" si="22"/>
        <v>112</v>
      </c>
      <c r="J81" s="544">
        <f t="shared" si="22"/>
        <v>114</v>
      </c>
      <c r="K81" s="544">
        <f t="shared" si="22"/>
        <v>116</v>
      </c>
      <c r="L81" s="544">
        <f t="shared" si="22"/>
        <v>118</v>
      </c>
      <c r="M81" s="544">
        <f t="shared" si="22"/>
        <v>120</v>
      </c>
      <c r="N81" s="1152"/>
      <c r="O81" s="1152"/>
      <c r="P81" s="45"/>
      <c r="Q81" s="504"/>
    </row>
    <row r="82" spans="1:17" s="471" customFormat="1" ht="15.75" thickTop="1">
      <c r="A82" s="553"/>
      <c r="B82" s="538">
        <f>B12</f>
        <v>0</v>
      </c>
      <c r="C82" s="2948" t="s">
        <v>3239</v>
      </c>
      <c r="D82" s="2948" t="s">
        <v>3240</v>
      </c>
      <c r="E82" s="554"/>
      <c r="F82" s="554"/>
      <c r="G82" s="554"/>
      <c r="H82" s="555"/>
      <c r="I82" s="555"/>
      <c r="J82" s="555"/>
      <c r="K82" s="555"/>
      <c r="L82" s="556"/>
      <c r="M82" s="557"/>
      <c r="N82" s="1153"/>
      <c r="O82" s="1153"/>
      <c r="P82" s="558"/>
      <c r="Q82" s="559"/>
    </row>
    <row r="83" spans="1:17" s="471" customFormat="1" ht="15.75" thickBot="1">
      <c r="A83" s="553"/>
      <c r="B83" s="543"/>
      <c r="C83" s="560">
        <v>90</v>
      </c>
      <c r="D83" s="536">
        <v>100</v>
      </c>
      <c r="E83" s="536"/>
      <c r="F83" s="536"/>
      <c r="G83" s="536"/>
      <c r="H83" s="536"/>
      <c r="I83" s="536"/>
      <c r="J83" s="536"/>
      <c r="K83" s="536"/>
      <c r="L83" s="536"/>
      <c r="M83" s="537"/>
      <c r="N83" s="1152"/>
      <c r="O83" s="1152"/>
      <c r="P83" s="558"/>
      <c r="Q83" s="559"/>
    </row>
    <row r="84" spans="1:17" s="471" customFormat="1" ht="15.75" hidden="1" thickTop="1">
      <c r="A84" s="553"/>
      <c r="B84" s="538">
        <f>B13</f>
        <v>0</v>
      </c>
      <c r="C84" s="554"/>
      <c r="D84" s="554"/>
      <c r="E84" s="554"/>
      <c r="F84" s="554"/>
      <c r="G84" s="554"/>
      <c r="H84" s="555"/>
      <c r="I84" s="555"/>
      <c r="J84" s="555"/>
      <c r="K84" s="555"/>
      <c r="L84" s="556"/>
      <c r="M84" s="557"/>
      <c r="N84" s="1153"/>
      <c r="O84" s="1153"/>
      <c r="P84" s="470"/>
      <c r="Q84" s="561"/>
    </row>
    <row r="85" spans="1:17" s="471" customFormat="1" ht="15.75" hidden="1" thickBot="1">
      <c r="A85" s="553"/>
      <c r="B85" s="543"/>
      <c r="C85" s="560"/>
      <c r="D85" s="560"/>
      <c r="E85" s="560"/>
      <c r="F85" s="560"/>
      <c r="G85" s="560"/>
      <c r="H85" s="562"/>
      <c r="I85" s="562"/>
      <c r="J85" s="562"/>
      <c r="K85" s="562"/>
      <c r="L85" s="562"/>
      <c r="M85" s="563"/>
      <c r="N85" s="1153"/>
      <c r="O85" s="1153"/>
      <c r="P85" s="558"/>
      <c r="Q85" s="559"/>
    </row>
    <row r="86" spans="1:17" s="471" customFormat="1" ht="15.75" hidden="1" thickTop="1">
      <c r="A86" s="553"/>
      <c r="B86" s="546">
        <f>B14</f>
        <v>0</v>
      </c>
      <c r="C86" s="523"/>
      <c r="D86" s="523"/>
      <c r="E86" s="523"/>
      <c r="F86" s="523"/>
      <c r="G86" s="523"/>
      <c r="H86" s="564"/>
      <c r="I86" s="564"/>
      <c r="J86" s="564"/>
      <c r="K86" s="564"/>
      <c r="L86" s="565"/>
      <c r="M86" s="566"/>
      <c r="N86" s="1153"/>
      <c r="O86" s="1153"/>
      <c r="P86" s="567"/>
      <c r="Q86" s="559"/>
    </row>
    <row r="87" spans="1:17" s="471" customFormat="1" ht="15.75" hidden="1" thickBot="1">
      <c r="A87" s="568"/>
      <c r="B87" s="569"/>
      <c r="C87" s="570"/>
      <c r="D87" s="570"/>
      <c r="E87" s="570"/>
      <c r="F87" s="570"/>
      <c r="G87" s="570"/>
      <c r="H87" s="571"/>
      <c r="I87" s="571"/>
      <c r="J87" s="571"/>
      <c r="K87" s="571"/>
      <c r="L87" s="571"/>
      <c r="M87" s="572"/>
      <c r="N87" s="1153"/>
      <c r="O87" s="1153"/>
      <c r="P87" s="558"/>
      <c r="Q87" s="559"/>
    </row>
    <row r="88" spans="1:17" ht="15" thickTop="1">
      <c r="A88" s="527" t="s">
        <v>2558</v>
      </c>
      <c r="B88" s="528" t="s">
        <v>2595</v>
      </c>
      <c r="C88" s="573" t="s">
        <v>2596</v>
      </c>
      <c r="D88" s="573" t="s">
        <v>2597</v>
      </c>
      <c r="E88" s="573" t="s">
        <v>2598</v>
      </c>
      <c r="F88" s="573" t="s">
        <v>2599</v>
      </c>
      <c r="G88" s="573" t="s">
        <v>2600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2780</v>
      </c>
      <c r="C90" s="578" t="s">
        <v>2596</v>
      </c>
      <c r="D90" s="578" t="s">
        <v>2597</v>
      </c>
      <c r="E90" s="578" t="s">
        <v>2598</v>
      </c>
      <c r="F90" s="578" t="s">
        <v>2599</v>
      </c>
      <c r="G90" s="578" t="s">
        <v>2600</v>
      </c>
      <c r="H90" s="539"/>
      <c r="I90" s="539"/>
      <c r="J90" s="539"/>
      <c r="K90" s="540"/>
      <c r="L90" s="541"/>
      <c r="M90" s="542"/>
      <c r="N90" s="1151"/>
      <c r="O90" s="1151"/>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1"/>
      <c r="O92" s="1151"/>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2"/>
      <c r="O93" s="1152"/>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2781</v>
      </c>
      <c r="C96" s="578" t="s">
        <v>2596</v>
      </c>
      <c r="D96" s="578" t="s">
        <v>2597</v>
      </c>
      <c r="E96" s="578" t="s">
        <v>2598</v>
      </c>
      <c r="F96" s="578" t="s">
        <v>2599</v>
      </c>
      <c r="G96" s="578" t="s">
        <v>2600</v>
      </c>
      <c r="H96" s="578"/>
      <c r="I96" s="578"/>
      <c r="J96" s="578"/>
      <c r="K96" s="578"/>
      <c r="L96" s="698"/>
      <c r="M96" s="622"/>
      <c r="N96" s="1150"/>
      <c r="O96" s="1150"/>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2"/>
      <c r="O97" s="1152"/>
      <c r="P97" s="45"/>
      <c r="Q97" s="504"/>
    </row>
    <row r="98" spans="1:17" s="117" customFormat="1" ht="27.75" thickTop="1">
      <c r="A98" s="579"/>
      <c r="B98" s="538" t="s">
        <v>2782</v>
      </c>
      <c r="C98" s="573" t="s">
        <v>2596</v>
      </c>
      <c r="D98" s="573" t="s">
        <v>2597</v>
      </c>
      <c r="E98" s="573" t="s">
        <v>2598</v>
      </c>
      <c r="F98" s="573" t="s">
        <v>2599</v>
      </c>
      <c r="G98" s="573" t="s">
        <v>2600</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3"/>
      <c r="O102" s="1153"/>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4"/>
      <c r="N103" s="1153"/>
      <c r="O103" s="1153"/>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2"/>
      <c r="O105" s="1152"/>
      <c r="P105" s="45"/>
      <c r="Q105" s="504"/>
    </row>
    <row r="106" spans="1:17" ht="27.75" thickTop="1">
      <c r="A106" s="534"/>
      <c r="B106" s="538" t="s">
        <v>2690</v>
      </c>
      <c r="C106" s="2948" t="s">
        <v>3250</v>
      </c>
      <c r="D106" s="2948" t="s">
        <v>3247</v>
      </c>
      <c r="E106" s="2948" t="s">
        <v>3249</v>
      </c>
      <c r="F106" s="554"/>
      <c r="G106" s="554"/>
      <c r="H106" s="583"/>
      <c r="I106" s="583"/>
      <c r="J106" s="583"/>
      <c r="K106" s="584"/>
      <c r="L106" s="585"/>
      <c r="M106" s="586"/>
      <c r="N106" s="1151"/>
      <c r="O106" s="1151"/>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2"/>
      <c r="O107" s="1152"/>
      <c r="P107" s="45"/>
      <c r="Q107" s="504"/>
    </row>
    <row r="108" spans="1:17" ht="15.75" thickTop="1">
      <c r="A108" s="534"/>
      <c r="B108" s="538" t="s">
        <v>2748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2"/>
      <c r="O109" s="1152"/>
      <c r="P109" s="45"/>
      <c r="Q109" s="504"/>
    </row>
    <row r="110" spans="1:17" ht="15.75" thickTop="1">
      <c r="A110" s="534"/>
      <c r="B110" s="546">
        <f>B35</f>
        <v>0</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0</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0</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2562</v>
      </c>
      <c r="B116" s="528" t="s">
        <v>2787</v>
      </c>
      <c r="C116" s="529" t="str">
        <f>C117&amp;"(含)"&amp;"-"&amp;D117</f>
        <v>0(含)-10000</v>
      </c>
      <c r="D116" s="529" t="str">
        <f t="shared" ref="D116:M116" si="26">D117&amp;"(含)"&amp;"-"&amp;E117</f>
        <v>10000(含)-30000</v>
      </c>
      <c r="E116" s="529" t="str">
        <f t="shared" si="26"/>
        <v>30000(含)-60000</v>
      </c>
      <c r="F116" s="529" t="str">
        <f t="shared" si="26"/>
        <v>60000(含)-100000</v>
      </c>
      <c r="G116" s="529" t="str">
        <f t="shared" si="26"/>
        <v>100000(含)-</v>
      </c>
      <c r="H116" s="529" t="str">
        <f t="shared" si="26"/>
        <v>(含)-</v>
      </c>
      <c r="I116" s="529" t="str">
        <f t="shared" si="26"/>
        <v>(含)-</v>
      </c>
      <c r="J116" s="529" t="str">
        <f t="shared" si="26"/>
        <v>(含)-</v>
      </c>
      <c r="K116" s="529" t="str">
        <f t="shared" si="26"/>
        <v>(含)-</v>
      </c>
      <c r="L116" s="529" t="str">
        <f t="shared" si="26"/>
        <v>(含)-</v>
      </c>
      <c r="M116" s="529" t="str">
        <f t="shared" si="26"/>
        <v>(含)-</v>
      </c>
      <c r="N116" s="1151"/>
      <c r="O116" s="1151"/>
      <c r="P116" s="45"/>
      <c r="Q116" s="504"/>
    </row>
    <row r="117" spans="1:17" ht="15">
      <c r="A117" s="534"/>
      <c r="B117" s="546"/>
      <c r="C117" s="595">
        <v>0</v>
      </c>
      <c r="D117" s="595">
        <v>10000</v>
      </c>
      <c r="E117" s="595">
        <v>30000</v>
      </c>
      <c r="F117" s="595">
        <v>60000</v>
      </c>
      <c r="G117" s="595">
        <v>100000</v>
      </c>
      <c r="H117" s="595"/>
      <c r="I117" s="595"/>
      <c r="J117" s="596"/>
      <c r="K117" s="596"/>
      <c r="L117" s="597"/>
      <c r="M117" s="598"/>
      <c r="N117" s="1151"/>
      <c r="O117" s="1151"/>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2"/>
      <c r="O118" s="1152"/>
      <c r="P118" s="45"/>
      <c r="Q118" s="504"/>
    </row>
    <row r="119" spans="1:17" ht="15" thickTop="1">
      <c r="A119" s="599"/>
      <c r="B119" s="538" t="s">
        <v>2788</v>
      </c>
      <c r="C119" s="2947" t="s">
        <v>3232</v>
      </c>
      <c r="D119" s="2947" t="s">
        <v>3234</v>
      </c>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2"/>
      <c r="O122" s="1152"/>
      <c r="P122" s="45"/>
      <c r="Q122" s="504"/>
    </row>
    <row r="123" spans="1:17" s="471" customFormat="1" ht="15" thickTop="1">
      <c r="A123" s="593"/>
      <c r="B123" s="538" t="s">
        <v>2790</v>
      </c>
      <c r="C123" s="2948" t="s">
        <v>3236</v>
      </c>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3"/>
      <c r="O124" s="1153"/>
      <c r="P124" s="558"/>
      <c r="Q124" s="559"/>
    </row>
    <row r="125" spans="1:17" ht="15" thickTop="1">
      <c r="A125" s="599"/>
      <c r="B125" s="538" t="s">
        <v>2791</v>
      </c>
      <c r="C125" s="2948" t="s">
        <v>3238</v>
      </c>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2"/>
      <c r="O126" s="1152"/>
      <c r="P126" s="45"/>
      <c r="Q126" s="504"/>
    </row>
    <row r="127" spans="1:17" ht="15" thickTop="1">
      <c r="A127" s="599"/>
      <c r="B127" s="538">
        <f>B43</f>
        <v>0</v>
      </c>
      <c r="C127" s="2948" t="s">
        <v>3241</v>
      </c>
      <c r="D127" s="2948" t="s">
        <v>3240</v>
      </c>
      <c r="E127" s="554"/>
      <c r="F127" s="554"/>
      <c r="G127" s="554"/>
      <c r="H127" s="583"/>
      <c r="I127" s="583"/>
      <c r="J127" s="583"/>
      <c r="K127" s="584"/>
      <c r="L127" s="585"/>
      <c r="M127" s="586"/>
      <c r="N127" s="1151"/>
      <c r="O127" s="1151"/>
      <c r="P127" s="45"/>
      <c r="Q127" s="504"/>
    </row>
    <row r="128" spans="1:17" ht="15.75" thickBot="1">
      <c r="A128" s="534"/>
      <c r="B128" s="543"/>
      <c r="C128" s="560">
        <v>95</v>
      </c>
      <c r="D128" s="560">
        <v>100</v>
      </c>
      <c r="E128" s="560"/>
      <c r="F128" s="560"/>
      <c r="G128" s="536"/>
      <c r="H128" s="536"/>
      <c r="I128" s="536"/>
      <c r="J128" s="536"/>
      <c r="K128" s="536"/>
      <c r="L128" s="536"/>
      <c r="M128" s="537"/>
      <c r="N128" s="1152"/>
      <c r="O128" s="1152"/>
      <c r="P128" s="45"/>
      <c r="Q128" s="504"/>
    </row>
    <row r="129" spans="1:17" ht="15" thickTop="1">
      <c r="A129" s="599"/>
      <c r="B129" s="538">
        <f>B44</f>
        <v>0</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0</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topLeftCell="A17" zoomScaleNormal="100" workbookViewId="0">
      <pane xSplit="4" topLeftCell="H1" activePane="topRight" state="frozen"/>
      <selection activeCell="A28" sqref="A28"/>
      <selection pane="topRight" activeCell="R39" sqref="R39"/>
    </sheetView>
  </sheetViews>
  <sheetFormatPr defaultRowHeight="13.5"/>
  <cols>
    <col min="1" max="1" width="49.75" customWidth="1"/>
    <col min="2" max="4" width="0" hidden="1" customWidth="1"/>
    <col min="5" max="5" width="37.375" customWidth="1"/>
    <col min="8" max="8" width="16.75" customWidth="1"/>
    <col min="10" max="10" width="30" customWidth="1"/>
    <col min="16" max="16" width="9" style="2957"/>
    <col min="18" max="18" width="9" style="2957"/>
  </cols>
  <sheetData>
    <row r="1" spans="1:18">
      <c r="A1" s="2942" t="s">
        <v>3084</v>
      </c>
      <c r="B1" s="2942" t="s">
        <v>3085</v>
      </c>
      <c r="C1" s="2942" t="s">
        <v>3086</v>
      </c>
      <c r="D1" s="2942" t="s">
        <v>3087</v>
      </c>
      <c r="E1" s="2942" t="s">
        <v>3088</v>
      </c>
      <c r="F1" s="2942" t="s">
        <v>3089</v>
      </c>
      <c r="G1" s="2942" t="s">
        <v>3090</v>
      </c>
      <c r="H1" s="2942" t="s">
        <v>3091</v>
      </c>
      <c r="I1" s="2942" t="s">
        <v>3092</v>
      </c>
      <c r="J1" s="2942" t="s">
        <v>3093</v>
      </c>
      <c r="K1" s="2942" t="s">
        <v>3094</v>
      </c>
      <c r="L1" s="2942" t="s">
        <v>3095</v>
      </c>
      <c r="M1" s="2942" t="s">
        <v>3096</v>
      </c>
      <c r="N1" s="2942" t="s">
        <v>3097</v>
      </c>
      <c r="P1" s="2956" t="s">
        <v>3256</v>
      </c>
      <c r="R1" s="2956" t="s">
        <v>3257</v>
      </c>
    </row>
    <row r="2" spans="1:18" s="2944" customFormat="1">
      <c r="A2" s="2943" t="s">
        <v>3098</v>
      </c>
      <c r="B2" s="2943" t="s">
        <v>3099</v>
      </c>
      <c r="C2" s="2943" t="s">
        <v>3100</v>
      </c>
      <c r="D2" s="2943" t="s">
        <v>3101</v>
      </c>
      <c r="E2" s="2943" t="s">
        <v>3102</v>
      </c>
      <c r="F2" s="2943">
        <v>37487.69</v>
      </c>
      <c r="G2" s="2943">
        <v>74975.38</v>
      </c>
      <c r="H2" s="2943" t="s">
        <v>3103</v>
      </c>
      <c r="I2" s="2943" t="s">
        <v>3104</v>
      </c>
      <c r="J2" s="2943" t="s">
        <v>3105</v>
      </c>
      <c r="K2" s="2943">
        <v>6500</v>
      </c>
      <c r="L2" s="2943">
        <v>866.95</v>
      </c>
      <c r="M2" s="2943">
        <v>0</v>
      </c>
      <c r="N2" s="2943" t="s">
        <v>3106</v>
      </c>
      <c r="P2" s="2957">
        <f>ROUND(L2,0)</f>
        <v>867</v>
      </c>
      <c r="R2" s="2957">
        <f>ROUND(K2*10000/F2,0)</f>
        <v>1734</v>
      </c>
    </row>
    <row r="3" spans="1:18">
      <c r="A3" s="2942" t="s">
        <v>3107</v>
      </c>
      <c r="B3" s="2942" t="s">
        <v>3099</v>
      </c>
      <c r="C3" s="2942" t="s">
        <v>3100</v>
      </c>
      <c r="D3" s="2942" t="s">
        <v>3101</v>
      </c>
      <c r="E3" s="2942" t="s">
        <v>3108</v>
      </c>
      <c r="F3" s="2942">
        <v>35542.25</v>
      </c>
      <c r="G3" s="2942">
        <v>42650.7</v>
      </c>
      <c r="H3" s="2942" t="s">
        <v>3109</v>
      </c>
      <c r="I3" s="2942" t="s">
        <v>3110</v>
      </c>
      <c r="J3" s="2942" t="s">
        <v>3111</v>
      </c>
      <c r="K3" s="2942">
        <v>20000</v>
      </c>
      <c r="L3" s="2942">
        <v>4689.25</v>
      </c>
      <c r="M3" s="2942">
        <v>0</v>
      </c>
      <c r="N3" s="2942" t="s">
        <v>3106</v>
      </c>
      <c r="P3" s="2957">
        <f t="shared" ref="P3:P49" si="0">ROUND(L3,0)</f>
        <v>4689</v>
      </c>
      <c r="R3" s="2957">
        <f t="shared" ref="R3:R49" si="1">ROUND(K3*10000/F3,0)</f>
        <v>5627</v>
      </c>
    </row>
    <row r="4" spans="1:18">
      <c r="A4" s="2942" t="s">
        <v>3112</v>
      </c>
      <c r="B4" s="2942" t="s">
        <v>3099</v>
      </c>
      <c r="C4" s="2942" t="s">
        <v>3100</v>
      </c>
      <c r="D4" s="2942" t="s">
        <v>3101</v>
      </c>
      <c r="E4" s="2942" t="s">
        <v>3113</v>
      </c>
      <c r="F4" s="2942">
        <v>6541.3</v>
      </c>
      <c r="G4" s="2942">
        <v>7849.56</v>
      </c>
      <c r="H4" s="2942" t="s">
        <v>3114</v>
      </c>
      <c r="I4" s="2942" t="s">
        <v>3115</v>
      </c>
      <c r="J4" s="2942" t="s">
        <v>3116</v>
      </c>
      <c r="K4" s="2942">
        <v>610</v>
      </c>
      <c r="L4" s="2942">
        <v>777.11</v>
      </c>
      <c r="M4" s="2942">
        <v>0</v>
      </c>
      <c r="N4" s="2942">
        <v>40</v>
      </c>
      <c r="P4" s="2957">
        <f t="shared" si="0"/>
        <v>777</v>
      </c>
      <c r="R4" s="2957">
        <f t="shared" si="1"/>
        <v>933</v>
      </c>
    </row>
    <row r="5" spans="1:18">
      <c r="A5" s="2942" t="s">
        <v>3117</v>
      </c>
      <c r="B5" s="2942" t="s">
        <v>3099</v>
      </c>
      <c r="C5" s="2942" t="s">
        <v>3100</v>
      </c>
      <c r="D5" s="2942" t="s">
        <v>3101</v>
      </c>
      <c r="E5" s="2942" t="s">
        <v>3113</v>
      </c>
      <c r="F5" s="2942">
        <v>9525.7000000000007</v>
      </c>
      <c r="G5" s="2942">
        <v>10478.27</v>
      </c>
      <c r="H5" s="2942" t="s">
        <v>3118</v>
      </c>
      <c r="I5" s="2942" t="s">
        <v>3119</v>
      </c>
      <c r="J5" s="2942" t="s">
        <v>3120</v>
      </c>
      <c r="K5" s="2942">
        <v>930</v>
      </c>
      <c r="L5" s="2942">
        <v>887.54</v>
      </c>
      <c r="M5" s="2942">
        <v>4.49</v>
      </c>
      <c r="N5" s="2942">
        <v>40</v>
      </c>
      <c r="P5" s="2957">
        <f t="shared" si="0"/>
        <v>888</v>
      </c>
      <c r="R5" s="2957">
        <f t="shared" si="1"/>
        <v>976</v>
      </c>
    </row>
    <row r="6" spans="1:18" hidden="1">
      <c r="A6" s="2942" t="s">
        <v>3121</v>
      </c>
      <c r="B6" s="2942" t="s">
        <v>3099</v>
      </c>
      <c r="C6" s="2942" t="s">
        <v>3100</v>
      </c>
      <c r="D6" s="2942" t="s">
        <v>3101</v>
      </c>
      <c r="E6" s="2942" t="s">
        <v>3113</v>
      </c>
      <c r="F6" s="2942">
        <v>5424.7</v>
      </c>
      <c r="G6" s="2942">
        <v>6509.64</v>
      </c>
      <c r="H6" s="2942" t="s">
        <v>3122</v>
      </c>
      <c r="I6" s="2942" t="s">
        <v>3123</v>
      </c>
      <c r="J6" s="2942" t="s">
        <v>3124</v>
      </c>
      <c r="K6" s="2942">
        <v>580</v>
      </c>
      <c r="L6" s="2942">
        <v>890.99</v>
      </c>
      <c r="M6" s="2942">
        <v>0</v>
      </c>
      <c r="N6" s="2942">
        <v>40</v>
      </c>
      <c r="P6" s="2957">
        <f t="shared" si="0"/>
        <v>891</v>
      </c>
      <c r="R6" s="2957">
        <f t="shared" si="1"/>
        <v>1069</v>
      </c>
    </row>
    <row r="7" spans="1:18" hidden="1">
      <c r="A7" s="2942" t="s">
        <v>3251</v>
      </c>
      <c r="B7" s="2942" t="s">
        <v>3099</v>
      </c>
      <c r="C7" s="2942" t="s">
        <v>3100</v>
      </c>
      <c r="D7" s="2942" t="s">
        <v>3101</v>
      </c>
      <c r="E7" s="2942" t="s">
        <v>3125</v>
      </c>
      <c r="F7" s="2942">
        <v>43103</v>
      </c>
      <c r="G7" s="2942">
        <v>77585.399999999994</v>
      </c>
      <c r="H7" s="2942" t="s">
        <v>3126</v>
      </c>
      <c r="I7" s="2942" t="s">
        <v>3123</v>
      </c>
      <c r="J7" s="2942" t="s">
        <v>3127</v>
      </c>
      <c r="K7" s="2942">
        <v>11640</v>
      </c>
      <c r="L7" s="2942">
        <v>1500.27</v>
      </c>
      <c r="M7" s="2942">
        <v>0</v>
      </c>
      <c r="N7" s="2942">
        <v>70</v>
      </c>
      <c r="P7" s="2957">
        <f t="shared" si="0"/>
        <v>1500</v>
      </c>
      <c r="R7" s="2957">
        <f t="shared" si="1"/>
        <v>2701</v>
      </c>
    </row>
    <row r="8" spans="1:18">
      <c r="A8" s="2942" t="s">
        <v>3128</v>
      </c>
      <c r="B8" s="2942" t="s">
        <v>3099</v>
      </c>
      <c r="C8" s="2942" t="s">
        <v>3100</v>
      </c>
      <c r="D8" s="2942" t="s">
        <v>3101</v>
      </c>
      <c r="E8" s="2942" t="s">
        <v>3113</v>
      </c>
      <c r="F8" s="2942">
        <v>7172.8</v>
      </c>
      <c r="G8" s="2942">
        <v>8607.36</v>
      </c>
      <c r="H8" s="2942" t="s">
        <v>3122</v>
      </c>
      <c r="I8" s="2942" t="s">
        <v>3123</v>
      </c>
      <c r="J8" s="2942" t="s">
        <v>3129</v>
      </c>
      <c r="K8" s="2942">
        <v>765</v>
      </c>
      <c r="L8" s="2942">
        <v>888.76</v>
      </c>
      <c r="M8" s="2942">
        <v>0</v>
      </c>
      <c r="N8" s="2942">
        <v>40</v>
      </c>
      <c r="P8" s="2957">
        <f t="shared" si="0"/>
        <v>889</v>
      </c>
      <c r="R8" s="2957">
        <f t="shared" si="1"/>
        <v>1067</v>
      </c>
    </row>
    <row r="9" spans="1:18" s="2963" customFormat="1">
      <c r="A9" s="2962" t="s">
        <v>3130</v>
      </c>
      <c r="B9" s="2962" t="s">
        <v>3099</v>
      </c>
      <c r="C9" s="2962" t="s">
        <v>3100</v>
      </c>
      <c r="D9" s="2962" t="s">
        <v>3101</v>
      </c>
      <c r="E9" s="2962" t="s">
        <v>3108</v>
      </c>
      <c r="F9" s="2962">
        <v>26250.1</v>
      </c>
      <c r="G9" s="2962">
        <v>78750.3</v>
      </c>
      <c r="H9" s="2962" t="s">
        <v>3131</v>
      </c>
      <c r="I9" s="2962" t="s">
        <v>3132</v>
      </c>
      <c r="J9" s="2962" t="s">
        <v>3133</v>
      </c>
      <c r="K9" s="2962">
        <v>7800</v>
      </c>
      <c r="L9" s="2962">
        <v>990.47</v>
      </c>
      <c r="M9" s="2962">
        <v>6.85</v>
      </c>
      <c r="N9" s="2962" t="s">
        <v>3106</v>
      </c>
      <c r="P9" s="2963">
        <f t="shared" si="0"/>
        <v>990</v>
      </c>
      <c r="R9" s="2963">
        <f t="shared" si="1"/>
        <v>2971</v>
      </c>
    </row>
    <row r="10" spans="1:18" s="2944" customFormat="1">
      <c r="A10" s="2943" t="s">
        <v>3228</v>
      </c>
      <c r="B10" s="2943" t="s">
        <v>3099</v>
      </c>
      <c r="C10" s="2943" t="s">
        <v>3100</v>
      </c>
      <c r="D10" s="2943" t="s">
        <v>3101</v>
      </c>
      <c r="E10" s="2943" t="s">
        <v>3113</v>
      </c>
      <c r="F10" s="2943">
        <v>31623.4</v>
      </c>
      <c r="G10" s="2943">
        <v>47435.1</v>
      </c>
      <c r="H10" s="2943" t="s">
        <v>3134</v>
      </c>
      <c r="I10" s="2943" t="s">
        <v>3135</v>
      </c>
      <c r="J10" s="2943" t="s">
        <v>3136</v>
      </c>
      <c r="K10" s="2943">
        <v>5000</v>
      </c>
      <c r="L10" s="2943">
        <v>1054.06</v>
      </c>
      <c r="M10" s="2943">
        <v>0</v>
      </c>
      <c r="N10" s="2943">
        <v>40</v>
      </c>
      <c r="P10" s="2957">
        <f t="shared" si="0"/>
        <v>1054</v>
      </c>
      <c r="R10" s="2957">
        <f t="shared" si="1"/>
        <v>1581</v>
      </c>
    </row>
    <row r="11" spans="1:18" s="2944" customFormat="1">
      <c r="A11" s="2943" t="s">
        <v>3137</v>
      </c>
      <c r="B11" s="2943" t="s">
        <v>3099</v>
      </c>
      <c r="C11" s="2943" t="s">
        <v>3100</v>
      </c>
      <c r="D11" s="2943" t="s">
        <v>3101</v>
      </c>
      <c r="E11" s="2943" t="s">
        <v>3138</v>
      </c>
      <c r="F11" s="2943">
        <v>6401.1</v>
      </c>
      <c r="G11" s="2943">
        <v>9601.65</v>
      </c>
      <c r="H11" s="2943" t="s">
        <v>3139</v>
      </c>
      <c r="I11" s="2943" t="s">
        <v>3140</v>
      </c>
      <c r="J11" s="2943" t="s">
        <v>3141</v>
      </c>
      <c r="K11" s="2943">
        <v>920</v>
      </c>
      <c r="L11" s="2943">
        <v>958.16</v>
      </c>
      <c r="M11" s="2943">
        <v>0</v>
      </c>
      <c r="N11" s="2943" t="s">
        <v>3142</v>
      </c>
      <c r="P11" s="2957">
        <f t="shared" si="0"/>
        <v>958</v>
      </c>
      <c r="R11" s="2957">
        <f t="shared" si="1"/>
        <v>1437</v>
      </c>
    </row>
    <row r="12" spans="1:18">
      <c r="A12" s="2942" t="s">
        <v>3143</v>
      </c>
      <c r="B12" s="2942" t="s">
        <v>3099</v>
      </c>
      <c r="C12" s="2942" t="s">
        <v>3100</v>
      </c>
      <c r="D12" s="2942" t="s">
        <v>3101</v>
      </c>
      <c r="E12" s="2942" t="s">
        <v>3138</v>
      </c>
      <c r="F12" s="2942">
        <v>16720.7</v>
      </c>
      <c r="G12" s="2942">
        <v>41801.75</v>
      </c>
      <c r="H12" s="2942" t="s">
        <v>3144</v>
      </c>
      <c r="I12" s="2942" t="s">
        <v>3145</v>
      </c>
      <c r="J12" s="2942" t="s">
        <v>3146</v>
      </c>
      <c r="K12" s="2942">
        <v>2600</v>
      </c>
      <c r="L12" s="2942">
        <v>621.98</v>
      </c>
      <c r="M12" s="2942">
        <v>0</v>
      </c>
      <c r="N12" s="2942" t="s">
        <v>3142</v>
      </c>
      <c r="P12" s="2957">
        <f t="shared" si="0"/>
        <v>622</v>
      </c>
      <c r="R12" s="2957">
        <f t="shared" si="1"/>
        <v>1555</v>
      </c>
    </row>
    <row r="13" spans="1:18">
      <c r="A13" s="2942" t="s">
        <v>3147</v>
      </c>
      <c r="B13" s="2942" t="s">
        <v>3099</v>
      </c>
      <c r="C13" s="2942" t="s">
        <v>3100</v>
      </c>
      <c r="D13" s="2942" t="s">
        <v>3101</v>
      </c>
      <c r="E13" s="2942" t="s">
        <v>3148</v>
      </c>
      <c r="F13" s="2942">
        <v>38357.699999999997</v>
      </c>
      <c r="G13" s="2942">
        <v>46029.24</v>
      </c>
      <c r="H13" s="2942" t="s">
        <v>3109</v>
      </c>
      <c r="I13" s="2942" t="s">
        <v>3149</v>
      </c>
      <c r="J13" s="2942" t="s">
        <v>3150</v>
      </c>
      <c r="K13" s="2942">
        <v>26410</v>
      </c>
      <c r="L13" s="2942">
        <v>5737.65</v>
      </c>
      <c r="M13" s="2942">
        <v>282.2</v>
      </c>
      <c r="N13" s="2942" t="s">
        <v>3106</v>
      </c>
      <c r="P13" s="2957">
        <f t="shared" si="0"/>
        <v>5738</v>
      </c>
      <c r="R13" s="2957">
        <f t="shared" si="1"/>
        <v>6885</v>
      </c>
    </row>
    <row r="14" spans="1:18" s="2963" customFormat="1">
      <c r="A14" s="2962" t="s">
        <v>3254</v>
      </c>
      <c r="B14" s="2962" t="s">
        <v>3099</v>
      </c>
      <c r="C14" s="2962" t="s">
        <v>3100</v>
      </c>
      <c r="D14" s="2962" t="s">
        <v>3101</v>
      </c>
      <c r="E14" s="2962" t="s">
        <v>3148</v>
      </c>
      <c r="F14" s="2962">
        <v>77624.7</v>
      </c>
      <c r="G14" s="2962">
        <v>170774.3</v>
      </c>
      <c r="H14" s="2962" t="s">
        <v>3151</v>
      </c>
      <c r="I14" s="2962" t="s">
        <v>3152</v>
      </c>
      <c r="J14" s="2961" t="s">
        <v>3253</v>
      </c>
      <c r="K14" s="2962">
        <v>20500</v>
      </c>
      <c r="L14" s="2962">
        <v>1200.4100000000001</v>
      </c>
      <c r="M14" s="2962">
        <v>0</v>
      </c>
      <c r="N14" s="2962" t="s">
        <v>3142</v>
      </c>
      <c r="P14" s="2963">
        <f t="shared" si="0"/>
        <v>1200</v>
      </c>
      <c r="R14" s="2963">
        <f t="shared" si="1"/>
        <v>2641</v>
      </c>
    </row>
    <row r="15" spans="1:18">
      <c r="A15" s="2942" t="s">
        <v>3153</v>
      </c>
      <c r="B15" s="2942" t="s">
        <v>3099</v>
      </c>
      <c r="C15" s="2942" t="s">
        <v>3100</v>
      </c>
      <c r="D15" s="2942" t="s">
        <v>3101</v>
      </c>
      <c r="E15" s="2942" t="s">
        <v>3154</v>
      </c>
      <c r="F15" s="2942">
        <v>15535.2</v>
      </c>
      <c r="G15" s="2942">
        <v>23302.799999999999</v>
      </c>
      <c r="H15" s="2942" t="s">
        <v>3155</v>
      </c>
      <c r="I15" s="2942" t="s">
        <v>3156</v>
      </c>
      <c r="J15" s="2942" t="s">
        <v>3157</v>
      </c>
      <c r="K15" s="2942">
        <v>1540</v>
      </c>
      <c r="L15" s="2942">
        <v>660.86</v>
      </c>
      <c r="M15" s="2942">
        <v>0</v>
      </c>
      <c r="N15" s="2942" t="s">
        <v>3106</v>
      </c>
      <c r="P15" s="2957">
        <f t="shared" si="0"/>
        <v>661</v>
      </c>
      <c r="R15" s="2957">
        <f t="shared" si="1"/>
        <v>991</v>
      </c>
    </row>
    <row r="16" spans="1:18">
      <c r="A16" s="2942" t="s">
        <v>3153</v>
      </c>
      <c r="B16" s="2942" t="s">
        <v>3099</v>
      </c>
      <c r="C16" s="2942" t="s">
        <v>3100</v>
      </c>
      <c r="D16" s="2942" t="s">
        <v>3101</v>
      </c>
      <c r="E16" s="2942" t="s">
        <v>3154</v>
      </c>
      <c r="F16" s="2942">
        <v>708</v>
      </c>
      <c r="G16" s="2942">
        <v>1062</v>
      </c>
      <c r="H16" s="2942" t="s">
        <v>3158</v>
      </c>
      <c r="I16" s="2942" t="s">
        <v>3156</v>
      </c>
      <c r="J16" s="2942" t="s">
        <v>3157</v>
      </c>
      <c r="K16" s="2942">
        <v>70</v>
      </c>
      <c r="L16" s="2942">
        <v>659.12</v>
      </c>
      <c r="M16" s="2942">
        <v>0</v>
      </c>
      <c r="N16" s="2942" t="s">
        <v>3106</v>
      </c>
      <c r="P16" s="2957">
        <f t="shared" si="0"/>
        <v>659</v>
      </c>
      <c r="R16" s="2957">
        <f t="shared" si="1"/>
        <v>989</v>
      </c>
    </row>
    <row r="17" spans="1:18">
      <c r="A17" s="2942" t="s">
        <v>3153</v>
      </c>
      <c r="B17" s="2942" t="s">
        <v>3099</v>
      </c>
      <c r="C17" s="2942" t="s">
        <v>3100</v>
      </c>
      <c r="D17" s="2942" t="s">
        <v>3101</v>
      </c>
      <c r="E17" s="2942" t="s">
        <v>3154</v>
      </c>
      <c r="F17" s="2942">
        <v>12615</v>
      </c>
      <c r="G17" s="2942">
        <v>18922.5</v>
      </c>
      <c r="H17" s="2942" t="s">
        <v>3155</v>
      </c>
      <c r="I17" s="2942" t="s">
        <v>3156</v>
      </c>
      <c r="J17" s="2942" t="s">
        <v>3157</v>
      </c>
      <c r="K17" s="2942">
        <v>1250</v>
      </c>
      <c r="L17" s="2942">
        <v>660.59</v>
      </c>
      <c r="M17" s="2942">
        <v>0</v>
      </c>
      <c r="N17" s="2942" t="s">
        <v>3106</v>
      </c>
      <c r="P17" s="2957">
        <f t="shared" si="0"/>
        <v>661</v>
      </c>
      <c r="R17" s="2957">
        <f t="shared" si="1"/>
        <v>991</v>
      </c>
    </row>
    <row r="18" spans="1:18">
      <c r="A18" s="2942" t="s">
        <v>3153</v>
      </c>
      <c r="B18" s="2942" t="s">
        <v>3099</v>
      </c>
      <c r="C18" s="2942" t="s">
        <v>3100</v>
      </c>
      <c r="D18" s="2942" t="s">
        <v>3101</v>
      </c>
      <c r="E18" s="2942" t="s">
        <v>3154</v>
      </c>
      <c r="F18" s="2942">
        <v>21083.5</v>
      </c>
      <c r="G18" s="2942">
        <v>31625.25</v>
      </c>
      <c r="H18" s="2942" t="s">
        <v>3159</v>
      </c>
      <c r="I18" s="2942" t="s">
        <v>3156</v>
      </c>
      <c r="J18" s="2942" t="s">
        <v>3157</v>
      </c>
      <c r="K18" s="2942">
        <v>2060</v>
      </c>
      <c r="L18" s="2942">
        <v>651.37</v>
      </c>
      <c r="M18" s="2942">
        <v>0</v>
      </c>
      <c r="N18" s="2942" t="s">
        <v>3106</v>
      </c>
      <c r="P18" s="2957">
        <f t="shared" si="0"/>
        <v>651</v>
      </c>
      <c r="R18" s="2957">
        <f t="shared" si="1"/>
        <v>977</v>
      </c>
    </row>
    <row r="19" spans="1:18">
      <c r="A19" s="2942" t="s">
        <v>3153</v>
      </c>
      <c r="B19" s="2942" t="s">
        <v>3099</v>
      </c>
      <c r="C19" s="2942" t="s">
        <v>3100</v>
      </c>
      <c r="D19" s="2942" t="s">
        <v>3101</v>
      </c>
      <c r="E19" s="2942" t="s">
        <v>3154</v>
      </c>
      <c r="F19" s="2942">
        <v>8955.2000000000007</v>
      </c>
      <c r="G19" s="2942">
        <v>13432.8</v>
      </c>
      <c r="H19" s="2942" t="s">
        <v>3155</v>
      </c>
      <c r="I19" s="2942" t="s">
        <v>3156</v>
      </c>
      <c r="J19" s="2942" t="s">
        <v>3157</v>
      </c>
      <c r="K19" s="2942">
        <v>890</v>
      </c>
      <c r="L19" s="2942">
        <v>662.55</v>
      </c>
      <c r="M19" s="2942">
        <v>0</v>
      </c>
      <c r="N19" s="2942" t="s">
        <v>3106</v>
      </c>
      <c r="P19" s="2957">
        <f t="shared" si="0"/>
        <v>663</v>
      </c>
      <c r="R19" s="2957">
        <f t="shared" si="1"/>
        <v>994</v>
      </c>
    </row>
    <row r="20" spans="1:18">
      <c r="A20" s="2942" t="s">
        <v>3160</v>
      </c>
      <c r="B20" s="2942" t="s">
        <v>3099</v>
      </c>
      <c r="C20" s="2942" t="s">
        <v>3100</v>
      </c>
      <c r="D20" s="2942" t="s">
        <v>3101</v>
      </c>
      <c r="E20" s="2942" t="s">
        <v>3161</v>
      </c>
      <c r="F20" s="2942">
        <v>8039</v>
      </c>
      <c r="G20" s="2942">
        <v>8039</v>
      </c>
      <c r="H20" s="2942" t="s">
        <v>3162</v>
      </c>
      <c r="I20" s="2942" t="s">
        <v>3163</v>
      </c>
      <c r="J20" s="2942" t="s">
        <v>3157</v>
      </c>
      <c r="K20" s="2942">
        <v>881</v>
      </c>
      <c r="L20" s="2942">
        <v>1095.9100000000001</v>
      </c>
      <c r="M20" s="2942">
        <v>0</v>
      </c>
      <c r="N20" s="2942" t="s">
        <v>3106</v>
      </c>
      <c r="P20" s="2957">
        <f t="shared" si="0"/>
        <v>1096</v>
      </c>
      <c r="R20" s="2957">
        <f t="shared" si="1"/>
        <v>1096</v>
      </c>
    </row>
    <row r="21" spans="1:18">
      <c r="A21" s="2942" t="s">
        <v>3160</v>
      </c>
      <c r="B21" s="2942" t="s">
        <v>3099</v>
      </c>
      <c r="C21" s="2942" t="s">
        <v>3100</v>
      </c>
      <c r="D21" s="2942" t="s">
        <v>3101</v>
      </c>
      <c r="E21" s="2942" t="s">
        <v>3113</v>
      </c>
      <c r="F21" s="2942">
        <v>8272</v>
      </c>
      <c r="G21" s="2942">
        <v>12408</v>
      </c>
      <c r="H21" s="2942" t="s">
        <v>3164</v>
      </c>
      <c r="I21" s="2942" t="s">
        <v>3163</v>
      </c>
      <c r="J21" s="2942" t="s">
        <v>3157</v>
      </c>
      <c r="K21" s="2942">
        <v>820</v>
      </c>
      <c r="L21" s="2942">
        <v>660.86</v>
      </c>
      <c r="M21" s="2942">
        <v>0</v>
      </c>
      <c r="N21" s="2942" t="s">
        <v>3106</v>
      </c>
      <c r="P21" s="2957">
        <f t="shared" si="0"/>
        <v>661</v>
      </c>
      <c r="R21" s="2957">
        <f t="shared" si="1"/>
        <v>991</v>
      </c>
    </row>
    <row r="22" spans="1:18">
      <c r="A22" s="2942" t="s">
        <v>3160</v>
      </c>
      <c r="B22" s="2942" t="s">
        <v>3099</v>
      </c>
      <c r="C22" s="2942" t="s">
        <v>3100</v>
      </c>
      <c r="D22" s="2942" t="s">
        <v>3101</v>
      </c>
      <c r="E22" s="2942" t="s">
        <v>3113</v>
      </c>
      <c r="F22" s="2942">
        <v>4262.6000000000004</v>
      </c>
      <c r="G22" s="2942">
        <v>6393.9</v>
      </c>
      <c r="H22" s="2942" t="s">
        <v>3164</v>
      </c>
      <c r="I22" s="2942" t="s">
        <v>3163</v>
      </c>
      <c r="J22" s="2942" t="s">
        <v>3157</v>
      </c>
      <c r="K22" s="2942">
        <v>425</v>
      </c>
      <c r="L22" s="2942">
        <v>664.7</v>
      </c>
      <c r="M22" s="2942">
        <v>0</v>
      </c>
      <c r="N22" s="2942" t="s">
        <v>3106</v>
      </c>
      <c r="P22" s="2957">
        <f t="shared" si="0"/>
        <v>665</v>
      </c>
      <c r="R22" s="2957">
        <f t="shared" si="1"/>
        <v>997</v>
      </c>
    </row>
    <row r="23" spans="1:18">
      <c r="A23" s="2942" t="s">
        <v>3160</v>
      </c>
      <c r="B23" s="2942" t="s">
        <v>3099</v>
      </c>
      <c r="C23" s="2942" t="s">
        <v>3100</v>
      </c>
      <c r="D23" s="2942" t="s">
        <v>3101</v>
      </c>
      <c r="E23" s="2942" t="s">
        <v>3113</v>
      </c>
      <c r="F23" s="2942">
        <v>14093.9</v>
      </c>
      <c r="G23" s="2942">
        <v>21140.85</v>
      </c>
      <c r="H23" s="2942" t="s">
        <v>3164</v>
      </c>
      <c r="I23" s="2942" t="s">
        <v>3163</v>
      </c>
      <c r="J23" s="2942" t="s">
        <v>3157</v>
      </c>
      <c r="K23" s="2942">
        <v>1650</v>
      </c>
      <c r="L23" s="2942">
        <v>780.48</v>
      </c>
      <c r="M23" s="2942">
        <v>0</v>
      </c>
      <c r="N23" s="2942" t="s">
        <v>3106</v>
      </c>
      <c r="P23" s="2957">
        <f t="shared" si="0"/>
        <v>780</v>
      </c>
      <c r="R23" s="2957">
        <f t="shared" si="1"/>
        <v>1171</v>
      </c>
    </row>
    <row r="24" spans="1:18">
      <c r="A24" s="2942" t="s">
        <v>3160</v>
      </c>
      <c r="B24" s="2942" t="s">
        <v>3099</v>
      </c>
      <c r="C24" s="2942" t="s">
        <v>3100</v>
      </c>
      <c r="D24" s="2942" t="s">
        <v>3101</v>
      </c>
      <c r="E24" s="2942" t="s">
        <v>3113</v>
      </c>
      <c r="F24" s="2942">
        <v>14912.5</v>
      </c>
      <c r="G24" s="2942">
        <v>22368.75</v>
      </c>
      <c r="H24" s="2942" t="s">
        <v>3164</v>
      </c>
      <c r="I24" s="2942" t="s">
        <v>3165</v>
      </c>
      <c r="J24" s="2942" t="s">
        <v>3157</v>
      </c>
      <c r="K24" s="2942">
        <v>2310</v>
      </c>
      <c r="L24" s="2942">
        <v>1032.69</v>
      </c>
      <c r="M24" s="2942">
        <v>0</v>
      </c>
      <c r="N24" s="2942" t="s">
        <v>3106</v>
      </c>
      <c r="P24" s="2957">
        <f t="shared" si="0"/>
        <v>1033</v>
      </c>
      <c r="R24" s="2957">
        <f t="shared" si="1"/>
        <v>1549</v>
      </c>
    </row>
    <row r="25" spans="1:18">
      <c r="A25" s="2942" t="s">
        <v>3160</v>
      </c>
      <c r="B25" s="2942" t="s">
        <v>3099</v>
      </c>
      <c r="C25" s="2942" t="s">
        <v>3100</v>
      </c>
      <c r="D25" s="2942" t="s">
        <v>3101</v>
      </c>
      <c r="E25" s="2942" t="s">
        <v>3166</v>
      </c>
      <c r="F25" s="2942">
        <v>6928.2</v>
      </c>
      <c r="G25" s="2942">
        <v>10392.299999999999</v>
      </c>
      <c r="H25" s="2942" t="s">
        <v>3164</v>
      </c>
      <c r="I25" s="2942" t="s">
        <v>3165</v>
      </c>
      <c r="J25" s="2942" t="s">
        <v>3157</v>
      </c>
      <c r="K25" s="2942">
        <v>1175</v>
      </c>
      <c r="L25" s="2942">
        <v>1130.6400000000001</v>
      </c>
      <c r="M25" s="2942">
        <v>0</v>
      </c>
      <c r="N25" s="2942" t="s">
        <v>3106</v>
      </c>
      <c r="P25" s="2957">
        <f t="shared" si="0"/>
        <v>1131</v>
      </c>
      <c r="R25" s="2957">
        <f t="shared" si="1"/>
        <v>1696</v>
      </c>
    </row>
    <row r="26" spans="1:18">
      <c r="A26" s="2942" t="s">
        <v>3160</v>
      </c>
      <c r="B26" s="2942" t="s">
        <v>3099</v>
      </c>
      <c r="C26" s="2942" t="s">
        <v>3100</v>
      </c>
      <c r="D26" s="2942" t="s">
        <v>3101</v>
      </c>
      <c r="E26" s="2942" t="s">
        <v>3113</v>
      </c>
      <c r="F26" s="2942">
        <v>67720</v>
      </c>
      <c r="G26" s="2942">
        <v>54176</v>
      </c>
      <c r="H26" s="2942" t="s">
        <v>3167</v>
      </c>
      <c r="I26" s="2942" t="s">
        <v>3165</v>
      </c>
      <c r="J26" s="2942" t="s">
        <v>3157</v>
      </c>
      <c r="K26" s="2942">
        <v>6400</v>
      </c>
      <c r="L26" s="2942">
        <v>1181.32</v>
      </c>
      <c r="M26" s="2942">
        <v>0</v>
      </c>
      <c r="N26" s="2942" t="s">
        <v>3106</v>
      </c>
      <c r="P26" s="2957">
        <f t="shared" si="0"/>
        <v>1181</v>
      </c>
      <c r="R26" s="2957">
        <f t="shared" si="1"/>
        <v>945</v>
      </c>
    </row>
    <row r="27" spans="1:18">
      <c r="A27" s="2942" t="s">
        <v>3160</v>
      </c>
      <c r="B27" s="2942" t="s">
        <v>3099</v>
      </c>
      <c r="C27" s="2942" t="s">
        <v>3100</v>
      </c>
      <c r="D27" s="2942" t="s">
        <v>3101</v>
      </c>
      <c r="E27" s="2942" t="s">
        <v>3113</v>
      </c>
      <c r="F27" s="2942">
        <v>69966.3</v>
      </c>
      <c r="G27" s="2942">
        <v>69966.3</v>
      </c>
      <c r="H27" s="2942" t="s">
        <v>3162</v>
      </c>
      <c r="I27" s="2942" t="s">
        <v>3165</v>
      </c>
      <c r="J27" s="2942" t="s">
        <v>3157</v>
      </c>
      <c r="K27" s="2942">
        <v>6720</v>
      </c>
      <c r="L27" s="2942">
        <v>960.46</v>
      </c>
      <c r="M27" s="2942">
        <v>0</v>
      </c>
      <c r="N27" s="2942" t="s">
        <v>3106</v>
      </c>
      <c r="P27" s="2957">
        <f t="shared" si="0"/>
        <v>960</v>
      </c>
      <c r="R27" s="2957">
        <f t="shared" si="1"/>
        <v>960</v>
      </c>
    </row>
    <row r="28" spans="1:18">
      <c r="A28" s="2942" t="s">
        <v>3168</v>
      </c>
      <c r="B28" s="2942" t="s">
        <v>3099</v>
      </c>
      <c r="C28" s="2942" t="s">
        <v>3100</v>
      </c>
      <c r="D28" s="2942" t="s">
        <v>3101</v>
      </c>
      <c r="E28" s="2942" t="s">
        <v>3138</v>
      </c>
      <c r="F28" s="2942">
        <v>6620.8</v>
      </c>
      <c r="G28" s="2942">
        <v>16552</v>
      </c>
      <c r="H28" s="2942" t="s">
        <v>3169</v>
      </c>
      <c r="I28" s="2942" t="s">
        <v>3170</v>
      </c>
      <c r="J28" s="2942" t="s">
        <v>3171</v>
      </c>
      <c r="K28" s="2942">
        <v>610</v>
      </c>
      <c r="L28" s="2942">
        <v>368.54</v>
      </c>
      <c r="M28" s="2942">
        <v>0</v>
      </c>
      <c r="N28" s="2942">
        <v>40</v>
      </c>
      <c r="P28" s="2957">
        <f t="shared" si="0"/>
        <v>369</v>
      </c>
      <c r="R28" s="2957">
        <f t="shared" si="1"/>
        <v>921</v>
      </c>
    </row>
    <row r="29" spans="1:18">
      <c r="A29" s="2945" t="s">
        <v>3225</v>
      </c>
      <c r="B29" s="2942" t="s">
        <v>3099</v>
      </c>
      <c r="C29" s="2942" t="s">
        <v>3100</v>
      </c>
      <c r="D29" s="2942" t="s">
        <v>3101</v>
      </c>
      <c r="E29" s="2942" t="s">
        <v>3108</v>
      </c>
      <c r="F29" s="2942">
        <v>97112.3</v>
      </c>
      <c r="G29" s="2942">
        <v>242780.75</v>
      </c>
      <c r="H29" s="2942" t="s">
        <v>3172</v>
      </c>
      <c r="I29" s="2942" t="s">
        <v>3173</v>
      </c>
      <c r="J29" s="2942" t="s">
        <v>3174</v>
      </c>
      <c r="K29" s="2942">
        <v>46000</v>
      </c>
      <c r="L29" s="2942">
        <v>1894.71</v>
      </c>
      <c r="M29" s="2942">
        <v>0</v>
      </c>
      <c r="N29" s="2942" t="s">
        <v>3142</v>
      </c>
      <c r="P29" s="2957">
        <f t="shared" si="0"/>
        <v>1895</v>
      </c>
      <c r="R29" s="2957">
        <f t="shared" si="1"/>
        <v>4737</v>
      </c>
    </row>
    <row r="30" spans="1:18">
      <c r="A30" s="2942" t="s">
        <v>3175</v>
      </c>
      <c r="B30" s="2942" t="s">
        <v>3099</v>
      </c>
      <c r="C30" s="2942" t="s">
        <v>3100</v>
      </c>
      <c r="D30" s="2942" t="s">
        <v>3101</v>
      </c>
      <c r="E30" s="2942" t="s">
        <v>3108</v>
      </c>
      <c r="F30" s="2942">
        <v>18636.400000000001</v>
      </c>
      <c r="G30" s="2942">
        <v>74545.600000000006</v>
      </c>
      <c r="H30" s="2942" t="s">
        <v>3176</v>
      </c>
      <c r="I30" s="2942" t="s">
        <v>3173</v>
      </c>
      <c r="J30" s="2942" t="s">
        <v>3174</v>
      </c>
      <c r="K30" s="2942">
        <v>8500</v>
      </c>
      <c r="L30" s="2942">
        <v>1140.24</v>
      </c>
      <c r="M30" s="2942">
        <v>0</v>
      </c>
      <c r="N30" s="2942" t="s">
        <v>3142</v>
      </c>
      <c r="P30" s="2957">
        <f t="shared" si="0"/>
        <v>1140</v>
      </c>
      <c r="R30" s="2957">
        <f t="shared" si="1"/>
        <v>4561</v>
      </c>
    </row>
    <row r="31" spans="1:18">
      <c r="A31" s="2942" t="s">
        <v>3177</v>
      </c>
      <c r="B31" s="2942" t="s">
        <v>3099</v>
      </c>
      <c r="C31" s="2942" t="s">
        <v>3100</v>
      </c>
      <c r="D31" s="2942" t="s">
        <v>3101</v>
      </c>
      <c r="E31" s="2942" t="s">
        <v>3108</v>
      </c>
      <c r="F31" s="2942">
        <v>5191</v>
      </c>
      <c r="G31" s="2942">
        <v>10382</v>
      </c>
      <c r="H31" s="2942" t="s">
        <v>3178</v>
      </c>
      <c r="I31" s="2942" t="s">
        <v>3179</v>
      </c>
      <c r="J31" s="2942" t="s">
        <v>3180</v>
      </c>
      <c r="K31" s="2942">
        <v>635</v>
      </c>
      <c r="L31" s="2942">
        <v>611.63</v>
      </c>
      <c r="M31" s="2942">
        <v>0</v>
      </c>
      <c r="N31" s="2942" t="s">
        <v>3142</v>
      </c>
      <c r="P31" s="2957">
        <f t="shared" si="0"/>
        <v>612</v>
      </c>
      <c r="R31" s="2957">
        <f t="shared" si="1"/>
        <v>1223</v>
      </c>
    </row>
    <row r="32" spans="1:18">
      <c r="A32" s="2942" t="s">
        <v>3181</v>
      </c>
      <c r="B32" s="2942" t="s">
        <v>3099</v>
      </c>
      <c r="C32" s="2942" t="s">
        <v>3100</v>
      </c>
      <c r="D32" s="2942" t="s">
        <v>3101</v>
      </c>
      <c r="E32" s="2942" t="s">
        <v>3138</v>
      </c>
      <c r="F32" s="2942">
        <v>9792.9</v>
      </c>
      <c r="G32" s="2942">
        <v>34275.15</v>
      </c>
      <c r="H32" s="2942" t="s">
        <v>3182</v>
      </c>
      <c r="I32" s="2942" t="s">
        <v>3179</v>
      </c>
      <c r="J32" s="2942" t="s">
        <v>3183</v>
      </c>
      <c r="K32" s="2942">
        <v>1720</v>
      </c>
      <c r="L32" s="2942">
        <v>501.81</v>
      </c>
      <c r="M32" s="2942">
        <v>0</v>
      </c>
      <c r="N32" s="2942" t="s">
        <v>3142</v>
      </c>
      <c r="P32" s="2957">
        <f t="shared" si="0"/>
        <v>502</v>
      </c>
      <c r="R32" s="2957">
        <f t="shared" si="1"/>
        <v>1756</v>
      </c>
    </row>
    <row r="33" spans="1:20" s="2959" customFormat="1">
      <c r="A33" s="2960" t="s">
        <v>3231</v>
      </c>
      <c r="B33" s="2958" t="s">
        <v>3099</v>
      </c>
      <c r="C33" s="2958" t="s">
        <v>3100</v>
      </c>
      <c r="D33" s="2958" t="s">
        <v>3101</v>
      </c>
      <c r="E33" s="2958" t="s">
        <v>3184</v>
      </c>
      <c r="F33" s="2958">
        <v>32601.5</v>
      </c>
      <c r="G33" s="2958">
        <v>65203</v>
      </c>
      <c r="H33" s="2958" t="s">
        <v>3178</v>
      </c>
      <c r="I33" s="2958" t="s">
        <v>3185</v>
      </c>
      <c r="J33" s="2960" t="s">
        <v>3230</v>
      </c>
      <c r="K33" s="2958">
        <v>6850</v>
      </c>
      <c r="L33" s="2958">
        <v>1050.56</v>
      </c>
      <c r="M33" s="2958">
        <v>0</v>
      </c>
      <c r="N33" s="2958" t="s">
        <v>3142</v>
      </c>
      <c r="P33" s="2959">
        <f t="shared" si="0"/>
        <v>1051</v>
      </c>
      <c r="R33" s="2959">
        <f t="shared" si="1"/>
        <v>2101</v>
      </c>
    </row>
    <row r="34" spans="1:20">
      <c r="A34" s="2945" t="s">
        <v>3219</v>
      </c>
      <c r="B34" s="2942" t="s">
        <v>3099</v>
      </c>
      <c r="C34" s="2942" t="s">
        <v>3100</v>
      </c>
      <c r="D34" s="2942" t="s">
        <v>3101</v>
      </c>
      <c r="E34" s="2942" t="s">
        <v>3154</v>
      </c>
      <c r="F34" s="2942">
        <v>47282.8</v>
      </c>
      <c r="G34" s="2942">
        <v>141848.4</v>
      </c>
      <c r="H34" s="2942" t="s">
        <v>3187</v>
      </c>
      <c r="I34" s="2942" t="s">
        <v>3188</v>
      </c>
      <c r="J34" s="2942" t="s">
        <v>3189</v>
      </c>
      <c r="K34" s="2942">
        <v>28450</v>
      </c>
      <c r="L34" s="2942">
        <v>2005.66</v>
      </c>
      <c r="M34" s="2942">
        <v>0</v>
      </c>
      <c r="N34" s="2942" t="s">
        <v>3142</v>
      </c>
      <c r="P34" s="2957">
        <f t="shared" si="0"/>
        <v>2006</v>
      </c>
      <c r="R34" s="2957">
        <f t="shared" si="1"/>
        <v>6017</v>
      </c>
    </row>
    <row r="35" spans="1:20" hidden="1">
      <c r="A35" s="2945" t="s">
        <v>3220</v>
      </c>
      <c r="B35" s="2942" t="s">
        <v>3099</v>
      </c>
      <c r="C35" s="2942" t="s">
        <v>3100</v>
      </c>
      <c r="D35" s="2942" t="s">
        <v>3101</v>
      </c>
      <c r="E35" s="2942" t="s">
        <v>3190</v>
      </c>
      <c r="F35" s="2942">
        <v>4406.3999999999996</v>
      </c>
      <c r="G35" s="2942">
        <v>6609.6</v>
      </c>
      <c r="H35" s="2942" t="s">
        <v>3139</v>
      </c>
      <c r="I35" s="2942" t="s">
        <v>3191</v>
      </c>
      <c r="J35" s="2942" t="s">
        <v>3192</v>
      </c>
      <c r="K35" s="2942">
        <v>500</v>
      </c>
      <c r="L35" s="2942">
        <v>756.48</v>
      </c>
      <c r="M35" s="2942">
        <v>0</v>
      </c>
      <c r="N35" s="2942" t="s">
        <v>3142</v>
      </c>
      <c r="P35" s="2957">
        <f t="shared" si="0"/>
        <v>756</v>
      </c>
      <c r="R35" s="2957">
        <f t="shared" si="1"/>
        <v>1135</v>
      </c>
    </row>
    <row r="36" spans="1:20">
      <c r="A36" s="2945" t="s">
        <v>3221</v>
      </c>
      <c r="B36" s="2942" t="s">
        <v>3099</v>
      </c>
      <c r="C36" s="2942" t="s">
        <v>3100</v>
      </c>
      <c r="D36" s="2942" t="s">
        <v>3101</v>
      </c>
      <c r="E36" s="2942" t="s">
        <v>3108</v>
      </c>
      <c r="F36" s="2942">
        <v>5864.8</v>
      </c>
      <c r="G36" s="2942">
        <v>17594.400000000001</v>
      </c>
      <c r="H36" s="2942" t="s">
        <v>3193</v>
      </c>
      <c r="I36" s="2942" t="s">
        <v>3191</v>
      </c>
      <c r="J36" s="2942" t="s">
        <v>3194</v>
      </c>
      <c r="K36" s="2942">
        <v>1250</v>
      </c>
      <c r="L36" s="2942">
        <v>710.45</v>
      </c>
      <c r="M36" s="2942">
        <v>0</v>
      </c>
      <c r="N36" s="2942" t="s">
        <v>3142</v>
      </c>
      <c r="P36" s="2957">
        <f t="shared" si="0"/>
        <v>710</v>
      </c>
      <c r="R36" s="2957">
        <f t="shared" si="1"/>
        <v>2131</v>
      </c>
    </row>
    <row r="37" spans="1:20">
      <c r="A37" s="2945" t="s">
        <v>3222</v>
      </c>
      <c r="B37" s="2942" t="s">
        <v>3099</v>
      </c>
      <c r="C37" s="2942" t="s">
        <v>3100</v>
      </c>
      <c r="D37" s="2942" t="s">
        <v>3101</v>
      </c>
      <c r="E37" s="2942" t="s">
        <v>3108</v>
      </c>
      <c r="F37" s="2942">
        <v>43508.7</v>
      </c>
      <c r="G37" s="2942">
        <v>43508.7</v>
      </c>
      <c r="H37" s="2942" t="s">
        <v>3195</v>
      </c>
      <c r="I37" s="2942" t="s">
        <v>3196</v>
      </c>
      <c r="J37" s="2942" t="s">
        <v>3197</v>
      </c>
      <c r="K37" s="2942">
        <v>4000</v>
      </c>
      <c r="L37" s="2942">
        <v>919.36</v>
      </c>
      <c r="M37" s="2942">
        <v>0</v>
      </c>
      <c r="N37" s="2942" t="s">
        <v>3142</v>
      </c>
      <c r="P37" s="2957">
        <f t="shared" si="0"/>
        <v>919</v>
      </c>
      <c r="R37" s="2957">
        <f t="shared" si="1"/>
        <v>919</v>
      </c>
    </row>
    <row r="38" spans="1:20" s="2944" customFormat="1">
      <c r="A38" s="2955" t="s">
        <v>3255</v>
      </c>
      <c r="B38" s="2943" t="s">
        <v>3099</v>
      </c>
      <c r="C38" s="2943" t="s">
        <v>3100</v>
      </c>
      <c r="D38" s="2943" t="s">
        <v>3101</v>
      </c>
      <c r="E38" s="2943" t="s">
        <v>3108</v>
      </c>
      <c r="F38" s="2943">
        <v>12516.1</v>
      </c>
      <c r="G38" s="2943">
        <v>31290.25</v>
      </c>
      <c r="H38" s="2943" t="s">
        <v>3199</v>
      </c>
      <c r="I38" s="2943" t="s">
        <v>3196</v>
      </c>
      <c r="J38" s="2955" t="s">
        <v>3259</v>
      </c>
      <c r="K38" s="2943">
        <v>3200</v>
      </c>
      <c r="L38" s="2943">
        <v>1022.67</v>
      </c>
      <c r="M38" s="2943">
        <v>0</v>
      </c>
      <c r="N38" s="2943" t="s">
        <v>3142</v>
      </c>
      <c r="P38" s="2944">
        <f t="shared" si="0"/>
        <v>1023</v>
      </c>
      <c r="R38" s="2944">
        <f t="shared" si="1"/>
        <v>2557</v>
      </c>
      <c r="T38" s="2965" t="s">
        <v>3260</v>
      </c>
    </row>
    <row r="39" spans="1:20" s="2963" customFormat="1">
      <c r="A39" s="2962" t="s">
        <v>3198</v>
      </c>
      <c r="B39" s="2962" t="s">
        <v>3099</v>
      </c>
      <c r="C39" s="2962" t="s">
        <v>3100</v>
      </c>
      <c r="D39" s="2962" t="s">
        <v>3101</v>
      </c>
      <c r="E39" s="2962" t="s">
        <v>3108</v>
      </c>
      <c r="F39" s="2962">
        <v>5153.8999999999996</v>
      </c>
      <c r="G39" s="2962">
        <v>12884.75</v>
      </c>
      <c r="H39" s="2962" t="s">
        <v>3199</v>
      </c>
      <c r="I39" s="2962" t="s">
        <v>3196</v>
      </c>
      <c r="J39" s="2962" t="s">
        <v>3200</v>
      </c>
      <c r="K39" s="2962">
        <v>1320</v>
      </c>
      <c r="L39" s="2962">
        <v>1024.47</v>
      </c>
      <c r="M39" s="2962">
        <v>0</v>
      </c>
      <c r="N39" s="2962" t="s">
        <v>3142</v>
      </c>
      <c r="P39" s="2963">
        <f t="shared" si="0"/>
        <v>1024</v>
      </c>
      <c r="R39" s="2963">
        <f t="shared" si="1"/>
        <v>2561</v>
      </c>
    </row>
    <row r="40" spans="1:20">
      <c r="A40" s="2942" t="s">
        <v>3198</v>
      </c>
      <c r="B40" s="2942" t="s">
        <v>3099</v>
      </c>
      <c r="C40" s="2942" t="s">
        <v>3100</v>
      </c>
      <c r="D40" s="2942" t="s">
        <v>3101</v>
      </c>
      <c r="E40" s="2942" t="s">
        <v>3108</v>
      </c>
      <c r="F40" s="2942">
        <v>6111.9</v>
      </c>
      <c r="G40" s="2942">
        <v>15279.75</v>
      </c>
      <c r="H40" s="2942" t="s">
        <v>3199</v>
      </c>
      <c r="I40" s="2942" t="s">
        <v>3196</v>
      </c>
      <c r="J40" s="2942" t="s">
        <v>3200</v>
      </c>
      <c r="K40" s="2942">
        <v>1560</v>
      </c>
      <c r="L40" s="2942">
        <v>1020.96</v>
      </c>
      <c r="M40" s="2942">
        <v>0</v>
      </c>
      <c r="N40" s="2942" t="s">
        <v>3142</v>
      </c>
      <c r="P40" s="2957">
        <f t="shared" si="0"/>
        <v>1021</v>
      </c>
      <c r="R40" s="2957">
        <f t="shared" si="1"/>
        <v>2552</v>
      </c>
    </row>
    <row r="41" spans="1:20">
      <c r="A41" s="2945" t="s">
        <v>3223</v>
      </c>
      <c r="B41" s="2942" t="s">
        <v>3099</v>
      </c>
      <c r="C41" s="2942" t="s">
        <v>3100</v>
      </c>
      <c r="D41" s="2942" t="s">
        <v>3101</v>
      </c>
      <c r="E41" s="2942" t="s">
        <v>3202</v>
      </c>
      <c r="F41" s="2942">
        <v>7556</v>
      </c>
      <c r="G41" s="2942">
        <v>7556</v>
      </c>
      <c r="H41" s="2942" t="s">
        <v>3203</v>
      </c>
      <c r="I41" s="2942" t="s">
        <v>3204</v>
      </c>
      <c r="J41" s="2942" t="s">
        <v>3205</v>
      </c>
      <c r="K41" s="2942">
        <v>693</v>
      </c>
      <c r="L41" s="2942">
        <v>917.14</v>
      </c>
      <c r="M41" s="2942">
        <v>0</v>
      </c>
      <c r="N41" s="2942" t="s">
        <v>3142</v>
      </c>
      <c r="P41" s="2957">
        <f t="shared" si="0"/>
        <v>917</v>
      </c>
      <c r="R41" s="2957">
        <f t="shared" si="1"/>
        <v>917</v>
      </c>
    </row>
    <row r="42" spans="1:20">
      <c r="A42" s="2942" t="s">
        <v>3201</v>
      </c>
      <c r="B42" s="2942" t="s">
        <v>3099</v>
      </c>
      <c r="C42" s="2942" t="s">
        <v>3100</v>
      </c>
      <c r="D42" s="2942" t="s">
        <v>3101</v>
      </c>
      <c r="E42" s="2942" t="s">
        <v>3108</v>
      </c>
      <c r="F42" s="2942">
        <v>4545</v>
      </c>
      <c r="G42" s="2942">
        <v>6817.5</v>
      </c>
      <c r="H42" s="2942" t="s">
        <v>3206</v>
      </c>
      <c r="I42" s="2942" t="s">
        <v>3204</v>
      </c>
      <c r="J42" s="2942" t="s">
        <v>3205</v>
      </c>
      <c r="K42" s="2942">
        <v>682</v>
      </c>
      <c r="L42" s="2942">
        <v>1000.37</v>
      </c>
      <c r="M42" s="2942">
        <v>0</v>
      </c>
      <c r="N42" s="2942" t="s">
        <v>3142</v>
      </c>
      <c r="P42" s="2957">
        <f t="shared" si="0"/>
        <v>1000</v>
      </c>
      <c r="R42" s="2957">
        <f t="shared" si="1"/>
        <v>1501</v>
      </c>
    </row>
    <row r="43" spans="1:20" s="2959" customFormat="1">
      <c r="A43" s="2958" t="s">
        <v>3207</v>
      </c>
      <c r="B43" s="2958" t="s">
        <v>3099</v>
      </c>
      <c r="C43" s="2958" t="s">
        <v>3100</v>
      </c>
      <c r="D43" s="2958" t="s">
        <v>3101</v>
      </c>
      <c r="E43" s="2958" t="s">
        <v>3208</v>
      </c>
      <c r="F43" s="2958">
        <v>53299.9</v>
      </c>
      <c r="G43" s="2958">
        <v>133249.79999999999</v>
      </c>
      <c r="H43" s="2958" t="s">
        <v>3144</v>
      </c>
      <c r="I43" s="2958" t="s">
        <v>3209</v>
      </c>
      <c r="J43" s="2958" t="s">
        <v>3186</v>
      </c>
      <c r="K43" s="2958">
        <v>16000</v>
      </c>
      <c r="L43" s="2958">
        <v>1200.75</v>
      </c>
      <c r="M43" s="2958">
        <v>0</v>
      </c>
      <c r="N43" s="2958" t="s">
        <v>3142</v>
      </c>
      <c r="P43" s="2959">
        <f t="shared" si="0"/>
        <v>1201</v>
      </c>
      <c r="R43" s="2959">
        <f t="shared" si="1"/>
        <v>3002</v>
      </c>
    </row>
    <row r="44" spans="1:20">
      <c r="A44" s="2945" t="s">
        <v>3224</v>
      </c>
      <c r="B44" s="2942" t="s">
        <v>3099</v>
      </c>
      <c r="C44" s="2942" t="s">
        <v>3100</v>
      </c>
      <c r="D44" s="2942" t="s">
        <v>3101</v>
      </c>
      <c r="E44" s="2942" t="s">
        <v>3138</v>
      </c>
      <c r="F44" s="2942">
        <v>3039.4</v>
      </c>
      <c r="G44" s="2942">
        <v>9118.2000000000007</v>
      </c>
      <c r="H44" s="2942" t="s">
        <v>3187</v>
      </c>
      <c r="I44" s="2942" t="s">
        <v>3209</v>
      </c>
      <c r="J44" s="2942" t="s">
        <v>3210</v>
      </c>
      <c r="K44" s="2942">
        <v>411</v>
      </c>
      <c r="L44" s="2942">
        <v>450.75</v>
      </c>
      <c r="M44" s="2942">
        <v>0</v>
      </c>
      <c r="N44" s="2942" t="s">
        <v>3142</v>
      </c>
      <c r="P44" s="2957">
        <f t="shared" si="0"/>
        <v>451</v>
      </c>
      <c r="R44" s="2957">
        <f t="shared" si="1"/>
        <v>1352</v>
      </c>
    </row>
    <row r="45" spans="1:20">
      <c r="A45" s="2942" t="s">
        <v>3211</v>
      </c>
      <c r="B45" s="2942" t="s">
        <v>3099</v>
      </c>
      <c r="C45" s="2942" t="s">
        <v>3100</v>
      </c>
      <c r="D45" s="2942" t="s">
        <v>3101</v>
      </c>
      <c r="E45" s="2942" t="s">
        <v>3108</v>
      </c>
      <c r="F45" s="2942">
        <v>47131.7</v>
      </c>
      <c r="G45" s="2942">
        <v>94263.4</v>
      </c>
      <c r="H45" s="2942" t="s">
        <v>3178</v>
      </c>
      <c r="I45" s="2942" t="s">
        <v>3209</v>
      </c>
      <c r="J45" s="2942" t="s">
        <v>3186</v>
      </c>
      <c r="K45" s="2942">
        <v>14150</v>
      </c>
      <c r="L45" s="2942">
        <v>1501.1</v>
      </c>
      <c r="M45" s="2942">
        <v>0</v>
      </c>
      <c r="N45" s="2942" t="s">
        <v>3142</v>
      </c>
      <c r="P45" s="2957">
        <f t="shared" si="0"/>
        <v>1501</v>
      </c>
      <c r="R45" s="2957">
        <f t="shared" si="1"/>
        <v>3002</v>
      </c>
    </row>
    <row r="46" spans="1:20" s="2944" customFormat="1">
      <c r="A46" s="2955" t="s">
        <v>3252</v>
      </c>
      <c r="B46" s="2943" t="s">
        <v>3099</v>
      </c>
      <c r="C46" s="2943" t="s">
        <v>3100</v>
      </c>
      <c r="D46" s="2943" t="s">
        <v>3101</v>
      </c>
      <c r="E46" s="2943" t="s">
        <v>3208</v>
      </c>
      <c r="F46" s="2943">
        <v>36815.1</v>
      </c>
      <c r="G46" s="2943">
        <v>92037.75</v>
      </c>
      <c r="H46" s="2943" t="s">
        <v>3144</v>
      </c>
      <c r="I46" s="2943" t="s">
        <v>3209</v>
      </c>
      <c r="J46" s="2943" t="s">
        <v>3186</v>
      </c>
      <c r="K46" s="2943">
        <v>11050</v>
      </c>
      <c r="L46" s="2943">
        <v>1200.58</v>
      </c>
      <c r="M46" s="2943">
        <v>0</v>
      </c>
      <c r="N46" s="2943" t="s">
        <v>3142</v>
      </c>
      <c r="P46" s="2957">
        <f t="shared" si="0"/>
        <v>1201</v>
      </c>
      <c r="R46" s="2957">
        <f t="shared" si="1"/>
        <v>3001</v>
      </c>
    </row>
    <row r="47" spans="1:20">
      <c r="A47" s="2942" t="s">
        <v>3212</v>
      </c>
      <c r="B47" s="2942" t="s">
        <v>3099</v>
      </c>
      <c r="C47" s="2942" t="s">
        <v>3100</v>
      </c>
      <c r="D47" s="2942" t="s">
        <v>3101</v>
      </c>
      <c r="E47" s="2942" t="s">
        <v>3138</v>
      </c>
      <c r="F47" s="2942">
        <v>6642.1</v>
      </c>
      <c r="G47" s="2942">
        <v>13284.2</v>
      </c>
      <c r="H47" s="2942" t="s">
        <v>3178</v>
      </c>
      <c r="I47" s="2942" t="s">
        <v>3209</v>
      </c>
      <c r="J47" s="2942" t="s">
        <v>3213</v>
      </c>
      <c r="K47" s="2942">
        <v>698</v>
      </c>
      <c r="L47" s="2942">
        <v>525.44000000000005</v>
      </c>
      <c r="M47" s="2942">
        <v>0</v>
      </c>
      <c r="N47" s="2942" t="s">
        <v>3142</v>
      </c>
      <c r="P47" s="2957">
        <f t="shared" si="0"/>
        <v>525</v>
      </c>
      <c r="R47" s="2957">
        <f t="shared" si="1"/>
        <v>1051</v>
      </c>
    </row>
    <row r="48" spans="1:20">
      <c r="A48" s="2942" t="s">
        <v>3214</v>
      </c>
      <c r="B48" s="2942" t="s">
        <v>3099</v>
      </c>
      <c r="C48" s="2942" t="s">
        <v>3100</v>
      </c>
      <c r="D48" s="2942" t="s">
        <v>3101</v>
      </c>
      <c r="E48" s="2942" t="s">
        <v>3208</v>
      </c>
      <c r="F48" s="2942">
        <v>24535.599999999999</v>
      </c>
      <c r="G48" s="2942">
        <v>61339</v>
      </c>
      <c r="H48" s="2942" t="s">
        <v>3144</v>
      </c>
      <c r="I48" s="2942" t="s">
        <v>3209</v>
      </c>
      <c r="J48" s="2942" t="s">
        <v>3186</v>
      </c>
      <c r="K48" s="2942">
        <v>7370</v>
      </c>
      <c r="L48" s="2942">
        <v>1201.51</v>
      </c>
      <c r="M48" s="2942">
        <v>0</v>
      </c>
      <c r="N48" s="2942" t="s">
        <v>3142</v>
      </c>
      <c r="P48" s="2957">
        <f t="shared" si="0"/>
        <v>1202</v>
      </c>
      <c r="R48" s="2957">
        <f t="shared" si="1"/>
        <v>3004</v>
      </c>
    </row>
    <row r="49" spans="1:18">
      <c r="A49" s="2942" t="s">
        <v>3215</v>
      </c>
      <c r="B49" s="2942" t="s">
        <v>3099</v>
      </c>
      <c r="C49" s="2942" t="s">
        <v>3100</v>
      </c>
      <c r="D49" s="2942" t="s">
        <v>3101</v>
      </c>
      <c r="E49" s="2942" t="s">
        <v>3138</v>
      </c>
      <c r="F49" s="2942">
        <v>5721.8</v>
      </c>
      <c r="G49" s="2942">
        <v>12015.78</v>
      </c>
      <c r="H49" s="2942" t="s">
        <v>3216</v>
      </c>
      <c r="I49" s="2942" t="s">
        <v>3217</v>
      </c>
      <c r="J49" s="2942" t="s">
        <v>3218</v>
      </c>
      <c r="K49" s="2942">
        <v>756</v>
      </c>
      <c r="L49" s="2942">
        <v>629.16</v>
      </c>
      <c r="M49" s="2942">
        <v>0</v>
      </c>
      <c r="N49" s="2942" t="s">
        <v>3142</v>
      </c>
      <c r="P49" s="2957">
        <f t="shared" si="0"/>
        <v>629</v>
      </c>
      <c r="R49" s="2957">
        <f t="shared" si="1"/>
        <v>1321</v>
      </c>
    </row>
  </sheetData>
  <phoneticPr fontId="143" type="noConversion"/>
  <hyperlinks>
    <hyperlink ref="T38"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2" workbookViewId="0">
      <selection activeCell="P29" sqref="P29"/>
    </sheetView>
  </sheetViews>
  <sheetFormatPr defaultRowHeight="13.5"/>
  <sheetData/>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workbookViewId="0">
      <selection activeCell="C6" sqref="C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13683</v>
      </c>
      <c r="C2" s="2564" t="s">
        <v>2518</v>
      </c>
      <c r="D2" s="2565" t="s">
        <v>2519</v>
      </c>
      <c r="E2" s="2566">
        <f>SUM(E6:E13)</f>
        <v>26215.040000000001</v>
      </c>
    </row>
    <row r="3" spans="1:6" ht="15.75">
      <c r="A3" s="2562" t="s">
        <v>1396</v>
      </c>
      <c r="B3" s="2563">
        <f ca="1">ROUND(B2*10000/E2,0)</f>
        <v>5220</v>
      </c>
      <c r="C3" s="2564" t="s">
        <v>2526</v>
      </c>
      <c r="D3" s="2567"/>
      <c r="E3" s="2568"/>
    </row>
    <row r="4" spans="1:6" ht="15.75">
      <c r="A4" s="2569"/>
      <c r="B4" s="2567"/>
      <c r="C4" s="2567"/>
      <c r="D4" s="2567"/>
      <c r="E4" s="2568"/>
    </row>
    <row r="5" spans="1:6" ht="15">
      <c r="A5" s="2570" t="s">
        <v>2520</v>
      </c>
      <c r="B5" s="3207" t="s">
        <v>2521</v>
      </c>
      <c r="C5" s="3207"/>
      <c r="D5" s="2571"/>
      <c r="E5" s="2572" t="s">
        <v>2522</v>
      </c>
      <c r="F5" s="2573" t="s">
        <v>2523</v>
      </c>
    </row>
    <row r="6" spans="1:6">
      <c r="A6" s="2574" t="str">
        <f>'数据-取费表'!AN6</f>
        <v>收益法（2幢）</v>
      </c>
      <c r="B6" s="2573">
        <f ca="1">IF(F6="是",'数据-取费表'!AO6,0)</f>
        <v>217</v>
      </c>
      <c r="C6" s="2564" t="s">
        <v>2518</v>
      </c>
      <c r="D6" s="2567"/>
      <c r="E6" s="2575">
        <f>IF(OR(A6=0,F6="否"),0,'数据-取费表'!K6+'数据-取费表'!S6)</f>
        <v>546.41</v>
      </c>
      <c r="F6" s="2576" t="s">
        <v>2524</v>
      </c>
    </row>
    <row r="7" spans="1:6">
      <c r="A7" s="2574" t="str">
        <f>'数据-取费表'!AN7</f>
        <v>收益法（12幢）</v>
      </c>
      <c r="B7" s="2573">
        <f ca="1">IF(F7="是",'数据-取费表'!AO7,0)</f>
        <v>7075</v>
      </c>
      <c r="C7" s="2564" t="s">
        <v>2518</v>
      </c>
      <c r="D7" s="2567"/>
      <c r="E7" s="2575">
        <f>IF(OR(A7=0,F7="否"),0,'数据-取费表'!K7+'数据-取费表'!S7)</f>
        <v>13500.24</v>
      </c>
      <c r="F7" s="2576" t="s">
        <v>2524</v>
      </c>
    </row>
    <row r="8" spans="1:6">
      <c r="A8" s="2574" t="str">
        <f>'数据-取费表'!AN8</f>
        <v>收益法（13幢）</v>
      </c>
      <c r="B8" s="2573">
        <f ca="1">IF(F8="是",'数据-取费表'!AO8,0)</f>
        <v>6391</v>
      </c>
      <c r="C8" s="2564" t="s">
        <v>2518</v>
      </c>
      <c r="D8" s="2567"/>
      <c r="E8" s="2575">
        <f>IF(OR(A8=0,F8="否"),0,'数据-取费表'!K8+'数据-取费表'!S8)</f>
        <v>12168.39</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0" sqref="J5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3069</v>
      </c>
      <c r="D1" s="1819" t="s">
        <v>70</v>
      </c>
      <c r="E1" s="1820" t="s">
        <v>1388</v>
      </c>
      <c r="F1" s="1282">
        <f ca="1">J53</f>
        <v>25.52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217</v>
      </c>
      <c r="C2" s="1844" t="s">
        <v>1518</v>
      </c>
      <c r="D2" s="1844"/>
      <c r="E2" s="1845"/>
      <c r="F2" s="1846"/>
      <c r="G2" s="1847"/>
      <c r="H2" s="1839"/>
      <c r="I2" s="1839"/>
      <c r="J2" s="1839"/>
      <c r="K2" s="1840"/>
      <c r="L2" s="1839"/>
      <c r="M2" s="1839"/>
    </row>
    <row r="3" spans="1:37" ht="18" customHeight="1" thickBot="1">
      <c r="A3" s="1848" t="s">
        <v>1519</v>
      </c>
      <c r="B3" s="1849">
        <f ca="1">IF(ISERROR(B2*10000/F43),0,ROUND(B2*10000/F43,0))</f>
        <v>3971</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1">
        <f ca="1">C6+C10+C12</f>
        <v>14</v>
      </c>
      <c r="D5" s="1821" t="s">
        <v>1403</v>
      </c>
      <c r="E5" s="1292"/>
      <c r="F5" s="1293"/>
      <c r="G5" s="1850"/>
      <c r="H5" s="344">
        <v>1</v>
      </c>
      <c r="I5" s="345" t="s">
        <v>1402</v>
      </c>
      <c r="J5" s="1291">
        <f ca="1">J6+J10+J12</f>
        <v>0</v>
      </c>
      <c r="K5" s="1821" t="s">
        <v>1403</v>
      </c>
      <c r="L5" s="1292"/>
      <c r="M5" s="1293"/>
    </row>
    <row r="6" spans="1:37" ht="18" customHeight="1">
      <c r="A6" s="1290" t="s">
        <v>1035</v>
      </c>
      <c r="B6" s="3159" t="s">
        <v>1404</v>
      </c>
      <c r="C6" s="1295">
        <f ca="1">ROUND(F6*F8*F7*(1-F9)/10000,0)</f>
        <v>14</v>
      </c>
      <c r="D6" s="164" t="s">
        <v>3032</v>
      </c>
      <c r="E6" s="347" t="s">
        <v>1406</v>
      </c>
      <c r="F6" s="348">
        <f ca="1">INDIRECT("'数据-取费表'!u"&amp;$G$1)</f>
        <v>0.8</v>
      </c>
      <c r="G6" s="1850"/>
      <c r="H6" s="1290" t="s">
        <v>1035</v>
      </c>
      <c r="I6" s="3159" t="s">
        <v>1404</v>
      </c>
      <c r="J6" s="346">
        <f ca="1">ROUND(M6*M8*M7*(1-M9)/10000,0)</f>
        <v>0</v>
      </c>
      <c r="K6" s="164" t="s">
        <v>3031</v>
      </c>
      <c r="L6" s="347" t="s">
        <v>1406</v>
      </c>
      <c r="M6" s="348">
        <f ca="1">INDIRECT("'数据-取费表'!z"&amp;$G$1)</f>
        <v>0</v>
      </c>
    </row>
    <row r="7" spans="1:37" ht="18" customHeight="1">
      <c r="A7" s="1294"/>
      <c r="B7" s="3160"/>
      <c r="C7" s="1296"/>
      <c r="D7" s="352"/>
      <c r="E7" s="1297" t="s">
        <v>1407</v>
      </c>
      <c r="F7" s="348">
        <f ca="1">IF(INDIRECT("'数据-取费表'!ah"&amp;$G$1)="",INDIRECT("'数据-取费表'!k"&amp;$G$1),INDIRECT("'数据-取费表'!ah"&amp;$G$1))</f>
        <v>546.41</v>
      </c>
      <c r="G7" s="1850"/>
      <c r="H7" s="349"/>
      <c r="I7" s="3160"/>
      <c r="J7" s="351"/>
      <c r="K7" s="352"/>
      <c r="L7" s="347" t="s">
        <v>1407</v>
      </c>
      <c r="M7" s="348">
        <f ca="1">F7</f>
        <v>546.41</v>
      </c>
    </row>
    <row r="8" spans="1:37" ht="18" customHeight="1">
      <c r="A8" s="349"/>
      <c r="B8" s="3160"/>
      <c r="C8" s="351"/>
      <c r="D8" s="352"/>
      <c r="E8" s="347" t="s">
        <v>1408</v>
      </c>
      <c r="F8" s="348">
        <f ca="1">INDIRECT("'数据-取费表'!ai"&amp;$G$1)</f>
        <v>365</v>
      </c>
      <c r="G8" s="1850"/>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0.1</v>
      </c>
      <c r="G9" s="1850"/>
      <c r="H9" s="349"/>
      <c r="I9" s="3161"/>
      <c r="J9" s="351"/>
      <c r="K9" s="352"/>
      <c r="L9" s="358" t="s">
        <v>1409</v>
      </c>
      <c r="M9" s="359">
        <f ca="1">INDIRECT("'数据-取费表'!ab"&amp;$G$1)</f>
        <v>0</v>
      </c>
    </row>
    <row r="10" spans="1:37" ht="18" customHeight="1">
      <c r="A10" s="1290" t="s">
        <v>1039</v>
      </c>
      <c r="B10" s="1822" t="s">
        <v>1410</v>
      </c>
      <c r="C10" s="361">
        <f ca="1">ROUND(IF(F10="押一",F6*F8*F7/12*F11,IF(F10="押二",F6*F8*F7/12*2*F11,IF(F10="押三",F6*F8*F7/12*3*F11,C11*F11)))/10000,0)</f>
        <v>0</v>
      </c>
      <c r="D10" s="1823" t="s">
        <v>3033</v>
      </c>
      <c r="E10" s="358" t="s">
        <v>1412</v>
      </c>
      <c r="F10" s="1365"/>
      <c r="G10" s="1850"/>
      <c r="H10" s="1290" t="s">
        <v>1039</v>
      </c>
      <c r="I10" s="1822" t="s">
        <v>1410</v>
      </c>
      <c r="J10" s="346">
        <f ca="1">ROUND(IF(M10="押一",M6*M8*M7/12*M11,IF(M10="押二",M6*M8*M7/12*2*M11,IF(M10="押三",M6*M8*M7/12*3*M11,J11*M11)))/10000,0)</f>
        <v>0</v>
      </c>
      <c r="K10" s="1823" t="s">
        <v>3034</v>
      </c>
      <c r="L10" s="358" t="s">
        <v>1412</v>
      </c>
      <c r="M10" s="1365" t="s">
        <v>1413</v>
      </c>
    </row>
    <row r="11" spans="1:37" ht="18" customHeight="1">
      <c r="A11" s="353"/>
      <c r="B11" s="1824" t="s">
        <v>1389</v>
      </c>
      <c r="C11" s="1177"/>
      <c r="D11" s="1825"/>
      <c r="E11" s="358" t="s">
        <v>1414</v>
      </c>
      <c r="F11" s="359">
        <f ca="1">'数据-取费表'!B39</f>
        <v>1.4999999999999999E-2</v>
      </c>
      <c r="G11" s="1850"/>
      <c r="H11" s="1298"/>
      <c r="I11" s="1824" t="s">
        <v>1389</v>
      </c>
      <c r="J11" s="1177"/>
      <c r="K11" s="748"/>
      <c r="L11" s="358" t="s">
        <v>1414</v>
      </c>
      <c r="M11" s="1055">
        <f ca="1">'数据-取费表'!B39</f>
        <v>1.4999999999999999E-2</v>
      </c>
    </row>
    <row r="12" spans="1:37" ht="18" customHeight="1" thickBot="1">
      <c r="A12" s="1332" t="s">
        <v>1075</v>
      </c>
      <c r="B12" s="1826" t="s">
        <v>1415</v>
      </c>
      <c r="C12" s="1333"/>
      <c r="D12" s="1334"/>
      <c r="E12" s="1339"/>
      <c r="F12" s="1335"/>
      <c r="G12" s="1850"/>
      <c r="H12" s="1332" t="s">
        <v>1075</v>
      </c>
      <c r="I12" s="1826" t="s">
        <v>1415</v>
      </c>
      <c r="J12" s="1333"/>
      <c r="K12" s="1347"/>
      <c r="L12" s="1339"/>
      <c r="M12" s="1348"/>
    </row>
    <row r="13" spans="1:37" ht="18" customHeight="1" thickTop="1">
      <c r="A13" s="1328">
        <v>2</v>
      </c>
      <c r="B13" s="1329" t="s">
        <v>1416</v>
      </c>
      <c r="C13" s="355">
        <f ca="1">ROUND(C29*F13,0)</f>
        <v>57</v>
      </c>
      <c r="D13" s="1330" t="s">
        <v>1417</v>
      </c>
      <c r="E13" s="1330" t="s">
        <v>1418</v>
      </c>
      <c r="F13" s="1331">
        <f ca="1">INDIRECT("'数据-取费表'!y"&amp;$G$1)</f>
        <v>0.76</v>
      </c>
      <c r="G13" s="1850"/>
      <c r="H13" s="1328">
        <v>2</v>
      </c>
      <c r="I13" s="1329" t="s">
        <v>1416</v>
      </c>
      <c r="J13" s="1289">
        <f ca="1">ROUND(J14*J15,0)</f>
        <v>0</v>
      </c>
      <c r="K13" s="1336" t="s">
        <v>1417</v>
      </c>
      <c r="L13" s="1851"/>
      <c r="M13" s="1852"/>
    </row>
    <row r="14" spans="1:37" ht="18" customHeight="1">
      <c r="A14" s="1200" t="s">
        <v>1034</v>
      </c>
      <c r="B14" s="347" t="s">
        <v>1419</v>
      </c>
      <c r="C14" s="363">
        <f ca="1">INDIRECT("'数据-取费表'!m"&amp;$G$1)+INDIRECT("'数据-取费表'!t"&amp;$G$1)</f>
        <v>44</v>
      </c>
      <c r="D14" s="1799" t="s">
        <v>1420</v>
      </c>
      <c r="E14" s="1793"/>
      <c r="F14" s="364"/>
      <c r="G14" s="1850"/>
      <c r="H14" s="1200" t="s">
        <v>1035</v>
      </c>
      <c r="I14" s="347" t="s">
        <v>1421</v>
      </c>
      <c r="J14" s="24">
        <f ca="1">C29</f>
        <v>75</v>
      </c>
      <c r="K14" s="15"/>
      <c r="L14" s="978"/>
      <c r="M14" s="979"/>
    </row>
    <row r="15" spans="1:37" s="1857" customFormat="1" ht="18" customHeight="1" thickBot="1">
      <c r="A15" s="1200" t="s">
        <v>1036</v>
      </c>
      <c r="B15" s="347" t="s">
        <v>1422</v>
      </c>
      <c r="C15" s="24">
        <f ca="1">ROUND(C14*F15,0)</f>
        <v>2</v>
      </c>
      <c r="D15" s="365" t="s">
        <v>1423</v>
      </c>
      <c r="E15" s="365" t="s">
        <v>1424</v>
      </c>
      <c r="F15" s="366">
        <f>'数据-取费表'!B33</f>
        <v>0.05</v>
      </c>
      <c r="G15" s="1853"/>
      <c r="H15" s="1338" t="s">
        <v>1039</v>
      </c>
      <c r="I15" s="1339" t="s">
        <v>1418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0"/>
      <c r="H16" s="1328" t="s">
        <v>1030</v>
      </c>
      <c r="I16" s="1329" t="s">
        <v>1426</v>
      </c>
      <c r="J16" s="355">
        <f ca="1">ROUND(J17+J22+J23+J24,0)</f>
        <v>2</v>
      </c>
      <c r="K16" s="1336" t="s">
        <v>1427</v>
      </c>
      <c r="L16" s="1337"/>
      <c r="M16" s="1293"/>
    </row>
    <row r="17" spans="1:37" s="1857" customFormat="1" ht="18" customHeight="1">
      <c r="A17" s="1200" t="s">
        <v>1391</v>
      </c>
      <c r="B17" s="347" t="s">
        <v>1428</v>
      </c>
      <c r="C17" s="24">
        <f ca="1">ROUND(F17*(F43+INDIRECT("'数据-取费表'!S"&amp;$G$1))/10000,0)</f>
        <v>11</v>
      </c>
      <c r="D17" s="347" t="s">
        <v>1429</v>
      </c>
      <c r="E17" s="347" t="s">
        <v>1430</v>
      </c>
      <c r="F17" s="26">
        <f>'数据-取费表'!B35</f>
        <v>200</v>
      </c>
      <c r="G17" s="1853"/>
      <c r="H17" s="1200" t="s">
        <v>1035</v>
      </c>
      <c r="I17" s="347" t="s">
        <v>1431</v>
      </c>
      <c r="J17" s="24">
        <f ca="1">ROUND(IF(项目基本情况!B11="自然人",J5*M17,J18+J19+J20),1)</f>
        <v>0.7</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7" t="s">
        <v>1434</v>
      </c>
      <c r="C18" s="24">
        <f ca="1">ROUND(C14*F18,0)</f>
        <v>1</v>
      </c>
      <c r="D18" s="347" t="s">
        <v>1423</v>
      </c>
      <c r="E18" s="347" t="s">
        <v>1424</v>
      </c>
      <c r="F18" s="367">
        <f>'数据-取费表'!B36</f>
        <v>1.4999999999999999E-2</v>
      </c>
      <c r="G18" s="1853"/>
      <c r="H18" s="1200" t="s">
        <v>1034</v>
      </c>
      <c r="I18" s="347" t="s">
        <v>1435</v>
      </c>
      <c r="J18" s="24">
        <f ca="1">ROUND(J5*M18/(1+'数据-取费表'!C42),2)</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1437</v>
      </c>
      <c r="C19" s="24">
        <f ca="1">SUM(C14:C18)</f>
        <v>58</v>
      </c>
      <c r="D19" s="139" t="s">
        <v>1438</v>
      </c>
      <c r="E19" s="1817"/>
      <c r="F19" s="26"/>
      <c r="G19" s="1850"/>
      <c r="H19" s="1200" t="s">
        <v>1036</v>
      </c>
      <c r="I19" s="347" t="s">
        <v>1439</v>
      </c>
      <c r="J19" s="24">
        <f ca="1">IF(K19="按租金收入计税",ROUND(J5*M19,2),ROUND(C29*M19*0.7,2))</f>
        <v>0.63</v>
      </c>
      <c r="K19" s="1827" t="s">
        <v>1440</v>
      </c>
      <c r="L19" s="347" t="s">
        <v>1424</v>
      </c>
      <c r="M19" s="367">
        <f>IF(K19="按租金收入计税",'数据-取费表'!B51,'数据-取费表'!B50)</f>
        <v>1.2E-2</v>
      </c>
    </row>
    <row r="20" spans="1:37" s="1857" customFormat="1" ht="18" customHeight="1">
      <c r="A20" s="1200" t="s">
        <v>1039</v>
      </c>
      <c r="B20" s="347" t="s">
        <v>1441</v>
      </c>
      <c r="C20" s="24">
        <f ca="1">ROUND(C19*F20,0)</f>
        <v>1</v>
      </c>
      <c r="D20" s="369" t="s">
        <v>1442</v>
      </c>
      <c r="E20" s="347" t="s">
        <v>1424</v>
      </c>
      <c r="F20" s="367">
        <f>'数据-取费表'!B37</f>
        <v>2.5000000000000001E-2</v>
      </c>
      <c r="G20" s="1853"/>
      <c r="H20" s="1200" t="s">
        <v>1390</v>
      </c>
      <c r="I20" s="164" t="s">
        <v>1443</v>
      </c>
      <c r="J20" s="25">
        <f ca="1">ROUND(M20*M21/10000,2)</f>
        <v>0.08</v>
      </c>
      <c r="K20" s="370" t="s">
        <v>1444</v>
      </c>
      <c r="L20" s="347" t="s">
        <v>1445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262.05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7" t="s">
        <v>1450</v>
      </c>
      <c r="C22" s="24"/>
      <c r="D22" s="139" t="str">
        <f>IF(F23&lt;=1,"单利计息。","复利计息。")&amp;"建造成本、管理费用、销售费用产生的利息。"</f>
        <v>复利计息。建造成本、管理费用、销售费用产生的利息。</v>
      </c>
      <c r="E22" s="1817"/>
      <c r="F22" s="26"/>
      <c r="G22" s="1850"/>
      <c r="H22" s="1200" t="s">
        <v>1039</v>
      </c>
      <c r="I22" s="347" t="s">
        <v>1451</v>
      </c>
      <c r="J22" s="24">
        <f ca="1">ROUND(J14*M22,1)</f>
        <v>1.1000000000000001</v>
      </c>
      <c r="K22" s="1797" t="s">
        <v>1452</v>
      </c>
      <c r="L22" s="347" t="s">
        <v>1424</v>
      </c>
      <c r="M22" s="374">
        <f ca="1">INDIRECT("'数据-取费表'!Ak"&amp;$G$1)</f>
        <v>1.4999999999999999E-2</v>
      </c>
    </row>
    <row r="23" spans="1:37" s="1857" customFormat="1" ht="18" customHeight="1">
      <c r="A23" s="1200" t="s">
        <v>1034</v>
      </c>
      <c r="B23" s="347" t="s">
        <v>1453</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1454</v>
      </c>
      <c r="F23" s="371">
        <f>'数据-取费表'!B20</f>
        <v>2</v>
      </c>
      <c r="G23" s="1853"/>
      <c r="H23" s="1200" t="s">
        <v>1075</v>
      </c>
      <c r="I23" s="347" t="s">
        <v>1455</v>
      </c>
      <c r="J23" s="24">
        <f ca="1">ROUND(J13*M23,1)</f>
        <v>0</v>
      </c>
      <c r="K23" s="1797"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3"/>
      <c r="H24" s="1338" t="s">
        <v>1394</v>
      </c>
      <c r="I24" s="1339" t="s">
        <v>1441</v>
      </c>
      <c r="J24" s="1340">
        <f ca="1">ROUND(J5*M24,1)</f>
        <v>0</v>
      </c>
      <c r="K24" s="1341" t="s">
        <v>1461</v>
      </c>
      <c r="L24" s="1339" t="s">
        <v>1457</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1462</v>
      </c>
      <c r="B25" s="347" t="s">
        <v>1463</v>
      </c>
      <c r="C25" s="24"/>
      <c r="D25" s="139" t="s">
        <v>1464</v>
      </c>
      <c r="E25" s="1817"/>
      <c r="F25" s="26"/>
      <c r="G25" s="1850"/>
      <c r="H25" s="1328" t="s">
        <v>1031</v>
      </c>
      <c r="I25" s="1343" t="s">
        <v>1465</v>
      </c>
      <c r="J25" s="355">
        <f ca="1">J5-J16</f>
        <v>-2</v>
      </c>
      <c r="K25" s="1344" t="s">
        <v>1466</v>
      </c>
      <c r="L25" s="1345"/>
      <c r="M25" s="1346"/>
    </row>
    <row r="26" spans="1:37">
      <c r="A26" s="1200" t="s">
        <v>1034</v>
      </c>
      <c r="B26" s="347" t="s">
        <v>1467</v>
      </c>
      <c r="C26" s="24">
        <f ca="1">ROUND((C19+C20)*F26,0)</f>
        <v>6</v>
      </c>
      <c r="D26" s="369" t="s">
        <v>1468</v>
      </c>
      <c r="E26" s="358" t="s">
        <v>1469</v>
      </c>
      <c r="F26" s="357">
        <f ca="1">INDIRECT("'数据-取费表'!q"&amp;$G$1)</f>
        <v>0.1</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3.0000000000000001E-3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0"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1480</v>
      </c>
      <c r="C29" s="1340">
        <f ca="1">ROUND((C19+C20+C23+C26)/(1-F21-C24-C27-C28),0)</f>
        <v>75</v>
      </c>
      <c r="D29" s="1341"/>
      <c r="E29" s="1339"/>
      <c r="F29" s="1342"/>
      <c r="G29" s="1853"/>
      <c r="H29" s="380" t="s">
        <v>1033</v>
      </c>
      <c r="I29" s="381" t="s">
        <v>1481</v>
      </c>
      <c r="J29" s="382">
        <f ca="1">ROUND(J26/(1+F40)^F41,0)</f>
        <v>0</v>
      </c>
      <c r="K29" s="383" t="s">
        <v>1482</v>
      </c>
      <c r="L29" s="384"/>
      <c r="M29" s="385">
        <f ca="1">INDIRECT("'数据-取费表'!k"&amp;$G$1)</f>
        <v>546.41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1426</v>
      </c>
      <c r="C30" s="355">
        <f ca="1">ROUND(C31+C36+C37+C38,0)</f>
        <v>3</v>
      </c>
      <c r="D30" s="1336" t="s">
        <v>1427</v>
      </c>
      <c r="E30" s="1337"/>
      <c r="F30" s="1293"/>
      <c r="G30" s="1850"/>
      <c r="H30" s="745"/>
      <c r="I30" s="746"/>
      <c r="J30" s="747"/>
      <c r="K30" s="748"/>
      <c r="L30" s="749"/>
      <c r="M30" s="750"/>
    </row>
    <row r="31" spans="1:37" ht="18" customHeight="1">
      <c r="A31" s="1200" t="s">
        <v>1035</v>
      </c>
      <c r="B31" s="347" t="s">
        <v>1431</v>
      </c>
      <c r="C31" s="24">
        <f ca="1">ROUND(IF(项目基本情况!B11="自然人",C5*F31,C32+C33+C34),1)</f>
        <v>1.5</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1435</v>
      </c>
      <c r="C32" s="24">
        <f ca="1">IF(项目基本情况!B11="自然人","——",ROUND(C5*F32/(1+'数据-取费表'!C42),2))</f>
        <v>0.75</v>
      </c>
      <c r="D32" s="1797" t="s">
        <v>1436</v>
      </c>
      <c r="E32" s="347" t="s">
        <v>1424</v>
      </c>
      <c r="F32" s="377">
        <f>'数据-取费表'!B41</f>
        <v>5.6000000000000001E-2</v>
      </c>
      <c r="G32" s="1850"/>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0.63</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0" t="s">
        <v>1390</v>
      </c>
      <c r="B34" s="164" t="s">
        <v>1443</v>
      </c>
      <c r="C34" s="25">
        <f ca="1">IF(项目基本情况!B11="自然人","——",ROUND(F34*F35/10000,2))</f>
        <v>0.08</v>
      </c>
      <c r="D34" s="370" t="s">
        <v>1444</v>
      </c>
      <c r="E34" s="347" t="s">
        <v>1445</v>
      </c>
      <c r="F34" s="371">
        <f>'数据-取费表'!B52</f>
        <v>3</v>
      </c>
      <c r="G34" s="1850"/>
      <c r="H34" s="745"/>
      <c r="I34" s="1859"/>
      <c r="J34" s="1860"/>
      <c r="K34" s="1862"/>
      <c r="L34" s="1863"/>
      <c r="M34" s="1863"/>
    </row>
    <row r="35" spans="1:18" ht="18" customHeight="1">
      <c r="A35" s="1352"/>
      <c r="B35" s="1350"/>
      <c r="C35" s="29"/>
      <c r="D35" s="373"/>
      <c r="E35" s="347" t="s">
        <v>1449</v>
      </c>
      <c r="F35" s="348">
        <f ca="1">INDIRECT("'数据-取费表'!r"&amp;$G$1)</f>
        <v>262.05</v>
      </c>
      <c r="G35" s="1850"/>
      <c r="H35" s="745"/>
      <c r="I35" s="1859"/>
      <c r="J35" s="1860"/>
      <c r="K35" s="1861"/>
      <c r="L35" s="1858"/>
      <c r="M35" s="1858"/>
    </row>
    <row r="36" spans="1:18" ht="18" customHeight="1">
      <c r="A36" s="1351" t="s">
        <v>1039</v>
      </c>
      <c r="B36" s="347" t="s">
        <v>1451</v>
      </c>
      <c r="C36" s="24">
        <f ca="1">ROUND(C29*F36,1)</f>
        <v>1.1000000000000001</v>
      </c>
      <c r="D36" s="1797" t="s">
        <v>1484</v>
      </c>
      <c r="E36" s="347" t="s">
        <v>1424</v>
      </c>
      <c r="F36" s="374">
        <f ca="1">INDIRECT("'数据-取费表'!Ak"&amp;$G$1)</f>
        <v>1.4999999999999999E-2</v>
      </c>
      <c r="G36" s="1850"/>
      <c r="H36" s="1858"/>
      <c r="I36" s="1859"/>
      <c r="J36" s="1860"/>
      <c r="K36" s="751"/>
      <c r="L36" s="1858"/>
      <c r="M36" s="1858"/>
    </row>
    <row r="37" spans="1:18" ht="18" customHeight="1">
      <c r="A37" s="1200" t="s">
        <v>1075</v>
      </c>
      <c r="B37" s="347" t="s">
        <v>1455</v>
      </c>
      <c r="C37" s="24">
        <f ca="1">ROUND(C13*F37,1)</f>
        <v>0.1</v>
      </c>
      <c r="D37" s="1797" t="s">
        <v>1456</v>
      </c>
      <c r="E37" s="347" t="s">
        <v>1457</v>
      </c>
      <c r="F37" s="376">
        <f ca="1">INDIRECT("'数据-取费表'!Al"&amp;$G$1)</f>
        <v>1.5E-3</v>
      </c>
      <c r="G37" s="1850"/>
      <c r="H37" s="1858"/>
      <c r="I37" s="1859"/>
      <c r="J37" s="1860"/>
      <c r="K37" s="751"/>
      <c r="L37" s="1858"/>
      <c r="M37" s="1858"/>
    </row>
    <row r="38" spans="1:18" ht="18" customHeight="1" thickBot="1">
      <c r="A38" s="1338" t="s">
        <v>1394</v>
      </c>
      <c r="B38" s="1339" t="s">
        <v>1441</v>
      </c>
      <c r="C38" s="1340">
        <f ca="1">ROUND(C5*F38,1)</f>
        <v>0.1</v>
      </c>
      <c r="D38" s="1341" t="s">
        <v>1461</v>
      </c>
      <c r="E38" s="1339" t="s">
        <v>1457</v>
      </c>
      <c r="F38" s="1335">
        <f ca="1">INDIRECT("'数据-取费表'!Am"&amp;$G$1)</f>
        <v>0.01</v>
      </c>
      <c r="G38" s="1850"/>
      <c r="H38" s="1858"/>
      <c r="I38" s="1859"/>
      <c r="J38" s="1860"/>
      <c r="K38" s="1864"/>
      <c r="L38" s="1858"/>
      <c r="M38" s="1858"/>
    </row>
    <row r="39" spans="1:18" ht="24.6" customHeight="1" thickTop="1">
      <c r="A39" s="1328" t="s">
        <v>1031</v>
      </c>
      <c r="B39" s="1343" t="s">
        <v>1485</v>
      </c>
      <c r="C39" s="355">
        <f ca="1">C5-C30</f>
        <v>11</v>
      </c>
      <c r="D39" s="1344" t="s">
        <v>1486</v>
      </c>
      <c r="E39" s="1345"/>
      <c r="F39" s="1346"/>
      <c r="G39" s="1850"/>
      <c r="H39" s="1858"/>
      <c r="I39" s="1859"/>
      <c r="J39" s="1860"/>
      <c r="K39" s="1864"/>
      <c r="L39" s="1858"/>
      <c r="M39" s="1858"/>
    </row>
    <row r="40" spans="1:18" ht="18" customHeight="1">
      <c r="A40" s="344" t="s">
        <v>1032</v>
      </c>
      <c r="B40" s="345" t="s">
        <v>1487</v>
      </c>
      <c r="C40" s="346">
        <f ca="1">ROUND(C39*(1-((1+F42)/(1+F40))^F41)/(F40-F42),0)</f>
        <v>213</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25.52</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3898</v>
      </c>
      <c r="D43" s="383" t="s">
        <v>1490</v>
      </c>
      <c r="E43" s="384" t="s">
        <v>1491</v>
      </c>
      <c r="F43" s="385">
        <f ca="1">INDIRECT("'数据-取费表'!k"&amp;$G$1)</f>
        <v>546.41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-241</v>
      </c>
      <c r="D46" s="1871" t="str">
        <f>C2</f>
        <v>万元</v>
      </c>
      <c r="E46" s="1865"/>
      <c r="F46" s="1865"/>
      <c r="I46" s="1872" t="s">
        <v>1523</v>
      </c>
      <c r="J46" s="1873"/>
      <c r="K46" s="1874"/>
      <c r="L46" s="1875">
        <f ca="1">IF(M47="住宅",0,IF(L48&gt;J51,L60,J60))</f>
        <v>4</v>
      </c>
      <c r="O46" s="1876" t="s">
        <v>1524</v>
      </c>
      <c r="P46" s="1877" t="s">
        <v>1525</v>
      </c>
      <c r="Q46" s="1878" t="s">
        <v>1526</v>
      </c>
      <c r="R46" s="1878" t="s">
        <v>1527</v>
      </c>
    </row>
    <row r="47" spans="1:18" s="1841" customFormat="1" ht="13.5" thickBot="1">
      <c r="A47" s="1164" t="s">
        <v>1397</v>
      </c>
      <c r="B47" s="1196" t="s">
        <v>1398</v>
      </c>
      <c r="C47" s="1366" t="s">
        <v>1399</v>
      </c>
      <c r="D47" s="1196" t="s">
        <v>1400</v>
      </c>
      <c r="E47" s="1278" t="s">
        <v>1401</v>
      </c>
      <c r="F47" s="1279"/>
      <c r="G47" s="792"/>
      <c r="I47" s="1879" t="s">
        <v>1528</v>
      </c>
      <c r="J47" s="1880" t="s">
        <v>3067</v>
      </c>
      <c r="K47" s="1881" t="s">
        <v>1529</v>
      </c>
      <c r="L47" s="1882">
        <f ca="1">INDIRECT("'数据-取费表'!d"&amp;$G$1)</f>
        <v>40</v>
      </c>
      <c r="M47" s="1837" t="str">
        <f>IF(ISNUMBER(FIND("住宅",C1)),"住宅","非住宅")</f>
        <v>非住宅</v>
      </c>
      <c r="O47" s="1883" t="s">
        <v>1040</v>
      </c>
      <c r="P47" s="1884" t="s">
        <v>1530</v>
      </c>
      <c r="Q47" s="1885">
        <f ca="1">C40+J29</f>
        <v>213</v>
      </c>
      <c r="R47" s="1885" t="s">
        <v>1531</v>
      </c>
    </row>
    <row r="48" spans="1:18" s="1841" customFormat="1" ht="28.5" thickBot="1">
      <c r="A48" s="1359" t="s">
        <v>1135</v>
      </c>
      <c r="B48" s="345" t="s">
        <v>1402</v>
      </c>
      <c r="C48" s="1816">
        <f ca="1">C49+C53+C55</f>
        <v>0</v>
      </c>
      <c r="D48" s="1361"/>
      <c r="E48" s="1362"/>
      <c r="F48" s="1180"/>
      <c r="G48" s="792"/>
      <c r="H48" s="793"/>
      <c r="I48" s="1886" t="s">
        <v>1532</v>
      </c>
      <c r="J48" s="1887" t="s">
        <v>3068</v>
      </c>
      <c r="K48" s="1888" t="s">
        <v>1533</v>
      </c>
      <c r="L48" s="1889">
        <f ca="1">INDIRECT("'数据-取费表'!f"&amp;$G$1)</f>
        <v>25.52</v>
      </c>
      <c r="O48" s="1883" t="s">
        <v>1041</v>
      </c>
      <c r="P48" s="1884" t="s">
        <v>1534</v>
      </c>
      <c r="Q48" s="1885">
        <f ca="1">J60</f>
        <v>4</v>
      </c>
      <c r="R48" s="1885" t="s">
        <v>1535</v>
      </c>
    </row>
    <row r="49" spans="1:18" s="1841" customFormat="1" ht="13.5" thickBot="1">
      <c r="A49" s="1193" t="s">
        <v>1136</v>
      </c>
      <c r="B49" s="1828" t="s">
        <v>1492</v>
      </c>
      <c r="C49" s="1363">
        <f ca="1">ROUND(F49*F51*F50*(1-F52)/10000,0)</f>
        <v>0</v>
      </c>
      <c r="D49" s="1275" t="s">
        <v>3035</v>
      </c>
      <c r="E49" s="1829" t="s">
        <v>1493</v>
      </c>
      <c r="F49" s="1280"/>
      <c r="G49" s="1890"/>
      <c r="H49" s="793"/>
      <c r="I49" s="1886" t="s">
        <v>1536</v>
      </c>
      <c r="J49" s="2938">
        <v>2005</v>
      </c>
      <c r="K49" s="1888" t="s">
        <v>1537</v>
      </c>
      <c r="L49" s="1892"/>
      <c r="O49" s="1893" t="s">
        <v>1042</v>
      </c>
      <c r="P49" s="1884" t="s">
        <v>1538</v>
      </c>
      <c r="Q49" s="1885">
        <f ca="1">C29</f>
        <v>75</v>
      </c>
      <c r="R49" s="1885" t="s">
        <v>1531</v>
      </c>
    </row>
    <row r="50" spans="1:18" s="1841" customFormat="1" ht="13.5" thickBot="1">
      <c r="A50" s="1194"/>
      <c r="B50" s="1197"/>
      <c r="C50" s="1367"/>
      <c r="D50" s="1171"/>
      <c r="E50" s="1276" t="s">
        <v>1407</v>
      </c>
      <c r="F50" s="1277">
        <f ca="1">F7</f>
        <v>546.41</v>
      </c>
      <c r="H50" s="793"/>
      <c r="I50" s="1886" t="s">
        <v>1539</v>
      </c>
      <c r="J50" s="1894">
        <f>SUMPRODUCT((I63:I65=J47)*(J62:L62=J48)*(J63:L65))</f>
        <v>50</v>
      </c>
      <c r="K50" s="1888" t="s">
        <v>1540</v>
      </c>
      <c r="L50" s="1892"/>
      <c r="M50" s="1895"/>
      <c r="O50" s="1893" t="s">
        <v>1043</v>
      </c>
      <c r="P50" s="1884" t="s">
        <v>1541</v>
      </c>
      <c r="Q50" s="1896">
        <f ca="1">J58</f>
        <v>0.4</v>
      </c>
      <c r="R50" s="1885"/>
    </row>
    <row r="51" spans="1:18" s="1841" customFormat="1" ht="13.5" thickBot="1">
      <c r="A51" s="1195"/>
      <c r="B51" s="1197"/>
      <c r="C51" s="1198"/>
      <c r="D51" s="1171"/>
      <c r="E51" s="1199" t="s">
        <v>1408</v>
      </c>
      <c r="F51" s="348">
        <f ca="1">F8</f>
        <v>365</v>
      </c>
      <c r="I51" s="1897" t="s">
        <v>1542</v>
      </c>
      <c r="J51" s="1898">
        <f>IF(J49="",J50,J49+J50-YEAR('数据-取费表'!B2))</f>
        <v>38</v>
      </c>
      <c r="K51" s="1899" t="s">
        <v>1543</v>
      </c>
      <c r="L51" s="1900">
        <f ca="1">ROUND(-PV(INDIRECT("'数据-取费表'!h"&amp;$G$1),L48,(C39-C13*C76),0),0)</f>
        <v>97</v>
      </c>
      <c r="M51" s="1901"/>
      <c r="O51" s="1893" t="s">
        <v>1044</v>
      </c>
      <c r="P51" s="1884" t="s">
        <v>1544</v>
      </c>
      <c r="Q51" s="1896">
        <f>J52</f>
        <v>8.5000000000000006E-2</v>
      </c>
      <c r="R51" s="1885"/>
    </row>
    <row r="52" spans="1:18" s="1841" customFormat="1" ht="13.5" thickBot="1">
      <c r="A52" s="1195"/>
      <c r="B52" s="1197"/>
      <c r="C52" s="1198"/>
      <c r="D52" s="1171"/>
      <c r="E52" s="1199" t="s">
        <v>1409</v>
      </c>
      <c r="F52" s="1274"/>
      <c r="I52" s="1902" t="s">
        <v>1545</v>
      </c>
      <c r="J52" s="1903">
        <f>'数据-取费表'!J6+0.005</f>
        <v>8.5000000000000006E-2</v>
      </c>
      <c r="K52" s="1902" t="s">
        <v>1546</v>
      </c>
      <c r="L52" s="1903"/>
      <c r="O52" s="1893" t="s">
        <v>1045</v>
      </c>
      <c r="P52" s="1884" t="s">
        <v>1547</v>
      </c>
      <c r="Q52" s="1885">
        <f ca="1">J53</f>
        <v>25.52</v>
      </c>
      <c r="R52" s="1885" t="s">
        <v>1548</v>
      </c>
    </row>
    <row r="53" spans="1:18" s="1841" customFormat="1" ht="24.75" thickBot="1">
      <c r="A53" s="1404" t="s">
        <v>1137</v>
      </c>
      <c r="B53" s="1830" t="s">
        <v>1410</v>
      </c>
      <c r="C53" s="361">
        <f ca="1">ROUND(IF(F53="押一",F49*F51*F50/12*F11,IF(F53="押二",F49*F51*F50/12*2*F11,IF(F53="押三",F49*F51*F50/12*3*F11,C54*F11)))/10000,0)</f>
        <v>0</v>
      </c>
      <c r="D53" s="1823" t="s">
        <v>3033</v>
      </c>
      <c r="E53" s="358" t="s">
        <v>1412</v>
      </c>
      <c r="F53" s="1365"/>
      <c r="I53" s="1904" t="s">
        <v>1549</v>
      </c>
      <c r="J53" s="1905">
        <f ca="1">IF(M47="住宅",J51,IF(D1="——",MIN(J51,L48),IF(D1="在建（套用方法）",MIN(J51,L48-'数据-取费表'!B24),IF(D1="土地（套用方法）",MIN(J51,L48-'数据-取费表'!B20)))))</f>
        <v>25.52</v>
      </c>
      <c r="K53" s="3162" t="s">
        <v>1550</v>
      </c>
      <c r="L53" s="3163"/>
      <c r="O53" s="1883" t="s">
        <v>1046</v>
      </c>
      <c r="P53" s="1884" t="s">
        <v>1551</v>
      </c>
      <c r="Q53" s="1885">
        <f ca="1">Q47+Q48</f>
        <v>217</v>
      </c>
      <c r="R53" s="1885" t="s">
        <v>1047</v>
      </c>
    </row>
    <row r="54" spans="1:18" s="1841" customFormat="1" ht="13.5" thickBot="1">
      <c r="A54" s="1405"/>
      <c r="B54" s="1824" t="s">
        <v>1389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2" t="s">
        <v>1075</v>
      </c>
      <c r="B55" s="1826" t="s">
        <v>1415</v>
      </c>
      <c r="C55" s="1333"/>
      <c r="D55" s="1823"/>
      <c r="E55" s="1831"/>
      <c r="F55" s="1906"/>
      <c r="I55" s="1909" t="s">
        <v>1553</v>
      </c>
      <c r="J55" s="1910">
        <f ca="1">ROUND(IF(J47="钢混",J57/J50,1-(1-2%)*(J50-J57)/J50),3)</f>
        <v>0.26500000000000001</v>
      </c>
      <c r="K55" s="1911" t="s">
        <v>1554</v>
      </c>
      <c r="L55" s="1912" t="s">
        <v>1555</v>
      </c>
      <c r="O55" s="1876" t="s">
        <v>1524</v>
      </c>
      <c r="P55" s="1877" t="s">
        <v>1525</v>
      </c>
      <c r="Q55" s="1878" t="s">
        <v>1526</v>
      </c>
      <c r="R55" s="1878" t="s">
        <v>1527</v>
      </c>
    </row>
    <row r="56" spans="1:18" s="1841" customFormat="1" ht="25.5" thickTop="1" thickBot="1">
      <c r="A56" s="1175">
        <v>2</v>
      </c>
      <c r="B56" s="1176" t="s">
        <v>1416</v>
      </c>
      <c r="C56" s="276">
        <f ca="1">C13</f>
        <v>57</v>
      </c>
      <c r="D56" s="1913"/>
      <c r="E56" s="1914"/>
      <c r="F56" s="1906"/>
      <c r="I56" s="1915" t="s">
        <v>1556</v>
      </c>
      <c r="J56" s="1916" t="s">
        <v>3050</v>
      </c>
      <c r="K56" s="1886" t="s">
        <v>1557</v>
      </c>
      <c r="L56" s="1889" t="str">
        <f ca="1">IF(L48&lt;J51,"——",L48-J53)</f>
        <v>——</v>
      </c>
      <c r="O56" s="1883" t="s">
        <v>1040</v>
      </c>
      <c r="P56" s="1884" t="s">
        <v>1530</v>
      </c>
      <c r="Q56" s="1885">
        <f ca="1">C40+J29</f>
        <v>213</v>
      </c>
      <c r="R56" s="1885" t="s">
        <v>1531</v>
      </c>
    </row>
    <row r="57" spans="1:18" s="1841" customFormat="1" ht="24.75" thickBot="1">
      <c r="A57" s="1917"/>
      <c r="B57" s="1168" t="s">
        <v>1480</v>
      </c>
      <c r="C57" s="282">
        <f ca="1">C29</f>
        <v>75</v>
      </c>
      <c r="D57" s="1918"/>
      <c r="E57" s="1919"/>
      <c r="F57" s="1920"/>
      <c r="I57" s="1921" t="s">
        <v>1558</v>
      </c>
      <c r="J57" s="1922">
        <f ca="1">IF(OR(M47="住宅",J51&lt;L48,J56="是"),"——",J51-L48)</f>
        <v>12.48</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6" t="s">
        <v>1426</v>
      </c>
      <c r="C58" s="361">
        <f ca="1">ROUND(C59+C64+C65+C66,0)</f>
        <v>2</v>
      </c>
      <c r="D58" s="1178" t="s">
        <v>1427</v>
      </c>
      <c r="E58" s="1179"/>
      <c r="F58" s="1180"/>
      <c r="I58" s="1921" t="s">
        <v>1562</v>
      </c>
      <c r="J58" s="1923">
        <f ca="1">IF(J55&lt;0.4,0.4,J55)</f>
        <v>0.4</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ROUND(IF(项目基本情况!B11="自然人",C48*F59,C60+C61+C62),1)</f>
        <v>0.7</v>
      </c>
      <c r="D59" s="1181" t="s">
        <v>1432</v>
      </c>
      <c r="E59" s="1182" t="s">
        <v>1433</v>
      </c>
      <c r="F59" s="368" t="str">
        <f ca="1">IF(项目基本情况!B11="企业","",IF(INDIRECT("'数据-取费表'!c"&amp;$G$1)="住宅",5%,IF(F49*F50*F51/12/(1+'数据-取费表'!C42)&gt;20000,12%,7%)))</f>
        <v/>
      </c>
      <c r="I59" s="1921" t="s">
        <v>1565</v>
      </c>
      <c r="J59" s="1922">
        <f ca="1">IF(OR(M47="住宅",J51&lt;L48,J56="是"),"——",ROUND(C29*J58,0))</f>
        <v>30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IF(项目基本情况!B11="自然人","——",ROUND(C48*F60/(1+'数据-取费表'!C42),2))</f>
        <v>0</v>
      </c>
      <c r="D60" s="1182" t="s">
        <v>1436</v>
      </c>
      <c r="E60" s="1168" t="s">
        <v>1424</v>
      </c>
      <c r="F60" s="377">
        <f t="shared" ref="F60:F66" si="0">F32</f>
        <v>5.6000000000000001E-2</v>
      </c>
      <c r="I60" s="1924" t="s">
        <v>1567</v>
      </c>
      <c r="J60" s="1925">
        <f ca="1">IF(OR(M47="住宅",J51&lt;L48,J56="是"),"0",ROUND(J59/(1+J52)^J53,0))</f>
        <v>4</v>
      </c>
      <c r="K60" s="1926" t="s">
        <v>1568</v>
      </c>
      <c r="L60" s="1925">
        <f ca="1">IF(OR(M47="住宅",L48&lt;J51),0,ROUND(L57*(L58/L59-1),0))</f>
        <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IF(项目基本情况!B11="自然人","——",IF(D61="按租金收入计税",ROUND(C48*F61,2),IF(D61="按房产原值计税",ROUND(C57*F61*0.7,2),INDIRECT("'数据-取费表'!Aj"&amp;$G$1))))</f>
        <v>0.63</v>
      </c>
      <c r="D61" s="1827" t="s">
        <v>1440</v>
      </c>
      <c r="E61" s="1168"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0" t="s">
        <v>1497</v>
      </c>
      <c r="B62" s="1167" t="s">
        <v>1498</v>
      </c>
      <c r="C62" s="25">
        <f ca="1">IF(项目基本情况!B11="自然人","——",ROUND(F62*F63/10000,2))</f>
        <v>0.08</v>
      </c>
      <c r="D62" s="1183" t="s">
        <v>1499</v>
      </c>
      <c r="E62" s="1168" t="s">
        <v>1500</v>
      </c>
      <c r="F62" s="371">
        <f t="shared" si="0"/>
        <v>3</v>
      </c>
      <c r="I62" s="1928" t="s">
        <v>1572</v>
      </c>
      <c r="J62" s="1929" t="s">
        <v>1573</v>
      </c>
      <c r="K62" s="1929" t="s">
        <v>1574</v>
      </c>
      <c r="L62" s="1929" t="s">
        <v>1575</v>
      </c>
      <c r="M62" s="1930" t="s">
        <v>1576</v>
      </c>
      <c r="O62" s="1883" t="s">
        <v>1046</v>
      </c>
      <c r="P62" s="1884" t="s">
        <v>1577</v>
      </c>
      <c r="Q62" s="1885">
        <f ca="1">Q56+Q57</f>
        <v>213</v>
      </c>
      <c r="R62" s="1885" t="s">
        <v>1047</v>
      </c>
    </row>
    <row r="63" spans="1:18" s="1841" customFormat="1" ht="13.5" thickBot="1">
      <c r="A63" s="372"/>
      <c r="B63" s="1174"/>
      <c r="C63" s="29"/>
      <c r="D63" s="1184"/>
      <c r="E63" s="1168" t="s">
        <v>1501</v>
      </c>
      <c r="F63" s="348">
        <f t="shared" ca="1" si="0"/>
        <v>262.05</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ROUND(C57*F64,1)</f>
        <v>1.1000000000000001</v>
      </c>
      <c r="D64" s="1182" t="s">
        <v>1504</v>
      </c>
      <c r="E64" s="1168" t="s">
        <v>1496</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ROUND(C56*F65,1)</f>
        <v>0.1</v>
      </c>
      <c r="D65" s="1182" t="s">
        <v>1456</v>
      </c>
      <c r="E65" s="1168" t="s">
        <v>1457</v>
      </c>
      <c r="F65" s="376">
        <f t="shared" ca="1" si="0"/>
        <v>1.5E-3</v>
      </c>
      <c r="I65" s="1928" t="s">
        <v>1581</v>
      </c>
      <c r="J65" s="1929">
        <v>40</v>
      </c>
      <c r="K65" s="1929">
        <v>30</v>
      </c>
      <c r="L65" s="1929">
        <v>50</v>
      </c>
      <c r="M65" s="1931">
        <v>0.02</v>
      </c>
      <c r="O65" s="1883" t="s">
        <v>1040</v>
      </c>
      <c r="P65" s="1884" t="s">
        <v>1582</v>
      </c>
      <c r="Q65" s="1885">
        <f ca="1">C40+J29</f>
        <v>213</v>
      </c>
      <c r="R65" s="1885" t="s">
        <v>1531</v>
      </c>
    </row>
    <row r="66" spans="1:18" s="1841" customFormat="1" ht="16.5" thickBot="1">
      <c r="A66" s="1200" t="s">
        <v>1506</v>
      </c>
      <c r="B66" s="1168" t="s">
        <v>1441</v>
      </c>
      <c r="C66" s="24">
        <f ca="1">ROUND(C48*F66,1)</f>
        <v>0</v>
      </c>
      <c r="D66" s="1182" t="s">
        <v>1507</v>
      </c>
      <c r="E66" s="1168" t="s">
        <v>1424</v>
      </c>
      <c r="F66" s="357">
        <f t="shared" ca="1" si="0"/>
        <v>0.01</v>
      </c>
      <c r="O66" s="1883" t="s">
        <v>1041</v>
      </c>
      <c r="P66" s="1884" t="s">
        <v>1560</v>
      </c>
      <c r="Q66" s="1885">
        <f ca="1">L60</f>
        <v>0</v>
      </c>
      <c r="R66" s="1885" t="s">
        <v>1583</v>
      </c>
    </row>
    <row r="67" spans="1:18" s="1841" customFormat="1" ht="16.5" thickBot="1">
      <c r="A67" s="1175" t="s">
        <v>1031</v>
      </c>
      <c r="B67" s="1185" t="s">
        <v>1465</v>
      </c>
      <c r="C67" s="361">
        <f ca="1">C48-C58</f>
        <v>-2</v>
      </c>
      <c r="D67" s="1181" t="s">
        <v>1466</v>
      </c>
      <c r="E67" s="1186"/>
      <c r="F67" s="1187"/>
      <c r="O67" s="1893" t="s">
        <v>1042</v>
      </c>
      <c r="P67" s="1884" t="s">
        <v>1564</v>
      </c>
      <c r="Q67" s="1932">
        <f ca="1">L51</f>
        <v>97</v>
      </c>
      <c r="R67" s="1885" t="s">
        <v>1584</v>
      </c>
    </row>
    <row r="68" spans="1:18" s="1841" customFormat="1" ht="16.5" thickBot="1">
      <c r="A68" s="1165" t="s">
        <v>1032</v>
      </c>
      <c r="B68" s="1166" t="s">
        <v>1487</v>
      </c>
      <c r="C68" s="346">
        <f ca="1">ROUND(C67*(1-((1+F70)/(1+F68))^F69)/(F68-F70),0)</f>
        <v>-28</v>
      </c>
      <c r="D68" s="1183" t="s">
        <v>1471</v>
      </c>
      <c r="E68" s="1168" t="s">
        <v>1472</v>
      </c>
      <c r="F68" s="357">
        <f ca="1">F40</f>
        <v>0.05</v>
      </c>
      <c r="O68" s="1893" t="s">
        <v>1043</v>
      </c>
      <c r="P68" s="1933" t="s">
        <v>1585</v>
      </c>
      <c r="Q68" s="1885">
        <f ca="1">ROUND(Q69-Q70*Q71,0)</f>
        <v>6</v>
      </c>
      <c r="R68" s="1885" t="s">
        <v>1051</v>
      </c>
    </row>
    <row r="69" spans="1:18" s="1841" customFormat="1" ht="13.5" thickBot="1">
      <c r="A69" s="1169"/>
      <c r="B69" s="1170"/>
      <c r="C69" s="351"/>
      <c r="D69" s="1188" t="s">
        <v>1475</v>
      </c>
      <c r="E69" s="1168" t="s">
        <v>1476</v>
      </c>
      <c r="F69" s="379">
        <f ca="1">F41</f>
        <v>25.52</v>
      </c>
      <c r="O69" s="1893" t="s">
        <v>1048</v>
      </c>
      <c r="P69" s="1933" t="s">
        <v>1586</v>
      </c>
      <c r="Q69" s="1885">
        <f ca="1">C39</f>
        <v>11</v>
      </c>
      <c r="R69" s="1885" t="s">
        <v>1531</v>
      </c>
    </row>
    <row r="70" spans="1:18" s="1841" customFormat="1" ht="13.5" thickBot="1">
      <c r="A70" s="1172"/>
      <c r="B70" s="1173"/>
      <c r="C70" s="355"/>
      <c r="D70" s="1184"/>
      <c r="E70" s="1168" t="s">
        <v>1479</v>
      </c>
      <c r="F70" s="1274"/>
      <c r="O70" s="1893" t="s">
        <v>1049</v>
      </c>
      <c r="P70" s="1933" t="s">
        <v>1587</v>
      </c>
      <c r="Q70" s="1885">
        <f ca="1">C13</f>
        <v>57</v>
      </c>
      <c r="R70" s="1885" t="s">
        <v>1531</v>
      </c>
    </row>
    <row r="71" spans="1:18" s="1841" customFormat="1" ht="13.5" thickBot="1">
      <c r="A71" s="1189" t="s">
        <v>1033</v>
      </c>
      <c r="B71" s="1190" t="s">
        <v>1489</v>
      </c>
      <c r="C71" s="382">
        <f ca="1">ROUND(C68*10000/F71,0)</f>
        <v>-512</v>
      </c>
      <c r="D71" s="1191" t="s">
        <v>1490</v>
      </c>
      <c r="E71" s="1192" t="s">
        <v>1491</v>
      </c>
      <c r="F71" s="385">
        <f ca="1">F43</f>
        <v>546.41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5</v>
      </c>
      <c r="D75" s="1841"/>
      <c r="E75" s="1841"/>
      <c r="F75" s="1841"/>
      <c r="K75" s="1867"/>
      <c r="L75" s="1841"/>
      <c r="O75" s="1883" t="s">
        <v>1046</v>
      </c>
      <c r="P75" s="1884" t="s">
        <v>1551</v>
      </c>
      <c r="Q75" s="1885">
        <f ca="1">Q65+Q66</f>
        <v>213</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0.54499999999999993</v>
      </c>
    </row>
    <row r="80" spans="1:18">
      <c r="B80" s="386" t="s">
        <v>1513</v>
      </c>
      <c r="C80" s="318">
        <f ca="1">ROUND(C75/C39,3)</f>
        <v>0.45500000000000002</v>
      </c>
    </row>
    <row r="81" spans="2:3">
      <c r="B81" s="314" t="s">
        <v>1514</v>
      </c>
      <c r="C81" s="282"/>
    </row>
    <row r="82" spans="2:3">
      <c r="B82" s="317" t="s">
        <v>1515</v>
      </c>
      <c r="C82" s="319">
        <f ca="1">1-C83</f>
        <v>0.73199999999999998</v>
      </c>
    </row>
    <row r="83" spans="2:3">
      <c r="B83" s="317" t="s">
        <v>1516</v>
      </c>
      <c r="C83" s="318">
        <f ca="1">ROUND(C13/C40,3)</f>
        <v>0.26800000000000002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3" sqref="E2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3073</v>
      </c>
      <c r="D1" s="1819" t="s">
        <v>70</v>
      </c>
      <c r="E1" s="1820" t="s">
        <v>1388</v>
      </c>
      <c r="F1" s="1282">
        <f ca="1">J53</f>
        <v>25.52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7075</v>
      </c>
      <c r="C2" s="1844" t="s">
        <v>1518</v>
      </c>
      <c r="D2" s="1844"/>
      <c r="E2" s="1845"/>
      <c r="F2" s="1846"/>
      <c r="G2" s="1847"/>
      <c r="H2" s="1839"/>
      <c r="I2" s="1839"/>
      <c r="J2" s="1839"/>
      <c r="K2" s="1840"/>
      <c r="L2" s="1839"/>
      <c r="M2" s="1839"/>
    </row>
    <row r="3" spans="1:37" ht="18" customHeight="1" thickBot="1">
      <c r="A3" s="1848" t="s">
        <v>1519</v>
      </c>
      <c r="B3" s="1849">
        <f ca="1">IF(ISERROR(B2*10000/F43),0,ROUND(B2*10000/F43,0))</f>
        <v>5241</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1">
        <f ca="1">C6+C10+C12</f>
        <v>532</v>
      </c>
      <c r="D5" s="1821" t="s">
        <v>1403</v>
      </c>
      <c r="E5" s="1292"/>
      <c r="F5" s="1293"/>
      <c r="G5" s="1850"/>
      <c r="H5" s="344">
        <v>1</v>
      </c>
      <c r="I5" s="345" t="s">
        <v>1402</v>
      </c>
      <c r="J5" s="1291">
        <f ca="1">J6+J10+J12</f>
        <v>0</v>
      </c>
      <c r="K5" s="1821" t="s">
        <v>1403</v>
      </c>
      <c r="L5" s="1292"/>
      <c r="M5" s="1293"/>
    </row>
    <row r="6" spans="1:37" ht="18" customHeight="1">
      <c r="A6" s="1290" t="s">
        <v>1035</v>
      </c>
      <c r="B6" s="3159" t="s">
        <v>1404</v>
      </c>
      <c r="C6" s="1295">
        <f ca="1">ROUND(F6*F8*F7*(1-F9)/10000,0)</f>
        <v>532</v>
      </c>
      <c r="D6" s="164" t="s">
        <v>3032</v>
      </c>
      <c r="E6" s="347" t="s">
        <v>1406</v>
      </c>
      <c r="F6" s="348">
        <f ca="1">INDIRECT("'数据-取费表'!u"&amp;$G$1)</f>
        <v>1.2</v>
      </c>
      <c r="G6" s="1850"/>
      <c r="H6" s="1290" t="s">
        <v>1035</v>
      </c>
      <c r="I6" s="3159" t="s">
        <v>1404</v>
      </c>
      <c r="J6" s="346">
        <f ca="1">ROUND(M6*M8*M7*(1-M9)/10000,0)</f>
        <v>0</v>
      </c>
      <c r="K6" s="164" t="s">
        <v>3031</v>
      </c>
      <c r="L6" s="347" t="s">
        <v>1406</v>
      </c>
      <c r="M6" s="348">
        <f ca="1">INDIRECT("'数据-取费表'!z"&amp;$G$1)</f>
        <v>0</v>
      </c>
    </row>
    <row r="7" spans="1:37" ht="18" customHeight="1">
      <c r="A7" s="1294"/>
      <c r="B7" s="3160"/>
      <c r="C7" s="1296"/>
      <c r="D7" s="352"/>
      <c r="E7" s="2930" t="s">
        <v>1407</v>
      </c>
      <c r="F7" s="348">
        <f ca="1">IF(INDIRECT("'数据-取费表'!ah"&amp;$G$1)="",INDIRECT("'数据-取费表'!k"&amp;$G$1),INDIRECT("'数据-取费表'!ah"&amp;$G$1))</f>
        <v>13500.24</v>
      </c>
      <c r="G7" s="1850"/>
      <c r="H7" s="349"/>
      <c r="I7" s="3160"/>
      <c r="J7" s="351"/>
      <c r="K7" s="352"/>
      <c r="L7" s="347" t="s">
        <v>1407</v>
      </c>
      <c r="M7" s="348">
        <f ca="1">F7</f>
        <v>13500.24</v>
      </c>
    </row>
    <row r="8" spans="1:37" ht="18" customHeight="1">
      <c r="A8" s="349"/>
      <c r="B8" s="3160"/>
      <c r="C8" s="351"/>
      <c r="D8" s="352"/>
      <c r="E8" s="347" t="s">
        <v>1408</v>
      </c>
      <c r="F8" s="348">
        <f ca="1">INDIRECT("'数据-取费表'!ai"&amp;$G$1)</f>
        <v>365</v>
      </c>
      <c r="G8" s="1850"/>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0.1</v>
      </c>
      <c r="G9" s="1850"/>
      <c r="H9" s="349"/>
      <c r="I9" s="3161"/>
      <c r="J9" s="351"/>
      <c r="K9" s="352"/>
      <c r="L9" s="358" t="s">
        <v>1409</v>
      </c>
      <c r="M9" s="359">
        <f ca="1">INDIRECT("'数据-取费表'!ab"&amp;$G$1)</f>
        <v>0</v>
      </c>
    </row>
    <row r="10" spans="1:37" ht="18" customHeight="1">
      <c r="A10" s="1290" t="s">
        <v>1039</v>
      </c>
      <c r="B10" s="1822" t="s">
        <v>1410</v>
      </c>
      <c r="C10" s="361">
        <f ca="1">ROUND(IF(F10="押一",F6*F8*F7/12*F11,IF(F10="押二",F6*F8*F7/12*2*F11,IF(F10="押三",F6*F8*F7/12*3*F11,C11*F11)))/10000,0)</f>
        <v>0</v>
      </c>
      <c r="D10" s="1823" t="s">
        <v>3028</v>
      </c>
      <c r="E10" s="358" t="s">
        <v>1412</v>
      </c>
      <c r="F10" s="1365"/>
      <c r="G10" s="1850"/>
      <c r="H10" s="1290" t="s">
        <v>1039</v>
      </c>
      <c r="I10" s="1822" t="s">
        <v>1410</v>
      </c>
      <c r="J10" s="346">
        <f ca="1">ROUND(IF(M10="押一",M6*M8*M7/12*M11,IF(M10="押二",M6*M8*M7/12*2*M11,IF(M10="押三",M6*M8*M7/12*3*M11,J11*M11)))/10000,0)</f>
        <v>0</v>
      </c>
      <c r="K10" s="1823" t="s">
        <v>3028</v>
      </c>
      <c r="L10" s="358" t="s">
        <v>1412</v>
      </c>
      <c r="M10" s="1365" t="s">
        <v>1413</v>
      </c>
    </row>
    <row r="11" spans="1:37" ht="18" customHeight="1">
      <c r="A11" s="353"/>
      <c r="B11" s="1824" t="s">
        <v>1389</v>
      </c>
      <c r="C11" s="1177"/>
      <c r="D11" s="1825"/>
      <c r="E11" s="358" t="s">
        <v>1414</v>
      </c>
      <c r="F11" s="359">
        <f ca="1">'数据-取费表'!B39</f>
        <v>1.4999999999999999E-2</v>
      </c>
      <c r="G11" s="1850"/>
      <c r="H11" s="1298"/>
      <c r="I11" s="1824" t="s">
        <v>1389</v>
      </c>
      <c r="J11" s="1177"/>
      <c r="K11" s="748"/>
      <c r="L11" s="358" t="s">
        <v>1414</v>
      </c>
      <c r="M11" s="1055">
        <f ca="1">'数据-取费表'!B39</f>
        <v>1.4999999999999999E-2</v>
      </c>
    </row>
    <row r="12" spans="1:37" ht="18" customHeight="1" thickBot="1">
      <c r="A12" s="1332" t="s">
        <v>1075</v>
      </c>
      <c r="B12" s="1826" t="s">
        <v>1415</v>
      </c>
      <c r="C12" s="1333"/>
      <c r="D12" s="1334"/>
      <c r="E12" s="1339"/>
      <c r="F12" s="1335"/>
      <c r="G12" s="1850"/>
      <c r="H12" s="1332" t="s">
        <v>1075</v>
      </c>
      <c r="I12" s="1826" t="s">
        <v>1415</v>
      </c>
      <c r="J12" s="1333"/>
      <c r="K12" s="1347"/>
      <c r="L12" s="1339"/>
      <c r="M12" s="1348"/>
    </row>
    <row r="13" spans="1:37" ht="18" customHeight="1" thickTop="1">
      <c r="A13" s="1328">
        <v>2</v>
      </c>
      <c r="B13" s="1329" t="s">
        <v>1416</v>
      </c>
      <c r="C13" s="355">
        <f ca="1">ROUND(C29*F13,0)</f>
        <v>6178</v>
      </c>
      <c r="D13" s="1330" t="s">
        <v>1417</v>
      </c>
      <c r="E13" s="1330" t="s">
        <v>1418</v>
      </c>
      <c r="F13" s="1331">
        <f ca="1">INDIRECT("'数据-取费表'!y"&amp;$G$1)</f>
        <v>1</v>
      </c>
      <c r="G13" s="1850"/>
      <c r="H13" s="1328">
        <v>2</v>
      </c>
      <c r="I13" s="1329" t="s">
        <v>1416</v>
      </c>
      <c r="J13" s="1289">
        <f ca="1">ROUND(J14*J15,0)</f>
        <v>0</v>
      </c>
      <c r="K13" s="1336" t="s">
        <v>1417</v>
      </c>
      <c r="L13" s="1851"/>
      <c r="M13" s="1852"/>
    </row>
    <row r="14" spans="1:37" ht="18" customHeight="1">
      <c r="A14" s="1200" t="s">
        <v>1034</v>
      </c>
      <c r="B14" s="347" t="s">
        <v>1419</v>
      </c>
      <c r="C14" s="363">
        <f ca="1">INDIRECT("'数据-取费表'!m"&amp;$G$1)+INDIRECT("'数据-取费表'!t"&amp;$G$1)</f>
        <v>4050</v>
      </c>
      <c r="D14" s="2924" t="s">
        <v>1420</v>
      </c>
      <c r="E14" s="2922"/>
      <c r="F14" s="364"/>
      <c r="G14" s="1850"/>
      <c r="H14" s="1200" t="s">
        <v>1035</v>
      </c>
      <c r="I14" s="347" t="s">
        <v>1421</v>
      </c>
      <c r="J14" s="24">
        <f ca="1">C29</f>
        <v>6178</v>
      </c>
      <c r="K14" s="2929"/>
      <c r="L14" s="978"/>
      <c r="M14" s="979"/>
    </row>
    <row r="15" spans="1:37" s="1857" customFormat="1" ht="18" customHeight="1" thickBot="1">
      <c r="A15" s="1200" t="s">
        <v>1036</v>
      </c>
      <c r="B15" s="347" t="s">
        <v>1422</v>
      </c>
      <c r="C15" s="24">
        <f ca="1">ROUND(C14*F15,0)</f>
        <v>203</v>
      </c>
      <c r="D15" s="365" t="s">
        <v>1423</v>
      </c>
      <c r="E15" s="365" t="s">
        <v>1424</v>
      </c>
      <c r="F15" s="366">
        <f>'数据-取费表'!B33</f>
        <v>0.05</v>
      </c>
      <c r="G15" s="1853"/>
      <c r="H15" s="1338" t="s">
        <v>1039</v>
      </c>
      <c r="I15" s="1339" t="s">
        <v>1418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0"/>
      <c r="H16" s="1328" t="s">
        <v>1030</v>
      </c>
      <c r="I16" s="1329" t="s">
        <v>1426</v>
      </c>
      <c r="J16" s="355">
        <f ca="1">ROUND(J17+J22+J23+J24,0)</f>
        <v>147</v>
      </c>
      <c r="K16" s="1336" t="s">
        <v>1427</v>
      </c>
      <c r="L16" s="2925"/>
      <c r="M16" s="1293"/>
    </row>
    <row r="17" spans="1:37" s="1857" customFormat="1" ht="18" customHeight="1">
      <c r="A17" s="1200" t="s">
        <v>1391</v>
      </c>
      <c r="B17" s="347" t="s">
        <v>1428</v>
      </c>
      <c r="C17" s="24">
        <f ca="1">ROUND(F17*(F43+INDIRECT("'数据-取费表'!S"&amp;$G$1))/10000,0)</f>
        <v>270</v>
      </c>
      <c r="D17" s="347" t="s">
        <v>1429</v>
      </c>
      <c r="E17" s="347" t="s">
        <v>1430</v>
      </c>
      <c r="F17" s="26">
        <f>'数据-取费表'!B35</f>
        <v>200</v>
      </c>
      <c r="G17" s="1853"/>
      <c r="H17" s="1200" t="s">
        <v>1035</v>
      </c>
      <c r="I17" s="347" t="s">
        <v>1431</v>
      </c>
      <c r="J17" s="24">
        <f ca="1">ROUND(IF(项目基本情况!B11="自然人",J5*M17,J18+J19+J20),1)</f>
        <v>53.8</v>
      </c>
      <c r="K17" s="2924" t="s">
        <v>1432</v>
      </c>
      <c r="L17" s="2923"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7" t="s">
        <v>1434</v>
      </c>
      <c r="C18" s="24">
        <f ca="1">ROUND(C14*F18,0)</f>
        <v>61</v>
      </c>
      <c r="D18" s="347" t="s">
        <v>1423</v>
      </c>
      <c r="E18" s="347" t="s">
        <v>1424</v>
      </c>
      <c r="F18" s="367">
        <f>'数据-取费表'!B36</f>
        <v>1.4999999999999999E-2</v>
      </c>
      <c r="G18" s="1853"/>
      <c r="H18" s="1200" t="s">
        <v>1034</v>
      </c>
      <c r="I18" s="347" t="s">
        <v>1435</v>
      </c>
      <c r="J18" s="24">
        <f ca="1">ROUND(J5*M18/(1+'数据-取费表'!C42),2)</f>
        <v>0</v>
      </c>
      <c r="K18" s="2923"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1437</v>
      </c>
      <c r="C19" s="24">
        <f ca="1">SUM(C14:C18)</f>
        <v>4584</v>
      </c>
      <c r="D19" s="139" t="s">
        <v>1438</v>
      </c>
      <c r="E19" s="2928"/>
      <c r="F19" s="26"/>
      <c r="G19" s="1850"/>
      <c r="H19" s="1200" t="s">
        <v>1036</v>
      </c>
      <c r="I19" s="347" t="s">
        <v>1439</v>
      </c>
      <c r="J19" s="24">
        <f ca="1">IF(K19="按租金收入计税",ROUND(J5*M19,2),ROUND(C29*M19*0.7,2))</f>
        <v>51.9</v>
      </c>
      <c r="K19" s="1827" t="s">
        <v>1440</v>
      </c>
      <c r="L19" s="347" t="s">
        <v>1424</v>
      </c>
      <c r="M19" s="367">
        <f>IF(K19="按租金收入计税",'数据-取费表'!B51,'数据-取费表'!B50)</f>
        <v>1.2E-2</v>
      </c>
    </row>
    <row r="20" spans="1:37" s="1857" customFormat="1" ht="18" customHeight="1">
      <c r="A20" s="1200" t="s">
        <v>1039</v>
      </c>
      <c r="B20" s="347" t="s">
        <v>1441</v>
      </c>
      <c r="C20" s="24">
        <f ca="1">ROUND(C19*F20,0)</f>
        <v>115</v>
      </c>
      <c r="D20" s="369" t="s">
        <v>1442</v>
      </c>
      <c r="E20" s="347" t="s">
        <v>1424</v>
      </c>
      <c r="F20" s="367">
        <f>'数据-取费表'!B37</f>
        <v>2.5000000000000001E-2</v>
      </c>
      <c r="G20" s="1853"/>
      <c r="H20" s="1200" t="s">
        <v>1390</v>
      </c>
      <c r="I20" s="164" t="s">
        <v>1443</v>
      </c>
      <c r="J20" s="25">
        <f ca="1">ROUND(M20*M21/10000,2)</f>
        <v>1.94</v>
      </c>
      <c r="K20" s="370" t="s">
        <v>1444</v>
      </c>
      <c r="L20" s="347" t="s">
        <v>1445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6474.52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7" t="s">
        <v>1450</v>
      </c>
      <c r="C22" s="24"/>
      <c r="D22" s="139" t="str">
        <f>IF(F23&lt;=1,"单利计息。","复利计息。")&amp;"建造成本、管理费用、销售费用产生的利息。"</f>
        <v>复利计息。建造成本、管理费用、销售费用产生的利息。</v>
      </c>
      <c r="E22" s="2928"/>
      <c r="F22" s="26"/>
      <c r="G22" s="1850"/>
      <c r="H22" s="1200" t="s">
        <v>1039</v>
      </c>
      <c r="I22" s="347" t="s">
        <v>1451</v>
      </c>
      <c r="J22" s="24">
        <f ca="1">ROUND(J14*M22,1)</f>
        <v>92.7</v>
      </c>
      <c r="K22" s="2923" t="s">
        <v>1452</v>
      </c>
      <c r="L22" s="347" t="s">
        <v>1424</v>
      </c>
      <c r="M22" s="374">
        <f ca="1">INDIRECT("'数据-取费表'!Ak"&amp;$G$1)</f>
        <v>1.4999999999999999E-2</v>
      </c>
    </row>
    <row r="23" spans="1:37" s="1857" customFormat="1" ht="18" customHeight="1">
      <c r="A23" s="1200" t="s">
        <v>1034</v>
      </c>
      <c r="B23" s="347" t="s">
        <v>1453</v>
      </c>
      <c r="C23" s="24">
        <f ca="1">IF('数据-取费表'!B22&lt;=1,ROUND(C19*F24*F23/2,0)+ROUND(C20*F24*F23/2,0),ROUND(C19*(POWER((1+F24),F23/2)-1),0)+ROUND(C20*(POWER((1+F24),F23/2)-1),0))</f>
        <v>223</v>
      </c>
      <c r="D23" s="375" t="str">
        <f>IF(F23&lt;=1,"(建造成本+管理费用)×利率×(建设周期÷2)","(建造成本+管理费用)×((1+利率)^(建设周期÷2)-1)")</f>
        <v>(建造成本+管理费用)×((1+利率)^(建设周期÷2)-1)</v>
      </c>
      <c r="E23" s="347" t="s">
        <v>1454</v>
      </c>
      <c r="F23" s="371">
        <f>'数据-取费表'!B20</f>
        <v>2</v>
      </c>
      <c r="G23" s="1853"/>
      <c r="H23" s="1200" t="s">
        <v>1075</v>
      </c>
      <c r="I23" s="347" t="s">
        <v>1455</v>
      </c>
      <c r="J23" s="24">
        <f ca="1">ROUND(J13*M23,1)</f>
        <v>0</v>
      </c>
      <c r="K23" s="2923"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3"/>
      <c r="H24" s="1338" t="s">
        <v>1393</v>
      </c>
      <c r="I24" s="1339" t="s">
        <v>1441</v>
      </c>
      <c r="J24" s="1340">
        <f ca="1">ROUND(J5*M24,1)</f>
        <v>0</v>
      </c>
      <c r="K24" s="1341" t="s">
        <v>1461</v>
      </c>
      <c r="L24" s="1339" t="s">
        <v>1424</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1462</v>
      </c>
      <c r="B25" s="347" t="s">
        <v>1463</v>
      </c>
      <c r="C25" s="24"/>
      <c r="D25" s="139" t="s">
        <v>1464</v>
      </c>
      <c r="E25" s="2928"/>
      <c r="F25" s="26"/>
      <c r="G25" s="1850"/>
      <c r="H25" s="1328" t="s">
        <v>1031</v>
      </c>
      <c r="I25" s="1343" t="s">
        <v>1465</v>
      </c>
      <c r="J25" s="355">
        <f ca="1">J5-J16</f>
        <v>-147</v>
      </c>
      <c r="K25" s="1344" t="s">
        <v>1466</v>
      </c>
      <c r="L25" s="1345"/>
      <c r="M25" s="1346"/>
    </row>
    <row r="26" spans="1:37">
      <c r="A26" s="1200" t="s">
        <v>1034</v>
      </c>
      <c r="B26" s="347" t="s">
        <v>1467</v>
      </c>
      <c r="C26" s="24">
        <f ca="1">ROUND((C19+C20)*F26,0)</f>
        <v>705</v>
      </c>
      <c r="D26" s="369" t="s">
        <v>1468</v>
      </c>
      <c r="E26" s="358" t="s">
        <v>1469</v>
      </c>
      <c r="F26" s="357">
        <f ca="1">INDIRECT("'数据-取费表'!q"&amp;$G$1)</f>
        <v>0.15</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4.4999999999999997E-3</v>
      </c>
      <c r="D27" s="369" t="s">
        <v>1474</v>
      </c>
      <c r="E27" s="365"/>
      <c r="F27" s="366"/>
      <c r="G27" s="1850"/>
      <c r="H27" s="349"/>
      <c r="I27" s="350"/>
      <c r="J27" s="351"/>
      <c r="K27" s="378" t="s">
        <v>1475</v>
      </c>
      <c r="L27" s="347" t="s">
        <v>1476</v>
      </c>
      <c r="M27" s="379">
        <f ca="1">INDIRECT("'数据-取费表'!ag"&amp;$G$1)</f>
        <v>0</v>
      </c>
    </row>
    <row r="28" spans="1:37" s="1857" customFormat="1" ht="18" customHeight="1">
      <c r="A28" s="1200"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1480</v>
      </c>
      <c r="C29" s="1340">
        <f ca="1">ROUND((C19+C20+C23+C26)/(1-F21-C24-C27-C28),0)</f>
        <v>6178</v>
      </c>
      <c r="D29" s="1341"/>
      <c r="E29" s="1339"/>
      <c r="F29" s="1342"/>
      <c r="G29" s="1853"/>
      <c r="H29" s="380" t="s">
        <v>1033</v>
      </c>
      <c r="I29" s="381" t="s">
        <v>1481</v>
      </c>
      <c r="J29" s="382">
        <f ca="1">ROUND(J26/(1+F40)^F41,0)</f>
        <v>0</v>
      </c>
      <c r="K29" s="383" t="s">
        <v>1482</v>
      </c>
      <c r="L29" s="384"/>
      <c r="M29" s="385">
        <f ca="1">INDIRECT("'数据-取费表'!k"&amp;$G$1)</f>
        <v>13500.24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1426</v>
      </c>
      <c r="C30" s="355">
        <f ca="1">ROUND(C31+C36+C37+C38,0)</f>
        <v>190</v>
      </c>
      <c r="D30" s="1336" t="s">
        <v>1427</v>
      </c>
      <c r="E30" s="2925"/>
      <c r="F30" s="1293"/>
      <c r="G30" s="1850"/>
      <c r="H30" s="745"/>
      <c r="I30" s="746"/>
      <c r="J30" s="747"/>
      <c r="K30" s="748"/>
      <c r="L30" s="749"/>
      <c r="M30" s="750"/>
    </row>
    <row r="31" spans="1:37" ht="18" customHeight="1">
      <c r="A31" s="1200" t="s">
        <v>1035</v>
      </c>
      <c r="B31" s="347" t="s">
        <v>1431</v>
      </c>
      <c r="C31" s="24">
        <f ca="1">ROUND(IF(项目基本情况!B11="自然人",C5*F31,C32+C33+C34),1)</f>
        <v>82.2</v>
      </c>
      <c r="D31" s="2924" t="s">
        <v>1432</v>
      </c>
      <c r="E31" s="2923"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1435</v>
      </c>
      <c r="C32" s="24">
        <f ca="1">IF(项目基本情况!B11="自然人","——",ROUND(C5*F32/(1+'数据-取费表'!C42),2))</f>
        <v>28.37</v>
      </c>
      <c r="D32" s="2923" t="s">
        <v>1436</v>
      </c>
      <c r="E32" s="347" t="s">
        <v>1424</v>
      </c>
      <c r="F32" s="377">
        <f>'数据-取费表'!B41</f>
        <v>5.6000000000000001E-2</v>
      </c>
      <c r="G32" s="1850"/>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51.9</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0" t="s">
        <v>1390</v>
      </c>
      <c r="B34" s="164" t="s">
        <v>1443</v>
      </c>
      <c r="C34" s="25">
        <f ca="1">IF(项目基本情况!B11="自然人","——",ROUND(F34*F35/10000,2))</f>
        <v>1.94</v>
      </c>
      <c r="D34" s="370" t="s">
        <v>1444</v>
      </c>
      <c r="E34" s="347" t="s">
        <v>1445</v>
      </c>
      <c r="F34" s="371">
        <f>'数据-取费表'!B52</f>
        <v>3</v>
      </c>
      <c r="G34" s="1850"/>
      <c r="H34" s="745"/>
      <c r="I34" s="1859"/>
      <c r="J34" s="1860"/>
      <c r="K34" s="1862"/>
      <c r="L34" s="1863"/>
      <c r="M34" s="1863"/>
    </row>
    <row r="35" spans="1:18" ht="18" customHeight="1">
      <c r="A35" s="1352"/>
      <c r="B35" s="1350"/>
      <c r="C35" s="29"/>
      <c r="D35" s="373"/>
      <c r="E35" s="347" t="s">
        <v>1449</v>
      </c>
      <c r="F35" s="348">
        <f ca="1">INDIRECT("'数据-取费表'!r"&amp;$G$1)</f>
        <v>6474.52</v>
      </c>
      <c r="G35" s="1850"/>
      <c r="H35" s="745"/>
      <c r="I35" s="1859"/>
      <c r="J35" s="1860"/>
      <c r="K35" s="1861"/>
      <c r="L35" s="1858"/>
      <c r="M35" s="1858"/>
    </row>
    <row r="36" spans="1:18" ht="18" customHeight="1">
      <c r="A36" s="1351" t="s">
        <v>1039</v>
      </c>
      <c r="B36" s="347" t="s">
        <v>1451</v>
      </c>
      <c r="C36" s="24">
        <f ca="1">ROUND(C29*F36,1)</f>
        <v>92.7</v>
      </c>
      <c r="D36" s="2923" t="s">
        <v>1484</v>
      </c>
      <c r="E36" s="347" t="s">
        <v>1424</v>
      </c>
      <c r="F36" s="374">
        <f ca="1">INDIRECT("'数据-取费表'!Ak"&amp;$G$1)</f>
        <v>1.4999999999999999E-2</v>
      </c>
      <c r="G36" s="1850"/>
      <c r="H36" s="1858"/>
      <c r="I36" s="1859"/>
      <c r="J36" s="1860"/>
      <c r="K36" s="751"/>
      <c r="L36" s="1858"/>
      <c r="M36" s="1858"/>
    </row>
    <row r="37" spans="1:18" ht="18" customHeight="1">
      <c r="A37" s="1200" t="s">
        <v>1075</v>
      </c>
      <c r="B37" s="347" t="s">
        <v>1455</v>
      </c>
      <c r="C37" s="24">
        <f ca="1">ROUND(C13*F37,1)</f>
        <v>9.3000000000000007</v>
      </c>
      <c r="D37" s="2923" t="s">
        <v>1456</v>
      </c>
      <c r="E37" s="347" t="s">
        <v>1424</v>
      </c>
      <c r="F37" s="376">
        <f ca="1">INDIRECT("'数据-取费表'!Al"&amp;$G$1)</f>
        <v>1.5E-3</v>
      </c>
      <c r="G37" s="1850"/>
      <c r="H37" s="1858"/>
      <c r="I37" s="1859"/>
      <c r="J37" s="1860"/>
      <c r="K37" s="751"/>
      <c r="L37" s="1858"/>
      <c r="M37" s="1858"/>
    </row>
    <row r="38" spans="1:18" ht="18" customHeight="1" thickBot="1">
      <c r="A38" s="1338" t="s">
        <v>1393</v>
      </c>
      <c r="B38" s="1339" t="s">
        <v>1441</v>
      </c>
      <c r="C38" s="1340">
        <f ca="1">ROUND(C5*F38,1)</f>
        <v>5.3</v>
      </c>
      <c r="D38" s="1341" t="s">
        <v>1461</v>
      </c>
      <c r="E38" s="1339" t="s">
        <v>1424</v>
      </c>
      <c r="F38" s="1335">
        <f ca="1">INDIRECT("'数据-取费表'!Am"&amp;$G$1)</f>
        <v>0.01</v>
      </c>
      <c r="G38" s="1850"/>
      <c r="H38" s="1858"/>
      <c r="I38" s="1859"/>
      <c r="J38" s="1860"/>
      <c r="K38" s="1864"/>
      <c r="L38" s="1858"/>
      <c r="M38" s="1858"/>
    </row>
    <row r="39" spans="1:18" ht="24.6" customHeight="1" thickTop="1">
      <c r="A39" s="1328" t="s">
        <v>1031</v>
      </c>
      <c r="B39" s="1343" t="s">
        <v>1465</v>
      </c>
      <c r="C39" s="355">
        <f ca="1">C5-C30</f>
        <v>342</v>
      </c>
      <c r="D39" s="1344" t="s">
        <v>1466</v>
      </c>
      <c r="E39" s="1345"/>
      <c r="F39" s="1346"/>
      <c r="G39" s="1850"/>
      <c r="H39" s="1858"/>
      <c r="I39" s="1859"/>
      <c r="J39" s="1860"/>
      <c r="K39" s="1864"/>
      <c r="L39" s="1858"/>
      <c r="M39" s="1858"/>
    </row>
    <row r="40" spans="1:18" ht="18" customHeight="1">
      <c r="A40" s="344" t="s">
        <v>1032</v>
      </c>
      <c r="B40" s="345" t="s">
        <v>1487</v>
      </c>
      <c r="C40" s="346">
        <f ca="1">ROUND(C39*(1-((1+F42)/(1+F40))^F41)/(F40-F42),0)</f>
        <v>6632</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25.52</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4913</v>
      </c>
      <c r="D43" s="383" t="s">
        <v>1490</v>
      </c>
      <c r="E43" s="384" t="s">
        <v>1491</v>
      </c>
      <c r="F43" s="385">
        <f ca="1">INDIRECT("'数据-取费表'!k"&amp;$G$1)</f>
        <v>13500.24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-8854</v>
      </c>
      <c r="D46" s="1871" t="str">
        <f>C2</f>
        <v>万元</v>
      </c>
      <c r="E46" s="1865"/>
      <c r="F46" s="1865"/>
      <c r="I46" s="1872" t="s">
        <v>1523</v>
      </c>
      <c r="J46" s="1873"/>
      <c r="K46" s="1874"/>
      <c r="L46" s="1875">
        <f ca="1">IF(M47="住宅",0,IF(L48&gt;J51,L60,J60))</f>
        <v>443</v>
      </c>
      <c r="O46" s="1876" t="s">
        <v>1524</v>
      </c>
      <c r="P46" s="1877" t="s">
        <v>1525</v>
      </c>
      <c r="Q46" s="1878" t="s">
        <v>1526</v>
      </c>
      <c r="R46" s="1878" t="s">
        <v>1527</v>
      </c>
    </row>
    <row r="47" spans="1:18" s="1841" customFormat="1" ht="13.5" thickBot="1">
      <c r="A47" s="1164" t="s">
        <v>1397</v>
      </c>
      <c r="B47" s="1196" t="s">
        <v>1398</v>
      </c>
      <c r="C47" s="1366" t="s">
        <v>1399</v>
      </c>
      <c r="D47" s="1196" t="s">
        <v>1400</v>
      </c>
      <c r="E47" s="1278" t="s">
        <v>1401</v>
      </c>
      <c r="F47" s="1279"/>
      <c r="G47" s="792"/>
      <c r="I47" s="1879" t="s">
        <v>1528</v>
      </c>
      <c r="J47" s="1880" t="s">
        <v>3078</v>
      </c>
      <c r="K47" s="1881" t="s">
        <v>1529</v>
      </c>
      <c r="L47" s="1882">
        <f ca="1">INDIRECT("'数据-取费表'!d"&amp;$G$1)</f>
        <v>40</v>
      </c>
      <c r="M47" s="1837" t="str">
        <f>IF(ISNUMBER(FIND("住宅",C1)),"住宅","非住宅")</f>
        <v>非住宅</v>
      </c>
      <c r="O47" s="1883" t="s">
        <v>1040</v>
      </c>
      <c r="P47" s="1884" t="s">
        <v>1530</v>
      </c>
      <c r="Q47" s="1885">
        <f ca="1">C40+J29</f>
        <v>6632</v>
      </c>
      <c r="R47" s="1885" t="s">
        <v>1531</v>
      </c>
    </row>
    <row r="48" spans="1:18" s="1841" customFormat="1" ht="28.5" thickBot="1">
      <c r="A48" s="1359" t="s">
        <v>1135</v>
      </c>
      <c r="B48" s="345" t="s">
        <v>1402</v>
      </c>
      <c r="C48" s="2927">
        <f ca="1">C49+C53+C55</f>
        <v>0</v>
      </c>
      <c r="D48" s="1361"/>
      <c r="E48" s="1362"/>
      <c r="F48" s="1180"/>
      <c r="G48" s="792"/>
      <c r="H48" s="793"/>
      <c r="I48" s="1886" t="s">
        <v>1532</v>
      </c>
      <c r="J48" s="1887" t="s">
        <v>3068</v>
      </c>
      <c r="K48" s="1888" t="s">
        <v>1533</v>
      </c>
      <c r="L48" s="1889">
        <f ca="1">INDIRECT("'数据-取费表'!f"&amp;$G$1)</f>
        <v>25.52</v>
      </c>
      <c r="O48" s="1883" t="s">
        <v>1041</v>
      </c>
      <c r="P48" s="1884" t="s">
        <v>1534</v>
      </c>
      <c r="Q48" s="1885">
        <f ca="1">J60</f>
        <v>443</v>
      </c>
      <c r="R48" s="1885" t="s">
        <v>1535</v>
      </c>
    </row>
    <row r="49" spans="1:18" s="1841" customFormat="1" ht="13.5" thickBot="1">
      <c r="A49" s="1193" t="s">
        <v>1136</v>
      </c>
      <c r="B49" s="1828" t="s">
        <v>1492</v>
      </c>
      <c r="C49" s="1363">
        <f ca="1">ROUND(F49*F51*F50*(1-F52)/10000,0)</f>
        <v>0</v>
      </c>
      <c r="D49" s="1275" t="s">
        <v>3031</v>
      </c>
      <c r="E49" s="1829" t="s">
        <v>1493</v>
      </c>
      <c r="F49" s="1280"/>
      <c r="G49" s="1890"/>
      <c r="H49" s="793"/>
      <c r="I49" s="1886" t="s">
        <v>1536</v>
      </c>
      <c r="J49" s="1891">
        <v>2017</v>
      </c>
      <c r="K49" s="1888" t="s">
        <v>1537</v>
      </c>
      <c r="L49" s="1892"/>
      <c r="O49" s="1893" t="s">
        <v>1042</v>
      </c>
      <c r="P49" s="1884" t="s">
        <v>1538</v>
      </c>
      <c r="Q49" s="1885">
        <f ca="1">C29</f>
        <v>6178</v>
      </c>
      <c r="R49" s="1885" t="s">
        <v>1531</v>
      </c>
    </row>
    <row r="50" spans="1:18" s="1841" customFormat="1" ht="13.5" thickBot="1">
      <c r="A50" s="1194"/>
      <c r="B50" s="1197"/>
      <c r="C50" s="1367"/>
      <c r="D50" s="1171"/>
      <c r="E50" s="1276" t="s">
        <v>1407</v>
      </c>
      <c r="F50" s="1277">
        <f ca="1">F7</f>
        <v>13500.24</v>
      </c>
      <c r="H50" s="793"/>
      <c r="I50" s="1886" t="s">
        <v>1539</v>
      </c>
      <c r="J50" s="1894">
        <f>SUMPRODUCT((I63:I65=J47)*(J62:L62=J48)*(J63:L65))</f>
        <v>60</v>
      </c>
      <c r="K50" s="1888" t="s">
        <v>1540</v>
      </c>
      <c r="L50" s="1892"/>
      <c r="M50" s="1895"/>
      <c r="O50" s="1893" t="s">
        <v>1043</v>
      </c>
      <c r="P50" s="1884" t="s">
        <v>1541</v>
      </c>
      <c r="Q50" s="1896">
        <f ca="1">J58</f>
        <v>0.57499999999999996</v>
      </c>
      <c r="R50" s="1885"/>
    </row>
    <row r="51" spans="1:18" s="1841" customFormat="1" ht="13.5" thickBot="1">
      <c r="A51" s="1195"/>
      <c r="B51" s="1197"/>
      <c r="C51" s="1198"/>
      <c r="D51" s="1171"/>
      <c r="E51" s="1199" t="s">
        <v>1408</v>
      </c>
      <c r="F51" s="348">
        <f ca="1">F8</f>
        <v>365</v>
      </c>
      <c r="I51" s="1897" t="s">
        <v>1542</v>
      </c>
      <c r="J51" s="1898">
        <f>IF(J49="",J50,J49+J50-YEAR('数据-取费表'!B2))</f>
        <v>60</v>
      </c>
      <c r="K51" s="1899" t="s">
        <v>1543</v>
      </c>
      <c r="L51" s="1900">
        <f ca="1">ROUND(-PV(INDIRECT("'数据-取费表'!h"&amp;$G$1),L48,(C39-C13*C76),0),0)</f>
        <v>-2283</v>
      </c>
      <c r="M51" s="1901"/>
      <c r="O51" s="1893" t="s">
        <v>1044</v>
      </c>
      <c r="P51" s="1884" t="s">
        <v>1544</v>
      </c>
      <c r="Q51" s="1896">
        <f>J52</f>
        <v>8.5000000000000006E-2</v>
      </c>
      <c r="R51" s="1885"/>
    </row>
    <row r="52" spans="1:18" s="1841" customFormat="1" ht="13.5" thickBot="1">
      <c r="A52" s="1195"/>
      <c r="B52" s="1197"/>
      <c r="C52" s="1198"/>
      <c r="D52" s="1171"/>
      <c r="E52" s="1199" t="s">
        <v>1409</v>
      </c>
      <c r="F52" s="1274"/>
      <c r="I52" s="1902" t="s">
        <v>1545</v>
      </c>
      <c r="J52" s="1903">
        <f>'数据-取费表'!J7+0.005</f>
        <v>8.5000000000000006E-2</v>
      </c>
      <c r="K52" s="1902" t="s">
        <v>1546</v>
      </c>
      <c r="L52" s="1903"/>
      <c r="O52" s="1893" t="s">
        <v>1045</v>
      </c>
      <c r="P52" s="1884" t="s">
        <v>1547</v>
      </c>
      <c r="Q52" s="1885">
        <f ca="1">J53</f>
        <v>25.52</v>
      </c>
      <c r="R52" s="1885" t="s">
        <v>1548</v>
      </c>
    </row>
    <row r="53" spans="1:18" s="1841" customFormat="1" ht="24.75" thickBot="1">
      <c r="A53" s="1404" t="s">
        <v>1137</v>
      </c>
      <c r="B53" s="1830" t="s">
        <v>1410</v>
      </c>
      <c r="C53" s="361">
        <f ca="1">ROUND(IF(F53="押一",F49*F51*F50/12*F11,IF(F53="押二",F49*F51*F50/12*2*F11,IF(F53="押三",F49*F51*F50/12*3*F11,C54*F11)))/10000,0)</f>
        <v>0</v>
      </c>
      <c r="D53" s="1823" t="s">
        <v>3028</v>
      </c>
      <c r="E53" s="358" t="s">
        <v>1412</v>
      </c>
      <c r="F53" s="1365"/>
      <c r="I53" s="1904" t="s">
        <v>1549</v>
      </c>
      <c r="J53" s="1905">
        <f ca="1">IF(M47="住宅",J51,IF(D1="——",MIN(J51,L48),IF(D1="在建（套用方法）",MIN(J51,L48-'数据-取费表'!B24),IF(D1="土地（套用方法）",MIN(J51,L48-'数据-取费表'!B20)))))</f>
        <v>25.52</v>
      </c>
      <c r="K53" s="3162" t="s">
        <v>1550</v>
      </c>
      <c r="L53" s="3163"/>
      <c r="O53" s="1883" t="s">
        <v>1046</v>
      </c>
      <c r="P53" s="1884" t="s">
        <v>1551</v>
      </c>
      <c r="Q53" s="1885">
        <f ca="1">Q47+Q48</f>
        <v>7075</v>
      </c>
      <c r="R53" s="1885" t="s">
        <v>1047</v>
      </c>
    </row>
    <row r="54" spans="1:18" s="1841" customFormat="1" ht="13.5" thickBot="1">
      <c r="A54" s="1405"/>
      <c r="B54" s="1824" t="s">
        <v>1389</v>
      </c>
      <c r="C54" s="1177"/>
      <c r="D54" s="1823"/>
      <c r="E54" s="292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2" t="s">
        <v>1075</v>
      </c>
      <c r="B55" s="1826" t="s">
        <v>1415</v>
      </c>
      <c r="C55" s="1333"/>
      <c r="D55" s="1823"/>
      <c r="E55" s="2926"/>
      <c r="F55" s="1906"/>
      <c r="I55" s="1909" t="s">
        <v>1553</v>
      </c>
      <c r="J55" s="1910">
        <f ca="1">ROUND(IF(J47="钢混",J57/J50,1-(1-2%)*(J50-J57)/J50),3)</f>
        <v>0.57499999999999996</v>
      </c>
      <c r="K55" s="1911" t="s">
        <v>1554</v>
      </c>
      <c r="L55" s="1912" t="s">
        <v>1555</v>
      </c>
      <c r="O55" s="1876" t="s">
        <v>1524</v>
      </c>
      <c r="P55" s="1877" t="s">
        <v>1525</v>
      </c>
      <c r="Q55" s="1878" t="s">
        <v>1526</v>
      </c>
      <c r="R55" s="1878" t="s">
        <v>1527</v>
      </c>
    </row>
    <row r="56" spans="1:18" s="1841" customFormat="1" ht="25.5" thickTop="1" thickBot="1">
      <c r="A56" s="1175">
        <v>2</v>
      </c>
      <c r="B56" s="1176" t="s">
        <v>1416</v>
      </c>
      <c r="C56" s="276">
        <f ca="1">C13</f>
        <v>6178</v>
      </c>
      <c r="D56" s="1913"/>
      <c r="E56" s="1914"/>
      <c r="F56" s="1906"/>
      <c r="I56" s="1915" t="s">
        <v>1556</v>
      </c>
      <c r="J56" s="1916" t="s">
        <v>3050</v>
      </c>
      <c r="K56" s="1886" t="s">
        <v>1557</v>
      </c>
      <c r="L56" s="1889" t="str">
        <f ca="1">IF(L48&lt;J51,"——",L48-J53)</f>
        <v>——</v>
      </c>
      <c r="O56" s="1883" t="s">
        <v>1040</v>
      </c>
      <c r="P56" s="1884" t="s">
        <v>1530</v>
      </c>
      <c r="Q56" s="1885">
        <f ca="1">C40+J29</f>
        <v>6632</v>
      </c>
      <c r="R56" s="1885" t="s">
        <v>1531</v>
      </c>
    </row>
    <row r="57" spans="1:18" s="1841" customFormat="1" ht="24.75" thickBot="1">
      <c r="A57" s="1917"/>
      <c r="B57" s="1168" t="s">
        <v>1480</v>
      </c>
      <c r="C57" s="282">
        <f ca="1">C29</f>
        <v>6178</v>
      </c>
      <c r="D57" s="1918"/>
      <c r="E57" s="1919"/>
      <c r="F57" s="1920"/>
      <c r="I57" s="1921" t="s">
        <v>1558</v>
      </c>
      <c r="J57" s="1922">
        <f ca="1">IF(OR(M47="住宅",J51&lt;L48,J56="是"),"——",J51-L48)</f>
        <v>34.480000000000004</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6" t="s">
        <v>1426</v>
      </c>
      <c r="C58" s="361">
        <f ca="1">ROUND(C59+C64+C65+C66,0)</f>
        <v>156</v>
      </c>
      <c r="D58" s="1178" t="s">
        <v>1427</v>
      </c>
      <c r="E58" s="1179"/>
      <c r="F58" s="1180"/>
      <c r="I58" s="1921" t="s">
        <v>1562</v>
      </c>
      <c r="J58" s="1923">
        <f ca="1">IF(J55&lt;0.4,0.4,J55)</f>
        <v>0.57499999999999996</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ROUND(IF(项目基本情况!B11="自然人",C48*F59,C60+C61+C62),1)</f>
        <v>53.8</v>
      </c>
      <c r="D59" s="1181" t="s">
        <v>1432</v>
      </c>
      <c r="E59" s="1182" t="s">
        <v>1433</v>
      </c>
      <c r="F59" s="368" t="str">
        <f ca="1">IF(项目基本情况!B11="企业","",IF(INDIRECT("'数据-取费表'!c"&amp;$G$1)="住宅",5%,IF(F49*F50*F51/12/(1+'数据-取费表'!C42)&gt;20000,12%,7%)))</f>
        <v/>
      </c>
      <c r="I59" s="1921" t="s">
        <v>1565</v>
      </c>
      <c r="J59" s="1922">
        <f ca="1">IF(OR(M47="住宅",J51&lt;L48,J56="是"),"——",ROUND(C29*J58,0))</f>
        <v>3552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IF(项目基本情况!B11="自然人","——",ROUND(C48*F60/(1+'数据-取费表'!C42),2))</f>
        <v>0</v>
      </c>
      <c r="D60" s="1182" t="s">
        <v>1436</v>
      </c>
      <c r="E60" s="1168" t="s">
        <v>1424</v>
      </c>
      <c r="F60" s="377">
        <f t="shared" ref="F60:F66" si="0">F32</f>
        <v>5.6000000000000001E-2</v>
      </c>
      <c r="I60" s="1924" t="s">
        <v>1567</v>
      </c>
      <c r="J60" s="1925">
        <f ca="1">IF(OR(M47="住宅",J51&lt;L48,J56="是"),"0",ROUND(J59/(1+J52)^J53,0))</f>
        <v>443</v>
      </c>
      <c r="K60" s="1926" t="s">
        <v>1568</v>
      </c>
      <c r="L60" s="1925">
        <f ca="1">IF(OR(M47="住宅",L48&lt;J51),0,ROUND(L57*(L58/L59-1),0))</f>
        <v>0</v>
      </c>
      <c r="O60" s="1893" t="s">
        <v>1044</v>
      </c>
      <c r="P60" s="1884" t="s">
        <v>1569</v>
      </c>
      <c r="Q60" s="1885" t="e">
        <f ca="1">L58</f>
        <v>#DIV/0!</v>
      </c>
      <c r="R60" s="1885" t="s">
        <v>1570</v>
      </c>
    </row>
    <row r="61" spans="1:18" s="1841" customFormat="1" ht="13.5" thickBot="1">
      <c r="A61" s="1200" t="s">
        <v>1494</v>
      </c>
      <c r="B61" s="1168" t="s">
        <v>1439</v>
      </c>
      <c r="C61" s="24">
        <f ca="1">IF(项目基本情况!B11="自然人","——",IF(D61="按租金收入计税",ROUND(C48*F61,2),IF(D61="按房产原值计税",ROUND(C57*F61*0.7,2),INDIRECT("'数据-取费表'!Aj"&amp;$G$1))))</f>
        <v>51.9</v>
      </c>
      <c r="D61" s="1827" t="s">
        <v>1440</v>
      </c>
      <c r="E61" s="1168"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0" t="s">
        <v>1497</v>
      </c>
      <c r="B62" s="1167" t="s">
        <v>1443</v>
      </c>
      <c r="C62" s="25">
        <f ca="1">IF(项目基本情况!B11="自然人","——",ROUND(F62*F63/10000,2))</f>
        <v>1.94</v>
      </c>
      <c r="D62" s="1183" t="s">
        <v>1444</v>
      </c>
      <c r="E62" s="1168" t="s">
        <v>1445</v>
      </c>
      <c r="F62" s="371">
        <f t="shared" si="0"/>
        <v>3</v>
      </c>
      <c r="I62" s="1928" t="s">
        <v>1572</v>
      </c>
      <c r="J62" s="1929" t="s">
        <v>1573</v>
      </c>
      <c r="K62" s="1929" t="s">
        <v>1574</v>
      </c>
      <c r="L62" s="1929" t="s">
        <v>1575</v>
      </c>
      <c r="M62" s="1930" t="s">
        <v>1576</v>
      </c>
      <c r="O62" s="1883" t="s">
        <v>1046</v>
      </c>
      <c r="P62" s="1884" t="s">
        <v>1551</v>
      </c>
      <c r="Q62" s="1885">
        <f ca="1">Q56+Q57</f>
        <v>6632</v>
      </c>
      <c r="R62" s="1885" t="s">
        <v>1047</v>
      </c>
    </row>
    <row r="63" spans="1:18" s="1841" customFormat="1" ht="13.5" thickBot="1">
      <c r="A63" s="372"/>
      <c r="B63" s="1174"/>
      <c r="C63" s="29"/>
      <c r="D63" s="1184"/>
      <c r="E63" s="1168" t="s">
        <v>1449</v>
      </c>
      <c r="F63" s="348">
        <f t="shared" ca="1" si="0"/>
        <v>6474.52</v>
      </c>
      <c r="I63" s="1928" t="s">
        <v>1578</v>
      </c>
      <c r="J63" s="1929">
        <v>70</v>
      </c>
      <c r="K63" s="1929">
        <v>50</v>
      </c>
      <c r="L63" s="1929">
        <v>80</v>
      </c>
      <c r="M63" s="1931">
        <v>0.02</v>
      </c>
      <c r="O63" s="1868" t="s">
        <v>1579</v>
      </c>
      <c r="P63" s="1838"/>
      <c r="Q63" s="1838"/>
      <c r="R63" s="1838"/>
    </row>
    <row r="64" spans="1:18" s="1841" customFormat="1" ht="13.5" thickBot="1">
      <c r="A64" s="1200" t="s">
        <v>1039</v>
      </c>
      <c r="B64" s="1168" t="s">
        <v>1451</v>
      </c>
      <c r="C64" s="24">
        <f ca="1">ROUND(C57*F64,1)</f>
        <v>92.7</v>
      </c>
      <c r="D64" s="1182" t="s">
        <v>1484</v>
      </c>
      <c r="E64" s="1168"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ROUND(C56*F65,1)</f>
        <v>9.3000000000000007</v>
      </c>
      <c r="D65" s="1182" t="s">
        <v>1456</v>
      </c>
      <c r="E65" s="1168" t="s">
        <v>1424</v>
      </c>
      <c r="F65" s="376">
        <f t="shared" ca="1" si="0"/>
        <v>1.5E-3</v>
      </c>
      <c r="I65" s="1928" t="s">
        <v>1581</v>
      </c>
      <c r="J65" s="1929">
        <v>40</v>
      </c>
      <c r="K65" s="1929">
        <v>30</v>
      </c>
      <c r="L65" s="1929">
        <v>50</v>
      </c>
      <c r="M65" s="1931">
        <v>0.02</v>
      </c>
      <c r="O65" s="1883" t="s">
        <v>1040</v>
      </c>
      <c r="P65" s="1884" t="s">
        <v>1530</v>
      </c>
      <c r="Q65" s="1885">
        <f ca="1">C40+J29</f>
        <v>6632</v>
      </c>
      <c r="R65" s="1885" t="s">
        <v>1531</v>
      </c>
    </row>
    <row r="66" spans="1:18" s="1841" customFormat="1" ht="16.5" thickBot="1">
      <c r="A66" s="1200" t="s">
        <v>1506</v>
      </c>
      <c r="B66" s="1168" t="s">
        <v>1441</v>
      </c>
      <c r="C66" s="24">
        <f ca="1">ROUND(C48*F66,1)</f>
        <v>0</v>
      </c>
      <c r="D66" s="1182" t="s">
        <v>1461</v>
      </c>
      <c r="E66" s="1168" t="s">
        <v>1424</v>
      </c>
      <c r="F66" s="357">
        <f t="shared" ca="1" si="0"/>
        <v>0.01</v>
      </c>
      <c r="O66" s="1883" t="s">
        <v>1041</v>
      </c>
      <c r="P66" s="1884" t="s">
        <v>1560</v>
      </c>
      <c r="Q66" s="1885">
        <f ca="1">L60</f>
        <v>0</v>
      </c>
      <c r="R66" s="1885" t="s">
        <v>1583</v>
      </c>
    </row>
    <row r="67" spans="1:18" s="1841" customFormat="1" ht="16.5" thickBot="1">
      <c r="A67" s="1175" t="s">
        <v>1031</v>
      </c>
      <c r="B67" s="1185" t="s">
        <v>1465</v>
      </c>
      <c r="C67" s="361">
        <f ca="1">C48-C58</f>
        <v>-156</v>
      </c>
      <c r="D67" s="1181" t="s">
        <v>1466</v>
      </c>
      <c r="E67" s="1186"/>
      <c r="F67" s="1187"/>
      <c r="O67" s="1893" t="s">
        <v>1042</v>
      </c>
      <c r="P67" s="1884" t="s">
        <v>1564</v>
      </c>
      <c r="Q67" s="1932">
        <f ca="1">L51</f>
        <v>-2283</v>
      </c>
      <c r="R67" s="1885" t="s">
        <v>1584</v>
      </c>
    </row>
    <row r="68" spans="1:18" s="1841" customFormat="1" ht="16.5" thickBot="1">
      <c r="A68" s="1165" t="s">
        <v>1032</v>
      </c>
      <c r="B68" s="1166" t="s">
        <v>1487</v>
      </c>
      <c r="C68" s="346">
        <f ca="1">ROUND(C67*(1-((1+F70)/(1+F68))^F69)/(F68-F70),0)</f>
        <v>-2222</v>
      </c>
      <c r="D68" s="1183" t="s">
        <v>1471</v>
      </c>
      <c r="E68" s="1168" t="s">
        <v>1472</v>
      </c>
      <c r="F68" s="357">
        <f ca="1">F40</f>
        <v>0.05</v>
      </c>
      <c r="O68" s="1893" t="s">
        <v>1043</v>
      </c>
      <c r="P68" s="1933" t="s">
        <v>1585</v>
      </c>
      <c r="Q68" s="1885">
        <f ca="1">ROUND(Q69-Q70*Q71,0)</f>
        <v>-152</v>
      </c>
      <c r="R68" s="1885" t="s">
        <v>1051</v>
      </c>
    </row>
    <row r="69" spans="1:18" s="1841" customFormat="1" ht="13.5" thickBot="1">
      <c r="A69" s="1169"/>
      <c r="B69" s="1170"/>
      <c r="C69" s="351"/>
      <c r="D69" s="1188" t="s">
        <v>1475</v>
      </c>
      <c r="E69" s="1168" t="s">
        <v>1476</v>
      </c>
      <c r="F69" s="379">
        <f ca="1">F41</f>
        <v>25.52</v>
      </c>
      <c r="O69" s="1893" t="s">
        <v>1048</v>
      </c>
      <c r="P69" s="1933" t="s">
        <v>1586</v>
      </c>
      <c r="Q69" s="1885">
        <f ca="1">C39</f>
        <v>342</v>
      </c>
      <c r="R69" s="1885" t="s">
        <v>1531</v>
      </c>
    </row>
    <row r="70" spans="1:18" s="1841" customFormat="1" ht="13.5" thickBot="1">
      <c r="A70" s="1172"/>
      <c r="B70" s="1173"/>
      <c r="C70" s="355"/>
      <c r="D70" s="1184"/>
      <c r="E70" s="1168" t="s">
        <v>1479</v>
      </c>
      <c r="F70" s="1274"/>
      <c r="O70" s="1893" t="s">
        <v>1049</v>
      </c>
      <c r="P70" s="1933" t="s">
        <v>1587</v>
      </c>
      <c r="Q70" s="1885">
        <f ca="1">C13</f>
        <v>6178</v>
      </c>
      <c r="R70" s="1885" t="s">
        <v>1531</v>
      </c>
    </row>
    <row r="71" spans="1:18" s="1841" customFormat="1" ht="13.5" thickBot="1">
      <c r="A71" s="1189" t="s">
        <v>1033</v>
      </c>
      <c r="B71" s="1190" t="s">
        <v>1489</v>
      </c>
      <c r="C71" s="382">
        <f ca="1">ROUND(C68*10000/F71,0)</f>
        <v>-1646</v>
      </c>
      <c r="D71" s="1191" t="s">
        <v>1490</v>
      </c>
      <c r="E71" s="1192" t="s">
        <v>1491</v>
      </c>
      <c r="F71" s="385">
        <f ca="1">F43</f>
        <v>13500.24</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494</v>
      </c>
      <c r="D75" s="1841"/>
      <c r="E75" s="1841"/>
      <c r="F75" s="1841"/>
      <c r="K75" s="1867"/>
      <c r="L75" s="1841"/>
      <c r="O75" s="1883" t="s">
        <v>1046</v>
      </c>
      <c r="P75" s="1884" t="s">
        <v>1551</v>
      </c>
      <c r="Q75" s="1885">
        <f ca="1">Q65+Q66</f>
        <v>6632</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-0.44399999999999995</v>
      </c>
    </row>
    <row r="80" spans="1:18">
      <c r="B80" s="386" t="s">
        <v>1513</v>
      </c>
      <c r="C80" s="318">
        <f ca="1">ROUND(C75/C39,3)</f>
        <v>1.444</v>
      </c>
    </row>
    <row r="81" spans="2:3">
      <c r="B81" s="314" t="s">
        <v>1514</v>
      </c>
      <c r="C81" s="282"/>
    </row>
    <row r="82" spans="2:3">
      <c r="B82" s="317" t="s">
        <v>1515</v>
      </c>
      <c r="C82" s="319">
        <f ca="1">1-C83</f>
        <v>6.7999999999999949E-2</v>
      </c>
    </row>
    <row r="83" spans="2:3">
      <c r="B83" s="317" t="s">
        <v>1516</v>
      </c>
      <c r="C83" s="318">
        <f ca="1">ROUND(C13/C40,3)</f>
        <v>0.93200000000000005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6" sqref="B6:B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3074</v>
      </c>
      <c r="D1" s="1819" t="s">
        <v>70</v>
      </c>
      <c r="E1" s="1820" t="s">
        <v>1388</v>
      </c>
      <c r="F1" s="1282">
        <f ca="1">J53</f>
        <v>25.52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6391</v>
      </c>
      <c r="C2" s="1844" t="s">
        <v>1518</v>
      </c>
      <c r="D2" s="1844"/>
      <c r="E2" s="1845"/>
      <c r="F2" s="1846"/>
      <c r="G2" s="1847"/>
      <c r="H2" s="1839"/>
      <c r="I2" s="1839"/>
      <c r="J2" s="1839"/>
      <c r="K2" s="1840"/>
      <c r="L2" s="1839"/>
      <c r="M2" s="1839"/>
    </row>
    <row r="3" spans="1:37" ht="18" customHeight="1" thickBot="1">
      <c r="A3" s="1848" t="s">
        <v>1519</v>
      </c>
      <c r="B3" s="1849">
        <f ca="1">IF(ISERROR(B2*10000/F43),0,ROUND(B2*10000/F43,0))</f>
        <v>5252</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1">
        <f ca="1">C6+C10+C12</f>
        <v>480</v>
      </c>
      <c r="D5" s="1821" t="s">
        <v>1403</v>
      </c>
      <c r="E5" s="1292"/>
      <c r="F5" s="1293"/>
      <c r="G5" s="1850"/>
      <c r="H5" s="344">
        <v>1</v>
      </c>
      <c r="I5" s="345" t="s">
        <v>1402</v>
      </c>
      <c r="J5" s="1291">
        <f ca="1">J6+J10+J12</f>
        <v>0</v>
      </c>
      <c r="K5" s="1821" t="s">
        <v>1403</v>
      </c>
      <c r="L5" s="1292"/>
      <c r="M5" s="1293"/>
    </row>
    <row r="6" spans="1:37" ht="18" customHeight="1">
      <c r="A6" s="1290" t="s">
        <v>1035</v>
      </c>
      <c r="B6" s="3159" t="s">
        <v>1404</v>
      </c>
      <c r="C6" s="1295">
        <f ca="1">ROUND(F6*F8*F7*(1-F9)/10000,0)</f>
        <v>480</v>
      </c>
      <c r="D6" s="164" t="s">
        <v>3032</v>
      </c>
      <c r="E6" s="347" t="s">
        <v>1406</v>
      </c>
      <c r="F6" s="348">
        <f ca="1">INDIRECT("'数据-取费表'!u"&amp;$G$1)</f>
        <v>1.2</v>
      </c>
      <c r="G6" s="1850"/>
      <c r="H6" s="1290" t="s">
        <v>1035</v>
      </c>
      <c r="I6" s="3159" t="s">
        <v>1404</v>
      </c>
      <c r="J6" s="346">
        <f ca="1">ROUND(M6*M8*M7*(1-M9)/10000,0)</f>
        <v>0</v>
      </c>
      <c r="K6" s="164" t="s">
        <v>3031</v>
      </c>
      <c r="L6" s="347" t="s">
        <v>1406</v>
      </c>
      <c r="M6" s="348">
        <f ca="1">INDIRECT("'数据-取费表'!z"&amp;$G$1)</f>
        <v>0</v>
      </c>
    </row>
    <row r="7" spans="1:37" ht="18" customHeight="1">
      <c r="A7" s="1294"/>
      <c r="B7" s="3160"/>
      <c r="C7" s="1296"/>
      <c r="D7" s="352"/>
      <c r="E7" s="2930" t="s">
        <v>1407</v>
      </c>
      <c r="F7" s="348">
        <f ca="1">IF(INDIRECT("'数据-取费表'!ah"&amp;$G$1)="",INDIRECT("'数据-取费表'!k"&amp;$G$1),INDIRECT("'数据-取费表'!ah"&amp;$G$1))</f>
        <v>12168.39</v>
      </c>
      <c r="G7" s="1850"/>
      <c r="H7" s="349"/>
      <c r="I7" s="3160"/>
      <c r="J7" s="351"/>
      <c r="K7" s="352"/>
      <c r="L7" s="347" t="s">
        <v>1407</v>
      </c>
      <c r="M7" s="348">
        <f ca="1">F7</f>
        <v>12168.39</v>
      </c>
    </row>
    <row r="8" spans="1:37" ht="18" customHeight="1">
      <c r="A8" s="349"/>
      <c r="B8" s="3160"/>
      <c r="C8" s="351"/>
      <c r="D8" s="352"/>
      <c r="E8" s="347" t="s">
        <v>1408</v>
      </c>
      <c r="F8" s="348">
        <f ca="1">INDIRECT("'数据-取费表'!ai"&amp;$G$1)</f>
        <v>365</v>
      </c>
      <c r="G8" s="1850"/>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0.1</v>
      </c>
      <c r="G9" s="1850"/>
      <c r="H9" s="349"/>
      <c r="I9" s="3161"/>
      <c r="J9" s="351"/>
      <c r="K9" s="352"/>
      <c r="L9" s="358" t="s">
        <v>1409</v>
      </c>
      <c r="M9" s="359">
        <f ca="1">INDIRECT("'数据-取费表'!ab"&amp;$G$1)</f>
        <v>0</v>
      </c>
    </row>
    <row r="10" spans="1:37" ht="18" customHeight="1">
      <c r="A10" s="1290" t="s">
        <v>1039</v>
      </c>
      <c r="B10" s="1822" t="s">
        <v>1410</v>
      </c>
      <c r="C10" s="361">
        <f ca="1">ROUND(IF(F10="押一",F6*F8*F7/12*F11,IF(F10="押二",F6*F8*F7/12*2*F11,IF(F10="押三",F6*F8*F7/12*3*F11,C11*F11)))/10000,0)</f>
        <v>0</v>
      </c>
      <c r="D10" s="1823" t="s">
        <v>3028</v>
      </c>
      <c r="E10" s="358" t="s">
        <v>1412</v>
      </c>
      <c r="F10" s="1365"/>
      <c r="G10" s="1850"/>
      <c r="H10" s="1290" t="s">
        <v>1039</v>
      </c>
      <c r="I10" s="1822" t="s">
        <v>1410</v>
      </c>
      <c r="J10" s="346">
        <f ca="1">ROUND(IF(M10="押一",M6*M8*M7/12*M11,IF(M10="押二",M6*M8*M7/12*2*M11,IF(M10="押三",M6*M8*M7/12*3*M11,J11*M11)))/10000,0)</f>
        <v>0</v>
      </c>
      <c r="K10" s="1823" t="s">
        <v>3028</v>
      </c>
      <c r="L10" s="358" t="s">
        <v>1412</v>
      </c>
      <c r="M10" s="1365" t="s">
        <v>1413</v>
      </c>
    </row>
    <row r="11" spans="1:37" ht="18" customHeight="1">
      <c r="A11" s="353"/>
      <c r="B11" s="1824" t="s">
        <v>1389</v>
      </c>
      <c r="C11" s="1177"/>
      <c r="D11" s="1825"/>
      <c r="E11" s="358" t="s">
        <v>1414</v>
      </c>
      <c r="F11" s="359">
        <f ca="1">'数据-取费表'!B39</f>
        <v>1.4999999999999999E-2</v>
      </c>
      <c r="G11" s="1850"/>
      <c r="H11" s="1298"/>
      <c r="I11" s="1824" t="s">
        <v>1389</v>
      </c>
      <c r="J11" s="1177"/>
      <c r="K11" s="748"/>
      <c r="L11" s="358" t="s">
        <v>1414</v>
      </c>
      <c r="M11" s="1055">
        <f ca="1">'数据-取费表'!B39</f>
        <v>1.4999999999999999E-2</v>
      </c>
    </row>
    <row r="12" spans="1:37" ht="18" customHeight="1" thickBot="1">
      <c r="A12" s="1332" t="s">
        <v>1075</v>
      </c>
      <c r="B12" s="1826" t="s">
        <v>1415</v>
      </c>
      <c r="C12" s="1333"/>
      <c r="D12" s="1334"/>
      <c r="E12" s="1339"/>
      <c r="F12" s="1335"/>
      <c r="G12" s="1850"/>
      <c r="H12" s="1332" t="s">
        <v>1075</v>
      </c>
      <c r="I12" s="1826" t="s">
        <v>1415</v>
      </c>
      <c r="J12" s="1333"/>
      <c r="K12" s="1347"/>
      <c r="L12" s="1339"/>
      <c r="M12" s="1348"/>
    </row>
    <row r="13" spans="1:37" ht="18" customHeight="1" thickTop="1">
      <c r="A13" s="1328">
        <v>2</v>
      </c>
      <c r="B13" s="1329" t="s">
        <v>1416</v>
      </c>
      <c r="C13" s="355">
        <f ca="1">ROUND(C29*F13,0)</f>
        <v>5568</v>
      </c>
      <c r="D13" s="1330" t="s">
        <v>1417</v>
      </c>
      <c r="E13" s="1330" t="s">
        <v>1418</v>
      </c>
      <c r="F13" s="1331">
        <f ca="1">INDIRECT("'数据-取费表'!y"&amp;$G$1)</f>
        <v>1</v>
      </c>
      <c r="G13" s="1850"/>
      <c r="H13" s="1328">
        <v>2</v>
      </c>
      <c r="I13" s="1329" t="s">
        <v>1416</v>
      </c>
      <c r="J13" s="1289">
        <f ca="1">ROUND(J14*J15,0)</f>
        <v>0</v>
      </c>
      <c r="K13" s="1336" t="s">
        <v>1417</v>
      </c>
      <c r="L13" s="1851"/>
      <c r="M13" s="1852"/>
    </row>
    <row r="14" spans="1:37" ht="18" customHeight="1">
      <c r="A14" s="1200" t="s">
        <v>1034</v>
      </c>
      <c r="B14" s="347" t="s">
        <v>1419</v>
      </c>
      <c r="C14" s="363">
        <f ca="1">INDIRECT("'数据-取费表'!m"&amp;$G$1)+INDIRECT("'数据-取费表'!t"&amp;$G$1)</f>
        <v>3651</v>
      </c>
      <c r="D14" s="2924" t="s">
        <v>1420</v>
      </c>
      <c r="E14" s="2922"/>
      <c r="F14" s="364"/>
      <c r="G14" s="1850"/>
      <c r="H14" s="1200" t="s">
        <v>1035</v>
      </c>
      <c r="I14" s="347" t="s">
        <v>1421</v>
      </c>
      <c r="J14" s="24">
        <f ca="1">C29</f>
        <v>5568</v>
      </c>
      <c r="K14" s="2929"/>
      <c r="L14" s="978"/>
      <c r="M14" s="979"/>
    </row>
    <row r="15" spans="1:37" s="1857" customFormat="1" ht="18" customHeight="1" thickBot="1">
      <c r="A15" s="1200" t="s">
        <v>1036</v>
      </c>
      <c r="B15" s="347" t="s">
        <v>1422</v>
      </c>
      <c r="C15" s="24">
        <f ca="1">ROUND(C14*F15,0)</f>
        <v>183</v>
      </c>
      <c r="D15" s="365" t="s">
        <v>1423</v>
      </c>
      <c r="E15" s="365" t="s">
        <v>1424</v>
      </c>
      <c r="F15" s="366">
        <f>'数据-取费表'!B33</f>
        <v>0.05</v>
      </c>
      <c r="G15" s="1853"/>
      <c r="H15" s="1338" t="s">
        <v>1039</v>
      </c>
      <c r="I15" s="1339" t="s">
        <v>1418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0"/>
      <c r="H16" s="1328" t="s">
        <v>1030</v>
      </c>
      <c r="I16" s="1329" t="s">
        <v>1426</v>
      </c>
      <c r="J16" s="355">
        <f ca="1">ROUND(J17+J22+J23+J24,0)</f>
        <v>132</v>
      </c>
      <c r="K16" s="1336" t="s">
        <v>1427</v>
      </c>
      <c r="L16" s="2925"/>
      <c r="M16" s="1293"/>
    </row>
    <row r="17" spans="1:37" s="1857" customFormat="1" ht="18" customHeight="1">
      <c r="A17" s="1200" t="s">
        <v>1391</v>
      </c>
      <c r="B17" s="347" t="s">
        <v>1428</v>
      </c>
      <c r="C17" s="24">
        <f ca="1">ROUND(F17*(F43+INDIRECT("'数据-取费表'!S"&amp;$G$1))/10000,0)</f>
        <v>243</v>
      </c>
      <c r="D17" s="347" t="s">
        <v>1429</v>
      </c>
      <c r="E17" s="347" t="s">
        <v>1430</v>
      </c>
      <c r="F17" s="26">
        <f>'数据-取费表'!B35</f>
        <v>200</v>
      </c>
      <c r="G17" s="1853"/>
      <c r="H17" s="1200" t="s">
        <v>1035</v>
      </c>
      <c r="I17" s="347" t="s">
        <v>1431</v>
      </c>
      <c r="J17" s="24">
        <f ca="1">ROUND(IF(项目基本情况!B11="自然人",J5*M17,J18+J19+J20),1)</f>
        <v>48.5</v>
      </c>
      <c r="K17" s="2924" t="s">
        <v>1432</v>
      </c>
      <c r="L17" s="2923"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7" t="s">
        <v>1434</v>
      </c>
      <c r="C18" s="24">
        <f ca="1">ROUND(C14*F18,0)</f>
        <v>55</v>
      </c>
      <c r="D18" s="347" t="s">
        <v>1423</v>
      </c>
      <c r="E18" s="347" t="s">
        <v>1424</v>
      </c>
      <c r="F18" s="367">
        <f>'数据-取费表'!B36</f>
        <v>1.4999999999999999E-2</v>
      </c>
      <c r="G18" s="1853"/>
      <c r="H18" s="1200" t="s">
        <v>1034</v>
      </c>
      <c r="I18" s="347" t="s">
        <v>1435</v>
      </c>
      <c r="J18" s="24">
        <f ca="1">ROUND(J5*M18/(1+'数据-取费表'!C42),2)</f>
        <v>0</v>
      </c>
      <c r="K18" s="2923"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1437</v>
      </c>
      <c r="C19" s="24">
        <f ca="1">SUM(C14:C18)</f>
        <v>4132</v>
      </c>
      <c r="D19" s="139" t="s">
        <v>1438</v>
      </c>
      <c r="E19" s="2928"/>
      <c r="F19" s="26"/>
      <c r="G19" s="1850"/>
      <c r="H19" s="1200" t="s">
        <v>1036</v>
      </c>
      <c r="I19" s="347" t="s">
        <v>1439</v>
      </c>
      <c r="J19" s="24">
        <f ca="1">IF(K19="按租金收入计税",ROUND(J5*M19,2),ROUND(C29*M19*0.7,2))</f>
        <v>46.77</v>
      </c>
      <c r="K19" s="1827" t="s">
        <v>1440</v>
      </c>
      <c r="L19" s="347" t="s">
        <v>1424</v>
      </c>
      <c r="M19" s="367">
        <f>IF(K19="按租金收入计税",'数据-取费表'!B51,'数据-取费表'!B50)</f>
        <v>1.2E-2</v>
      </c>
    </row>
    <row r="20" spans="1:37" s="1857" customFormat="1" ht="18" customHeight="1">
      <c r="A20" s="1200" t="s">
        <v>1039</v>
      </c>
      <c r="B20" s="347" t="s">
        <v>1441</v>
      </c>
      <c r="C20" s="24">
        <f ca="1">ROUND(C19*F20,0)</f>
        <v>103</v>
      </c>
      <c r="D20" s="369" t="s">
        <v>1442</v>
      </c>
      <c r="E20" s="347" t="s">
        <v>1424</v>
      </c>
      <c r="F20" s="367">
        <f>'数据-取费表'!B37</f>
        <v>2.5000000000000001E-2</v>
      </c>
      <c r="G20" s="1853"/>
      <c r="H20" s="1200" t="s">
        <v>1390</v>
      </c>
      <c r="I20" s="164" t="s">
        <v>1443</v>
      </c>
      <c r="J20" s="25">
        <f ca="1">ROUND(M20*M21/10000,2)</f>
        <v>1.75</v>
      </c>
      <c r="K20" s="370" t="s">
        <v>1444</v>
      </c>
      <c r="L20" s="347" t="s">
        <v>1445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5835.79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7" t="s">
        <v>1450</v>
      </c>
      <c r="C22" s="24"/>
      <c r="D22" s="139" t="str">
        <f>IF(F23&lt;=1,"单利计息。","复利计息。")&amp;"建造成本、管理费用、销售费用产生的利息。"</f>
        <v>复利计息。建造成本、管理费用、销售费用产生的利息。</v>
      </c>
      <c r="E22" s="2928"/>
      <c r="F22" s="26"/>
      <c r="G22" s="1850"/>
      <c r="H22" s="1200" t="s">
        <v>1039</v>
      </c>
      <c r="I22" s="347" t="s">
        <v>1451</v>
      </c>
      <c r="J22" s="24">
        <f ca="1">ROUND(J14*M22,1)</f>
        <v>83.5</v>
      </c>
      <c r="K22" s="2923" t="s">
        <v>1452</v>
      </c>
      <c r="L22" s="347" t="s">
        <v>1424</v>
      </c>
      <c r="M22" s="374">
        <f ca="1">INDIRECT("'数据-取费表'!Ak"&amp;$G$1)</f>
        <v>1.4999999999999999E-2</v>
      </c>
    </row>
    <row r="23" spans="1:37" s="1857" customFormat="1" ht="18" customHeight="1">
      <c r="A23" s="1200" t="s">
        <v>1034</v>
      </c>
      <c r="B23" s="347" t="s">
        <v>1453</v>
      </c>
      <c r="C23" s="24">
        <f ca="1">IF('数据-取费表'!B22&lt;=1,ROUND(C19*F24*F23/2,0)+ROUND(C20*F24*F23/2,0),ROUND(C19*(POWER((1+F24),F23/2)-1),0)+ROUND(C20*(POWER((1+F24),F23/2)-1),0))</f>
        <v>201</v>
      </c>
      <c r="D23" s="375" t="str">
        <f>IF(F23&lt;=1,"(建造成本+管理费用)×利率×(建设周期÷2)","(建造成本+管理费用)×((1+利率)^(建设周期÷2)-1)")</f>
        <v>(建造成本+管理费用)×((1+利率)^(建设周期÷2)-1)</v>
      </c>
      <c r="E23" s="347" t="s">
        <v>1454</v>
      </c>
      <c r="F23" s="371">
        <f>'数据-取费表'!B20</f>
        <v>2</v>
      </c>
      <c r="G23" s="1853"/>
      <c r="H23" s="1200" t="s">
        <v>1075</v>
      </c>
      <c r="I23" s="347" t="s">
        <v>1455</v>
      </c>
      <c r="J23" s="24">
        <f ca="1">ROUND(J13*M23,1)</f>
        <v>0</v>
      </c>
      <c r="K23" s="2923"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3"/>
      <c r="H24" s="1338" t="s">
        <v>1393</v>
      </c>
      <c r="I24" s="1339" t="s">
        <v>1441</v>
      </c>
      <c r="J24" s="1340">
        <f ca="1">ROUND(J5*M24,1)</f>
        <v>0</v>
      </c>
      <c r="K24" s="1341" t="s">
        <v>1461</v>
      </c>
      <c r="L24" s="1339" t="s">
        <v>1424</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1462</v>
      </c>
      <c r="B25" s="347" t="s">
        <v>1463</v>
      </c>
      <c r="C25" s="24"/>
      <c r="D25" s="139" t="s">
        <v>1464</v>
      </c>
      <c r="E25" s="2928"/>
      <c r="F25" s="26"/>
      <c r="G25" s="1850"/>
      <c r="H25" s="1328" t="s">
        <v>1031</v>
      </c>
      <c r="I25" s="1343" t="s">
        <v>1465</v>
      </c>
      <c r="J25" s="355">
        <f ca="1">J5-J16</f>
        <v>-132</v>
      </c>
      <c r="K25" s="1344" t="s">
        <v>1466</v>
      </c>
      <c r="L25" s="1345"/>
      <c r="M25" s="1346"/>
    </row>
    <row r="26" spans="1:37">
      <c r="A26" s="1200" t="s">
        <v>1034</v>
      </c>
      <c r="B26" s="347" t="s">
        <v>1467</v>
      </c>
      <c r="C26" s="24">
        <f ca="1">ROUND((C19+C20)*F26,0)</f>
        <v>635</v>
      </c>
      <c r="D26" s="369" t="s">
        <v>1468</v>
      </c>
      <c r="E26" s="358" t="s">
        <v>1469</v>
      </c>
      <c r="F26" s="357">
        <f ca="1">INDIRECT("'数据-取费表'!q"&amp;$G$1)</f>
        <v>0.15</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4.4999999999999997E-3</v>
      </c>
      <c r="D27" s="369" t="s">
        <v>1474</v>
      </c>
      <c r="E27" s="365"/>
      <c r="F27" s="366"/>
      <c r="G27" s="1850"/>
      <c r="H27" s="349"/>
      <c r="I27" s="350"/>
      <c r="J27" s="351"/>
      <c r="K27" s="378" t="s">
        <v>1475</v>
      </c>
      <c r="L27" s="347" t="s">
        <v>1476</v>
      </c>
      <c r="M27" s="379">
        <f ca="1">INDIRECT("'数据-取费表'!ag"&amp;$G$1)</f>
        <v>0</v>
      </c>
    </row>
    <row r="28" spans="1:37" s="1857" customFormat="1" ht="18" customHeight="1">
      <c r="A28" s="1200"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1480</v>
      </c>
      <c r="C29" s="1340">
        <f ca="1">ROUND((C19+C20+C23+C26)/(1-F21-C24-C27-C28),0)</f>
        <v>5568</v>
      </c>
      <c r="D29" s="1341"/>
      <c r="E29" s="1339"/>
      <c r="F29" s="1342"/>
      <c r="G29" s="1853"/>
      <c r="H29" s="380" t="s">
        <v>1033</v>
      </c>
      <c r="I29" s="381" t="s">
        <v>1481</v>
      </c>
      <c r="J29" s="382">
        <f ca="1">ROUND(J26/(1+F40)^F41,0)</f>
        <v>0</v>
      </c>
      <c r="K29" s="383" t="s">
        <v>1482</v>
      </c>
      <c r="L29" s="384"/>
      <c r="M29" s="385">
        <f ca="1">INDIRECT("'数据-取费表'!k"&amp;$G$1)</f>
        <v>12168.39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1426</v>
      </c>
      <c r="C30" s="355">
        <f ca="1">ROUND(C31+C36+C37+C38,0)</f>
        <v>171</v>
      </c>
      <c r="D30" s="1336" t="s">
        <v>1427</v>
      </c>
      <c r="E30" s="2925"/>
      <c r="F30" s="1293"/>
      <c r="G30" s="1850"/>
      <c r="H30" s="745"/>
      <c r="I30" s="746"/>
      <c r="J30" s="747"/>
      <c r="K30" s="748"/>
      <c r="L30" s="749"/>
      <c r="M30" s="750"/>
    </row>
    <row r="31" spans="1:37" ht="18" customHeight="1">
      <c r="A31" s="1200" t="s">
        <v>1035</v>
      </c>
      <c r="B31" s="347" t="s">
        <v>1431</v>
      </c>
      <c r="C31" s="24">
        <f ca="1">ROUND(IF(项目基本情况!B11="自然人",C5*F31,C32+C33+C34),1)</f>
        <v>74.099999999999994</v>
      </c>
      <c r="D31" s="2924" t="s">
        <v>1432</v>
      </c>
      <c r="E31" s="2923"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1435</v>
      </c>
      <c r="C32" s="24">
        <f ca="1">IF(项目基本情况!B11="自然人","——",ROUND(C5*F32/(1+'数据-取费表'!C42),2))</f>
        <v>25.6</v>
      </c>
      <c r="D32" s="2923" t="s">
        <v>1436</v>
      </c>
      <c r="E32" s="347" t="s">
        <v>1424</v>
      </c>
      <c r="F32" s="377">
        <f>'数据-取费表'!B41</f>
        <v>5.6000000000000001E-2</v>
      </c>
      <c r="G32" s="1850"/>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46.77</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0" t="s">
        <v>1390</v>
      </c>
      <c r="B34" s="164" t="s">
        <v>1443</v>
      </c>
      <c r="C34" s="25">
        <f ca="1">IF(项目基本情况!B11="自然人","——",ROUND(F34*F35/10000,2))</f>
        <v>1.75</v>
      </c>
      <c r="D34" s="370" t="s">
        <v>1444</v>
      </c>
      <c r="E34" s="347" t="s">
        <v>1445</v>
      </c>
      <c r="F34" s="371">
        <f>'数据-取费表'!B52</f>
        <v>3</v>
      </c>
      <c r="G34" s="1850"/>
      <c r="H34" s="745"/>
      <c r="I34" s="1859"/>
      <c r="J34" s="1860"/>
      <c r="K34" s="1862"/>
      <c r="L34" s="1863"/>
      <c r="M34" s="1863"/>
    </row>
    <row r="35" spans="1:18" ht="18" customHeight="1">
      <c r="A35" s="1352"/>
      <c r="B35" s="1350"/>
      <c r="C35" s="29"/>
      <c r="D35" s="373"/>
      <c r="E35" s="347" t="s">
        <v>1449</v>
      </c>
      <c r="F35" s="348">
        <f ca="1">INDIRECT("'数据-取费表'!r"&amp;$G$1)</f>
        <v>5835.79</v>
      </c>
      <c r="G35" s="1850"/>
      <c r="H35" s="745"/>
      <c r="I35" s="1859"/>
      <c r="J35" s="1860"/>
      <c r="K35" s="1861"/>
      <c r="L35" s="1858"/>
      <c r="M35" s="1858"/>
    </row>
    <row r="36" spans="1:18" ht="18" customHeight="1">
      <c r="A36" s="1351" t="s">
        <v>1039</v>
      </c>
      <c r="B36" s="347" t="s">
        <v>1451</v>
      </c>
      <c r="C36" s="24">
        <f ca="1">ROUND(C29*F36,1)</f>
        <v>83.5</v>
      </c>
      <c r="D36" s="2923" t="s">
        <v>1484</v>
      </c>
      <c r="E36" s="347" t="s">
        <v>1424</v>
      </c>
      <c r="F36" s="374">
        <f ca="1">INDIRECT("'数据-取费表'!Ak"&amp;$G$1)</f>
        <v>1.4999999999999999E-2</v>
      </c>
      <c r="G36" s="1850"/>
      <c r="H36" s="1858"/>
      <c r="I36" s="1859"/>
      <c r="J36" s="1860"/>
      <c r="K36" s="751"/>
      <c r="L36" s="1858"/>
      <c r="M36" s="1858"/>
    </row>
    <row r="37" spans="1:18" ht="18" customHeight="1">
      <c r="A37" s="1200" t="s">
        <v>1075</v>
      </c>
      <c r="B37" s="347" t="s">
        <v>1455</v>
      </c>
      <c r="C37" s="24">
        <f ca="1">ROUND(C13*F37,1)</f>
        <v>8.4</v>
      </c>
      <c r="D37" s="2923" t="s">
        <v>1456</v>
      </c>
      <c r="E37" s="347" t="s">
        <v>1424</v>
      </c>
      <c r="F37" s="376">
        <f ca="1">INDIRECT("'数据-取费表'!Al"&amp;$G$1)</f>
        <v>1.5E-3</v>
      </c>
      <c r="G37" s="1850"/>
      <c r="H37" s="1858"/>
      <c r="I37" s="1859"/>
      <c r="J37" s="1860"/>
      <c r="K37" s="751"/>
      <c r="L37" s="1858"/>
      <c r="M37" s="1858"/>
    </row>
    <row r="38" spans="1:18" ht="18" customHeight="1" thickBot="1">
      <c r="A38" s="1338" t="s">
        <v>1393</v>
      </c>
      <c r="B38" s="1339" t="s">
        <v>1441</v>
      </c>
      <c r="C38" s="1340">
        <f ca="1">ROUND(C5*F38,1)</f>
        <v>4.8</v>
      </c>
      <c r="D38" s="1341" t="s">
        <v>1461</v>
      </c>
      <c r="E38" s="1339" t="s">
        <v>1424</v>
      </c>
      <c r="F38" s="1335">
        <f ca="1">INDIRECT("'数据-取费表'!Am"&amp;$G$1)</f>
        <v>0.01</v>
      </c>
      <c r="G38" s="1850"/>
      <c r="H38" s="1858"/>
      <c r="I38" s="1859"/>
      <c r="J38" s="1860"/>
      <c r="K38" s="1864"/>
      <c r="L38" s="1858"/>
      <c r="M38" s="1858"/>
    </row>
    <row r="39" spans="1:18" ht="24.6" customHeight="1" thickTop="1">
      <c r="A39" s="1328" t="s">
        <v>1031</v>
      </c>
      <c r="B39" s="1343" t="s">
        <v>1465</v>
      </c>
      <c r="C39" s="355">
        <f ca="1">C5-C30</f>
        <v>309</v>
      </c>
      <c r="D39" s="1344" t="s">
        <v>1466</v>
      </c>
      <c r="E39" s="1345"/>
      <c r="F39" s="1346"/>
      <c r="G39" s="1850"/>
      <c r="H39" s="1858"/>
      <c r="I39" s="1859"/>
      <c r="J39" s="1860"/>
      <c r="K39" s="1864"/>
      <c r="L39" s="1858"/>
      <c r="M39" s="1858"/>
    </row>
    <row r="40" spans="1:18" ht="18" customHeight="1">
      <c r="A40" s="344" t="s">
        <v>1032</v>
      </c>
      <c r="B40" s="345" t="s">
        <v>1487</v>
      </c>
      <c r="C40" s="346">
        <f ca="1">ROUND(C39*(1-((1+F42)/(1+F40))^F41)/(F40-F42),0)</f>
        <v>5992</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25.52</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4924</v>
      </c>
      <c r="D43" s="383" t="s">
        <v>1490</v>
      </c>
      <c r="E43" s="384" t="s">
        <v>1491</v>
      </c>
      <c r="F43" s="385">
        <f ca="1">INDIRECT("'数据-取费表'!k"&amp;$G$1)</f>
        <v>12168.39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-7986</v>
      </c>
      <c r="D46" s="1871" t="str">
        <f>C2</f>
        <v>万元</v>
      </c>
      <c r="E46" s="1865"/>
      <c r="F46" s="1865"/>
      <c r="I46" s="1872" t="s">
        <v>1523</v>
      </c>
      <c r="J46" s="1873"/>
      <c r="K46" s="1874"/>
      <c r="L46" s="1875">
        <f ca="1">IF(M47="住宅",0,IF(L48&gt;J51,L60,J60))</f>
        <v>399</v>
      </c>
      <c r="O46" s="1876" t="s">
        <v>1524</v>
      </c>
      <c r="P46" s="1877" t="s">
        <v>1525</v>
      </c>
      <c r="Q46" s="1878" t="s">
        <v>1526</v>
      </c>
      <c r="R46" s="1878" t="s">
        <v>1527</v>
      </c>
    </row>
    <row r="47" spans="1:18" s="1841" customFormat="1" ht="13.5" thickBot="1">
      <c r="A47" s="1164" t="s">
        <v>1397</v>
      </c>
      <c r="B47" s="1196" t="s">
        <v>1398</v>
      </c>
      <c r="C47" s="1366" t="s">
        <v>1399</v>
      </c>
      <c r="D47" s="1196" t="s">
        <v>1400</v>
      </c>
      <c r="E47" s="1278" t="s">
        <v>1401</v>
      </c>
      <c r="F47" s="1279"/>
      <c r="G47" s="792"/>
      <c r="I47" s="1879" t="s">
        <v>1528</v>
      </c>
      <c r="J47" s="1880" t="s">
        <v>3078</v>
      </c>
      <c r="K47" s="1881" t="s">
        <v>1529</v>
      </c>
      <c r="L47" s="1882">
        <f ca="1">INDIRECT("'数据-取费表'!d"&amp;$G$1)</f>
        <v>40</v>
      </c>
      <c r="M47" s="1837" t="str">
        <f>IF(ISNUMBER(FIND("住宅",C1)),"住宅","非住宅")</f>
        <v>非住宅</v>
      </c>
      <c r="O47" s="1883" t="s">
        <v>1040</v>
      </c>
      <c r="P47" s="1884" t="s">
        <v>1530</v>
      </c>
      <c r="Q47" s="1885">
        <f ca="1">C40+J29</f>
        <v>5992</v>
      </c>
      <c r="R47" s="1885" t="s">
        <v>1531</v>
      </c>
    </row>
    <row r="48" spans="1:18" s="1841" customFormat="1" ht="28.5" thickBot="1">
      <c r="A48" s="1359" t="s">
        <v>1135</v>
      </c>
      <c r="B48" s="345" t="s">
        <v>1402</v>
      </c>
      <c r="C48" s="2927">
        <f ca="1">C49+C53+C55</f>
        <v>0</v>
      </c>
      <c r="D48" s="1361"/>
      <c r="E48" s="1362"/>
      <c r="F48" s="1180"/>
      <c r="G48" s="792"/>
      <c r="H48" s="793"/>
      <c r="I48" s="1886" t="s">
        <v>1532</v>
      </c>
      <c r="J48" s="1887" t="s">
        <v>3068</v>
      </c>
      <c r="K48" s="1888" t="s">
        <v>1533</v>
      </c>
      <c r="L48" s="1889">
        <f ca="1">INDIRECT("'数据-取费表'!f"&amp;$G$1)</f>
        <v>25.52</v>
      </c>
      <c r="O48" s="1883" t="s">
        <v>1041</v>
      </c>
      <c r="P48" s="1884" t="s">
        <v>1534</v>
      </c>
      <c r="Q48" s="1885">
        <f ca="1">J60</f>
        <v>399</v>
      </c>
      <c r="R48" s="1885" t="s">
        <v>1535</v>
      </c>
    </row>
    <row r="49" spans="1:18" s="1841" customFormat="1" ht="13.5" thickBot="1">
      <c r="A49" s="1193" t="s">
        <v>1136</v>
      </c>
      <c r="B49" s="1828" t="s">
        <v>1492</v>
      </c>
      <c r="C49" s="1363">
        <f ca="1">ROUND(F49*F51*F50*(1-F52)/10000,0)</f>
        <v>0</v>
      </c>
      <c r="D49" s="1275" t="s">
        <v>3031</v>
      </c>
      <c r="E49" s="1829" t="s">
        <v>1493</v>
      </c>
      <c r="F49" s="1280"/>
      <c r="G49" s="1890"/>
      <c r="H49" s="793"/>
      <c r="I49" s="1886" t="s">
        <v>1536</v>
      </c>
      <c r="J49" s="1891">
        <v>2017</v>
      </c>
      <c r="K49" s="1888" t="s">
        <v>1537</v>
      </c>
      <c r="L49" s="1892"/>
      <c r="O49" s="1893" t="s">
        <v>1042</v>
      </c>
      <c r="P49" s="1884" t="s">
        <v>1538</v>
      </c>
      <c r="Q49" s="1885">
        <f ca="1">C29</f>
        <v>5568</v>
      </c>
      <c r="R49" s="1885" t="s">
        <v>1531</v>
      </c>
    </row>
    <row r="50" spans="1:18" s="1841" customFormat="1" ht="13.5" thickBot="1">
      <c r="A50" s="1194"/>
      <c r="B50" s="1197"/>
      <c r="C50" s="1367"/>
      <c r="D50" s="1171"/>
      <c r="E50" s="1276" t="s">
        <v>1407</v>
      </c>
      <c r="F50" s="1277">
        <f ca="1">F7</f>
        <v>12168.39</v>
      </c>
      <c r="H50" s="793"/>
      <c r="I50" s="1886" t="s">
        <v>1539</v>
      </c>
      <c r="J50" s="1894">
        <f>SUMPRODUCT((I63:I65=J47)*(J62:L62=J48)*(J63:L65))</f>
        <v>60</v>
      </c>
      <c r="K50" s="1888" t="s">
        <v>1540</v>
      </c>
      <c r="L50" s="1892"/>
      <c r="M50" s="1895"/>
      <c r="O50" s="1893" t="s">
        <v>1043</v>
      </c>
      <c r="P50" s="1884" t="s">
        <v>1541</v>
      </c>
      <c r="Q50" s="1896">
        <f ca="1">J58</f>
        <v>0.57499999999999996</v>
      </c>
      <c r="R50" s="1885"/>
    </row>
    <row r="51" spans="1:18" s="1841" customFormat="1" ht="13.5" thickBot="1">
      <c r="A51" s="1195"/>
      <c r="B51" s="1197"/>
      <c r="C51" s="1198"/>
      <c r="D51" s="1171"/>
      <c r="E51" s="1199" t="s">
        <v>1408</v>
      </c>
      <c r="F51" s="348">
        <f ca="1">F8</f>
        <v>365</v>
      </c>
      <c r="I51" s="1897" t="s">
        <v>1542</v>
      </c>
      <c r="J51" s="1898">
        <f>IF(J49="",J50,J49+J50-YEAR('数据-取费表'!B2))</f>
        <v>60</v>
      </c>
      <c r="K51" s="1899" t="s">
        <v>1543</v>
      </c>
      <c r="L51" s="1900">
        <f ca="1">ROUND(-PV(INDIRECT("'数据-取费表'!h"&amp;$G$1),L48,(C39-C13*C76),0),0)</f>
        <v>-2046</v>
      </c>
      <c r="M51" s="1901"/>
      <c r="O51" s="1893" t="s">
        <v>1044</v>
      </c>
      <c r="P51" s="1884" t="s">
        <v>1544</v>
      </c>
      <c r="Q51" s="1896">
        <f>J52</f>
        <v>8.5000000000000006E-2</v>
      </c>
      <c r="R51" s="1885"/>
    </row>
    <row r="52" spans="1:18" s="1841" customFormat="1" ht="13.5" thickBot="1">
      <c r="A52" s="1195"/>
      <c r="B52" s="1197"/>
      <c r="C52" s="1198"/>
      <c r="D52" s="1171"/>
      <c r="E52" s="1199" t="s">
        <v>1409</v>
      </c>
      <c r="F52" s="1274"/>
      <c r="I52" s="1902" t="s">
        <v>1545</v>
      </c>
      <c r="J52" s="1903">
        <f>'数据-取费表'!J8+0.005</f>
        <v>8.5000000000000006E-2</v>
      </c>
      <c r="K52" s="1902" t="s">
        <v>1546</v>
      </c>
      <c r="L52" s="1903"/>
      <c r="O52" s="1893" t="s">
        <v>1045</v>
      </c>
      <c r="P52" s="1884" t="s">
        <v>1547</v>
      </c>
      <c r="Q52" s="1885">
        <f ca="1">J53</f>
        <v>25.52</v>
      </c>
      <c r="R52" s="1885" t="s">
        <v>1548</v>
      </c>
    </row>
    <row r="53" spans="1:18" s="1841" customFormat="1" ht="24.75" thickBot="1">
      <c r="A53" s="1404" t="s">
        <v>1137</v>
      </c>
      <c r="B53" s="1830" t="s">
        <v>1410</v>
      </c>
      <c r="C53" s="361">
        <f ca="1">ROUND(IF(F53="押一",F49*F51*F50/12*F11,IF(F53="押二",F49*F51*F50/12*2*F11,IF(F53="押三",F49*F51*F50/12*3*F11,C54*F11)))/10000,0)</f>
        <v>0</v>
      </c>
      <c r="D53" s="1823" t="s">
        <v>3028</v>
      </c>
      <c r="E53" s="358" t="s">
        <v>1412</v>
      </c>
      <c r="F53" s="1365"/>
      <c r="I53" s="1904" t="s">
        <v>1549</v>
      </c>
      <c r="J53" s="1905">
        <f ca="1">IF(M47="住宅",J51,IF(D1="——",MIN(J51,L48),IF(D1="在建（套用方法）",MIN(J51,L48-'数据-取费表'!B24),IF(D1="土地（套用方法）",MIN(J51,L48-'数据-取费表'!B20)))))</f>
        <v>25.52</v>
      </c>
      <c r="K53" s="3162" t="s">
        <v>1550</v>
      </c>
      <c r="L53" s="3163"/>
      <c r="O53" s="1883" t="s">
        <v>1046</v>
      </c>
      <c r="P53" s="1884" t="s">
        <v>1551</v>
      </c>
      <c r="Q53" s="1885">
        <f ca="1">Q47+Q48</f>
        <v>6391</v>
      </c>
      <c r="R53" s="1885" t="s">
        <v>1047</v>
      </c>
    </row>
    <row r="54" spans="1:18" s="1841" customFormat="1" ht="13.5" thickBot="1">
      <c r="A54" s="1405"/>
      <c r="B54" s="1824" t="s">
        <v>1389</v>
      </c>
      <c r="C54" s="1177"/>
      <c r="D54" s="1823"/>
      <c r="E54" s="292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2" t="s">
        <v>1075</v>
      </c>
      <c r="B55" s="1826" t="s">
        <v>1415</v>
      </c>
      <c r="C55" s="1333"/>
      <c r="D55" s="1823"/>
      <c r="E55" s="2926"/>
      <c r="F55" s="1906"/>
      <c r="I55" s="1909" t="s">
        <v>1553</v>
      </c>
      <c r="J55" s="1910">
        <f ca="1">ROUND(IF(J47="钢混",J57/J50,1-(1-2%)*(J50-J57)/J50),3)</f>
        <v>0.57499999999999996</v>
      </c>
      <c r="K55" s="1911" t="s">
        <v>1554</v>
      </c>
      <c r="L55" s="1912" t="s">
        <v>1555</v>
      </c>
      <c r="O55" s="1876" t="s">
        <v>1524</v>
      </c>
      <c r="P55" s="1877" t="s">
        <v>1525</v>
      </c>
      <c r="Q55" s="1878" t="s">
        <v>1526</v>
      </c>
      <c r="R55" s="1878" t="s">
        <v>1527</v>
      </c>
    </row>
    <row r="56" spans="1:18" s="1841" customFormat="1" ht="25.5" thickTop="1" thickBot="1">
      <c r="A56" s="1175">
        <v>2</v>
      </c>
      <c r="B56" s="1176" t="s">
        <v>1416</v>
      </c>
      <c r="C56" s="276">
        <f ca="1">C13</f>
        <v>5568</v>
      </c>
      <c r="D56" s="1913"/>
      <c r="E56" s="1914"/>
      <c r="F56" s="1906"/>
      <c r="I56" s="1915" t="s">
        <v>1556</v>
      </c>
      <c r="J56" s="1916" t="s">
        <v>3050</v>
      </c>
      <c r="K56" s="1886" t="s">
        <v>1557</v>
      </c>
      <c r="L56" s="1889" t="str">
        <f ca="1">IF(L48&lt;J51,"——",L48-J53)</f>
        <v>——</v>
      </c>
      <c r="O56" s="1883" t="s">
        <v>1040</v>
      </c>
      <c r="P56" s="1884" t="s">
        <v>1530</v>
      </c>
      <c r="Q56" s="1885">
        <f ca="1">C40+J29</f>
        <v>5992</v>
      </c>
      <c r="R56" s="1885" t="s">
        <v>1531</v>
      </c>
    </row>
    <row r="57" spans="1:18" s="1841" customFormat="1" ht="24.75" thickBot="1">
      <c r="A57" s="1917"/>
      <c r="B57" s="1168" t="s">
        <v>1480</v>
      </c>
      <c r="C57" s="282">
        <f ca="1">C29</f>
        <v>5568</v>
      </c>
      <c r="D57" s="1918"/>
      <c r="E57" s="1919"/>
      <c r="F57" s="1920"/>
      <c r="I57" s="1921" t="s">
        <v>1558</v>
      </c>
      <c r="J57" s="1922">
        <f ca="1">IF(OR(M47="住宅",J51&lt;L48,J56="是"),"——",J51-L48)</f>
        <v>34.480000000000004</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6" t="s">
        <v>1426</v>
      </c>
      <c r="C58" s="361">
        <f ca="1">ROUND(C59+C64+C65+C66,0)</f>
        <v>140</v>
      </c>
      <c r="D58" s="1178" t="s">
        <v>1427</v>
      </c>
      <c r="E58" s="1179"/>
      <c r="F58" s="1180"/>
      <c r="I58" s="1921" t="s">
        <v>1562</v>
      </c>
      <c r="J58" s="1923">
        <f ca="1">IF(J55&lt;0.4,0.4,J55)</f>
        <v>0.57499999999999996</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ROUND(IF(项目基本情况!B11="自然人",C48*F59,C60+C61+C62),1)</f>
        <v>48.5</v>
      </c>
      <c r="D59" s="1181" t="s">
        <v>1432</v>
      </c>
      <c r="E59" s="1182" t="s">
        <v>1433</v>
      </c>
      <c r="F59" s="368" t="str">
        <f ca="1">IF(项目基本情况!B11="企业","",IF(INDIRECT("'数据-取费表'!c"&amp;$G$1)="住宅",5%,IF(F49*F50*F51/12/(1+'数据-取费表'!C42)&gt;20000,12%,7%)))</f>
        <v/>
      </c>
      <c r="I59" s="1921" t="s">
        <v>1565</v>
      </c>
      <c r="J59" s="1922">
        <f ca="1">IF(OR(M47="住宅",J51&lt;L48,J56="是"),"——",ROUND(C29*J58,0))</f>
        <v>3202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IF(项目基本情况!B11="自然人","——",ROUND(C48*F60/(1+'数据-取费表'!C42),2))</f>
        <v>0</v>
      </c>
      <c r="D60" s="1182" t="s">
        <v>1436</v>
      </c>
      <c r="E60" s="1168" t="s">
        <v>1424</v>
      </c>
      <c r="F60" s="377">
        <f t="shared" ref="F60:F66" si="0">F32</f>
        <v>5.6000000000000001E-2</v>
      </c>
      <c r="I60" s="1924" t="s">
        <v>1567</v>
      </c>
      <c r="J60" s="1925">
        <f ca="1">IF(OR(M47="住宅",J51&lt;L48,J56="是"),"0",ROUND(J59/(1+J52)^J53,0))</f>
        <v>399</v>
      </c>
      <c r="K60" s="1926" t="s">
        <v>1568</v>
      </c>
      <c r="L60" s="1925">
        <f ca="1">IF(OR(M47="住宅",L48&lt;J51),0,ROUND(L57*(L58/L59-1),0))</f>
        <v>0</v>
      </c>
      <c r="O60" s="1893" t="s">
        <v>1044</v>
      </c>
      <c r="P60" s="1884" t="s">
        <v>1569</v>
      </c>
      <c r="Q60" s="1885" t="e">
        <f ca="1">L58</f>
        <v>#DIV/0!</v>
      </c>
      <c r="R60" s="1885" t="s">
        <v>1570</v>
      </c>
    </row>
    <row r="61" spans="1:18" s="1841" customFormat="1" ht="13.5" thickBot="1">
      <c r="A61" s="1200" t="s">
        <v>1494</v>
      </c>
      <c r="B61" s="1168" t="s">
        <v>1439</v>
      </c>
      <c r="C61" s="24">
        <f ca="1">IF(项目基本情况!B11="自然人","——",IF(D61="按租金收入计税",ROUND(C48*F61,2),IF(D61="按房产原值计税",ROUND(C57*F61*0.7,2),INDIRECT("'数据-取费表'!Aj"&amp;$G$1))))</f>
        <v>46.77</v>
      </c>
      <c r="D61" s="1827" t="s">
        <v>1440</v>
      </c>
      <c r="E61" s="1168"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0" t="s">
        <v>1497</v>
      </c>
      <c r="B62" s="1167" t="s">
        <v>1443</v>
      </c>
      <c r="C62" s="25">
        <f ca="1">IF(项目基本情况!B11="自然人","——",ROUND(F62*F63/10000,2))</f>
        <v>1.75</v>
      </c>
      <c r="D62" s="1183" t="s">
        <v>1444</v>
      </c>
      <c r="E62" s="1168" t="s">
        <v>1445</v>
      </c>
      <c r="F62" s="371">
        <f t="shared" si="0"/>
        <v>3</v>
      </c>
      <c r="I62" s="1928" t="s">
        <v>1572</v>
      </c>
      <c r="J62" s="1929" t="s">
        <v>1573</v>
      </c>
      <c r="K62" s="1929" t="s">
        <v>1574</v>
      </c>
      <c r="L62" s="1929" t="s">
        <v>1575</v>
      </c>
      <c r="M62" s="1930" t="s">
        <v>1576</v>
      </c>
      <c r="O62" s="1883" t="s">
        <v>1046</v>
      </c>
      <c r="P62" s="1884" t="s">
        <v>1551</v>
      </c>
      <c r="Q62" s="1885">
        <f ca="1">Q56+Q57</f>
        <v>5992</v>
      </c>
      <c r="R62" s="1885" t="s">
        <v>1047</v>
      </c>
    </row>
    <row r="63" spans="1:18" s="1841" customFormat="1" ht="13.5" thickBot="1">
      <c r="A63" s="372"/>
      <c r="B63" s="1174"/>
      <c r="C63" s="29"/>
      <c r="D63" s="1184"/>
      <c r="E63" s="1168" t="s">
        <v>1449</v>
      </c>
      <c r="F63" s="348">
        <f t="shared" ca="1" si="0"/>
        <v>5835.79</v>
      </c>
      <c r="I63" s="1928" t="s">
        <v>1578</v>
      </c>
      <c r="J63" s="1929">
        <v>70</v>
      </c>
      <c r="K63" s="1929">
        <v>50</v>
      </c>
      <c r="L63" s="1929">
        <v>80</v>
      </c>
      <c r="M63" s="1931">
        <v>0.02</v>
      </c>
      <c r="O63" s="1868" t="s">
        <v>1579</v>
      </c>
      <c r="P63" s="1838"/>
      <c r="Q63" s="1838"/>
      <c r="R63" s="1838"/>
    </row>
    <row r="64" spans="1:18" s="1841" customFormat="1" ht="13.5" thickBot="1">
      <c r="A64" s="1200" t="s">
        <v>1039</v>
      </c>
      <c r="B64" s="1168" t="s">
        <v>1451</v>
      </c>
      <c r="C64" s="24">
        <f ca="1">ROUND(C57*F64,1)</f>
        <v>83.5</v>
      </c>
      <c r="D64" s="1182" t="s">
        <v>1484</v>
      </c>
      <c r="E64" s="1168"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ROUND(C56*F65,1)</f>
        <v>8.4</v>
      </c>
      <c r="D65" s="1182" t="s">
        <v>1456</v>
      </c>
      <c r="E65" s="1168" t="s">
        <v>1424</v>
      </c>
      <c r="F65" s="376">
        <f t="shared" ca="1" si="0"/>
        <v>1.5E-3</v>
      </c>
      <c r="I65" s="1928" t="s">
        <v>1581</v>
      </c>
      <c r="J65" s="1929">
        <v>40</v>
      </c>
      <c r="K65" s="1929">
        <v>30</v>
      </c>
      <c r="L65" s="1929">
        <v>50</v>
      </c>
      <c r="M65" s="1931">
        <v>0.02</v>
      </c>
      <c r="O65" s="1883" t="s">
        <v>1040</v>
      </c>
      <c r="P65" s="1884" t="s">
        <v>1530</v>
      </c>
      <c r="Q65" s="1885">
        <f ca="1">C40+J29</f>
        <v>5992</v>
      </c>
      <c r="R65" s="1885" t="s">
        <v>1531</v>
      </c>
    </row>
    <row r="66" spans="1:18" s="1841" customFormat="1" ht="16.5" thickBot="1">
      <c r="A66" s="1200" t="s">
        <v>1506</v>
      </c>
      <c r="B66" s="1168" t="s">
        <v>1441</v>
      </c>
      <c r="C66" s="24">
        <f ca="1">ROUND(C48*F66,1)</f>
        <v>0</v>
      </c>
      <c r="D66" s="1182" t="s">
        <v>1461</v>
      </c>
      <c r="E66" s="1168" t="s">
        <v>1424</v>
      </c>
      <c r="F66" s="357">
        <f t="shared" ca="1" si="0"/>
        <v>0.01</v>
      </c>
      <c r="O66" s="1883" t="s">
        <v>1041</v>
      </c>
      <c r="P66" s="1884" t="s">
        <v>1560</v>
      </c>
      <c r="Q66" s="1885">
        <f ca="1">L60</f>
        <v>0</v>
      </c>
      <c r="R66" s="1885" t="s">
        <v>1583</v>
      </c>
    </row>
    <row r="67" spans="1:18" s="1841" customFormat="1" ht="16.5" thickBot="1">
      <c r="A67" s="1175" t="s">
        <v>1031</v>
      </c>
      <c r="B67" s="1185" t="s">
        <v>1465</v>
      </c>
      <c r="C67" s="361">
        <f ca="1">C48-C58</f>
        <v>-140</v>
      </c>
      <c r="D67" s="1181" t="s">
        <v>1466</v>
      </c>
      <c r="E67" s="1186"/>
      <c r="F67" s="1187"/>
      <c r="O67" s="1893" t="s">
        <v>1042</v>
      </c>
      <c r="P67" s="1884" t="s">
        <v>1564</v>
      </c>
      <c r="Q67" s="1932">
        <f ca="1">L51</f>
        <v>-2046</v>
      </c>
      <c r="R67" s="1885" t="s">
        <v>1584</v>
      </c>
    </row>
    <row r="68" spans="1:18" s="1841" customFormat="1" ht="16.5" thickBot="1">
      <c r="A68" s="1165" t="s">
        <v>1032</v>
      </c>
      <c r="B68" s="1166" t="s">
        <v>1487</v>
      </c>
      <c r="C68" s="346">
        <f ca="1">ROUND(C67*(1-((1+F70)/(1+F68))^F69)/(F68-F70),0)</f>
        <v>-1994</v>
      </c>
      <c r="D68" s="1183" t="s">
        <v>1471</v>
      </c>
      <c r="E68" s="1168" t="s">
        <v>1472</v>
      </c>
      <c r="F68" s="357">
        <f ca="1">F40</f>
        <v>0.05</v>
      </c>
      <c r="O68" s="1893" t="s">
        <v>1043</v>
      </c>
      <c r="P68" s="1933" t="s">
        <v>1585</v>
      </c>
      <c r="Q68" s="1885">
        <f ca="1">ROUND(Q69-Q70*Q71,0)</f>
        <v>-136</v>
      </c>
      <c r="R68" s="1885" t="s">
        <v>1051</v>
      </c>
    </row>
    <row r="69" spans="1:18" s="1841" customFormat="1" ht="13.5" thickBot="1">
      <c r="A69" s="1169"/>
      <c r="B69" s="1170"/>
      <c r="C69" s="351"/>
      <c r="D69" s="1188" t="s">
        <v>1475</v>
      </c>
      <c r="E69" s="1168" t="s">
        <v>1476</v>
      </c>
      <c r="F69" s="379">
        <f ca="1">F41</f>
        <v>25.52</v>
      </c>
      <c r="O69" s="1893" t="s">
        <v>1048</v>
      </c>
      <c r="P69" s="1933" t="s">
        <v>1586</v>
      </c>
      <c r="Q69" s="1885">
        <f ca="1">C39</f>
        <v>309</v>
      </c>
      <c r="R69" s="1885" t="s">
        <v>1531</v>
      </c>
    </row>
    <row r="70" spans="1:18" s="1841" customFormat="1" ht="13.5" thickBot="1">
      <c r="A70" s="1172"/>
      <c r="B70" s="1173"/>
      <c r="C70" s="355"/>
      <c r="D70" s="1184"/>
      <c r="E70" s="1168" t="s">
        <v>1479</v>
      </c>
      <c r="F70" s="1274"/>
      <c r="O70" s="1893" t="s">
        <v>1049</v>
      </c>
      <c r="P70" s="1933" t="s">
        <v>1587</v>
      </c>
      <c r="Q70" s="1885">
        <f ca="1">C13</f>
        <v>5568</v>
      </c>
      <c r="R70" s="1885" t="s">
        <v>1531</v>
      </c>
    </row>
    <row r="71" spans="1:18" s="1841" customFormat="1" ht="13.5" thickBot="1">
      <c r="A71" s="1189" t="s">
        <v>1033</v>
      </c>
      <c r="B71" s="1190" t="s">
        <v>1489</v>
      </c>
      <c r="C71" s="382">
        <f ca="1">ROUND(C68*10000/F71,0)</f>
        <v>-1639</v>
      </c>
      <c r="D71" s="1191" t="s">
        <v>1490</v>
      </c>
      <c r="E71" s="1192" t="s">
        <v>1491</v>
      </c>
      <c r="F71" s="385">
        <f ca="1">F43</f>
        <v>12168.39</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445</v>
      </c>
      <c r="D75" s="1841"/>
      <c r="E75" s="1841"/>
      <c r="F75" s="1841"/>
      <c r="K75" s="1867"/>
      <c r="L75" s="1841"/>
      <c r="O75" s="1883" t="s">
        <v>1046</v>
      </c>
      <c r="P75" s="1884" t="s">
        <v>1551</v>
      </c>
      <c r="Q75" s="1885">
        <f ca="1">Q65+Q66</f>
        <v>5992</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-0.43999999999999995</v>
      </c>
    </row>
    <row r="80" spans="1:18">
      <c r="B80" s="386" t="s">
        <v>1513</v>
      </c>
      <c r="C80" s="318">
        <f ca="1">ROUND(C75/C39,3)</f>
        <v>1.44</v>
      </c>
    </row>
    <row r="81" spans="2:3">
      <c r="B81" s="314" t="s">
        <v>1514</v>
      </c>
      <c r="C81" s="282"/>
    </row>
    <row r="82" spans="2:3">
      <c r="B82" s="317" t="s">
        <v>1515</v>
      </c>
      <c r="C82" s="319">
        <f ca="1">1-C83</f>
        <v>7.0999999999999952E-2</v>
      </c>
    </row>
    <row r="83" spans="2:3">
      <c r="B83" s="317" t="s">
        <v>1516</v>
      </c>
      <c r="C83" s="318">
        <f ca="1">ROUND(C13/C40,3)</f>
        <v>0.92900000000000005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36">
      <c r="A4" s="1947" t="str">
        <f>"受贵公司委托，我公司对"&amp;项目基本情况!S1&amp;"进行了预评估。"</f>
        <v>受贵公司委托，我公司对江苏省南京市溧水区经济开发区驿府街68号房地产抵押价值进行了预评估。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估价对象为江苏省南京市溧水区经济开发区驿府街68号房地产，为南京东浩胶粉有限公司所有。根据，估价对象（分摊）出让国有建设用地使用权面积为12572.36平方米，建筑面积为26215.04平方米。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京市溧水区经济开发区驿府街68号房地产,为南京东浩胶粉有限公司开发建设的办公项目，该项目尚在开发建设中。根据，估价对象（分摊）出让国有建设用地使用权面积为12572.36平方米，规划建筑面积为26215.04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2017年12月7日（评估专业人员实地查勘之日）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4" sqref="L24:M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0" t="s">
        <v>2641</v>
      </c>
      <c r="C1" s="1633" t="s">
        <v>2529</v>
      </c>
      <c r="D1" s="1620"/>
      <c r="E1" s="2655"/>
      <c r="F1" s="2582"/>
      <c r="G1" s="1630" t="s">
        <v>2642</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2326</v>
      </c>
      <c r="B2" s="1417" t="e">
        <f ca="1">IF(C2="——",ROUND(C49*D3/10000,0),ROUND(C49*D3/10000,0)-D2)</f>
        <v>#DIV/0!</v>
      </c>
      <c r="C2" s="2584"/>
      <c r="D2" s="1364" t="e">
        <f ca="1">SUMIF(INDIRECT("'"&amp;F2&amp;"'"&amp;"!A:A"),"承租人权益价值",INDIRECT("'"&amp;F2&amp;"'"&amp;"!c:c"))</f>
        <v>#REF!</v>
      </c>
      <c r="E2" s="2585" t="s">
        <v>2327</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2328</v>
      </c>
      <c r="B3" s="609" t="e">
        <f ca="1">IF(C2="——",C49,ROUND(B2*10000/D3,0))</f>
        <v>#DIV/0!</v>
      </c>
      <c r="C3" s="400" t="s">
        <v>2643</v>
      </c>
      <c r="D3" s="399">
        <f>IF(D1="",'数据-汇总表'!E3,SUMIF('数据-汇总表'!$C19:$C33,D1,'数据-汇总表'!$E19:$E33))</f>
        <v>26215.040000000001</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2644</v>
      </c>
      <c r="B4" s="402"/>
      <c r="C4" s="3168" t="s">
        <v>2645</v>
      </c>
      <c r="D4" s="3181"/>
      <c r="E4" s="3182" t="s">
        <v>2646</v>
      </c>
      <c r="F4" s="3183"/>
      <c r="G4" s="3168" t="s">
        <v>2647</v>
      </c>
      <c r="H4" s="3181"/>
      <c r="I4" s="3168" t="s">
        <v>2648</v>
      </c>
      <c r="J4" s="3181"/>
      <c r="K4" s="610" t="s">
        <v>2649</v>
      </c>
      <c r="L4" s="1129"/>
      <c r="M4" s="1130"/>
      <c r="N4" s="1130"/>
      <c r="O4" s="1130"/>
      <c r="P4" s="3184" t="s">
        <v>2650</v>
      </c>
      <c r="Q4" s="3185"/>
      <c r="R4" s="3190" t="s">
        <v>2646</v>
      </c>
      <c r="S4" s="3191"/>
      <c r="T4" s="3190" t="s">
        <v>2647</v>
      </c>
      <c r="U4" s="3191"/>
      <c r="V4" s="3177" t="s">
        <v>2648</v>
      </c>
      <c r="W4" s="3177"/>
      <c r="X4" s="1812"/>
      <c r="Y4" s="3190" t="s">
        <v>2650</v>
      </c>
      <c r="Z4" s="3191"/>
      <c r="AA4" s="3178" t="s">
        <v>2646</v>
      </c>
      <c r="AB4" s="3177" t="s">
        <v>2647</v>
      </c>
      <c r="AC4" s="3178" t="s">
        <v>2648</v>
      </c>
    </row>
    <row r="5" spans="1:29" ht="15">
      <c r="A5" s="404"/>
      <c r="B5" s="405"/>
      <c r="C5" s="3198" t="s">
        <v>2541</v>
      </c>
      <c r="D5" s="3199"/>
      <c r="E5" s="3205" t="s">
        <v>2542</v>
      </c>
      <c r="F5" s="3206"/>
      <c r="G5" s="3198" t="s">
        <v>2543</v>
      </c>
      <c r="H5" s="3199"/>
      <c r="I5" s="3198" t="s">
        <v>2544</v>
      </c>
      <c r="J5" s="3199"/>
      <c r="K5" s="610"/>
      <c r="L5" s="1129"/>
      <c r="M5" s="1130"/>
      <c r="N5" s="1130"/>
      <c r="O5" s="1130"/>
      <c r="P5" s="3186"/>
      <c r="Q5" s="3187"/>
      <c r="R5" s="3192"/>
      <c r="S5" s="3193"/>
      <c r="T5" s="3192"/>
      <c r="U5" s="3193"/>
      <c r="V5" s="3177"/>
      <c r="W5" s="3177"/>
      <c r="X5" s="1812"/>
      <c r="Y5" s="3192"/>
      <c r="Z5" s="3193"/>
      <c r="AA5" s="3179"/>
      <c r="AB5" s="3177"/>
      <c r="AC5" s="3179"/>
    </row>
    <row r="6" spans="1:29" ht="15.75" thickBot="1">
      <c r="A6" s="406"/>
      <c r="B6" s="407"/>
      <c r="C6" s="3196" t="s">
        <v>2545</v>
      </c>
      <c r="D6" s="3197"/>
      <c r="E6" s="3203" t="s">
        <v>2545</v>
      </c>
      <c r="F6" s="3204"/>
      <c r="G6" s="3196" t="s">
        <v>2545</v>
      </c>
      <c r="H6" s="3197"/>
      <c r="I6" s="3196" t="s">
        <v>2545</v>
      </c>
      <c r="J6" s="3197"/>
      <c r="K6" s="610" t="s">
        <v>2546</v>
      </c>
      <c r="L6" s="1129"/>
      <c r="M6" s="1130"/>
      <c r="N6" s="1130"/>
      <c r="O6" s="1130"/>
      <c r="P6" s="3188"/>
      <c r="Q6" s="3189"/>
      <c r="R6" s="3192"/>
      <c r="S6" s="3193"/>
      <c r="T6" s="3194"/>
      <c r="U6" s="3195"/>
      <c r="V6" s="3177"/>
      <c r="W6" s="3177"/>
      <c r="X6" s="1812"/>
      <c r="Y6" s="3194"/>
      <c r="Z6" s="3195"/>
      <c r="AA6" s="3180"/>
      <c r="AB6" s="3177"/>
      <c r="AC6" s="3180"/>
    </row>
    <row r="7" spans="1:29" s="117" customFormat="1" ht="15.75" thickBot="1">
      <c r="A7" s="408" t="s">
        <v>2547</v>
      </c>
      <c r="B7" s="409"/>
      <c r="C7" s="410">
        <f>'数据-取费表'!B2</f>
        <v>43076</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0" t="s">
        <v>2548</v>
      </c>
      <c r="Q7" s="3202"/>
      <c r="R7" s="770" t="s">
        <v>17</v>
      </c>
      <c r="S7" s="771">
        <f t="shared" ref="S7:S15" si="0">F7</f>
        <v>0</v>
      </c>
      <c r="T7" s="770" t="s">
        <v>17</v>
      </c>
      <c r="U7" s="771">
        <f t="shared" ref="U7:U15" si="1">H7</f>
        <v>0</v>
      </c>
      <c r="V7" s="770" t="s">
        <v>17</v>
      </c>
      <c r="W7" s="771">
        <f t="shared" ref="W7:W15" si="2">J7</f>
        <v>0</v>
      </c>
      <c r="X7" s="772"/>
      <c r="Y7" s="3200" t="s">
        <v>2548</v>
      </c>
      <c r="Z7" s="320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0" t="s">
        <v>2551</v>
      </c>
      <c r="Q8" s="3201"/>
      <c r="R8" s="770" t="s">
        <v>17</v>
      </c>
      <c r="S8" s="771">
        <f t="shared" si="0"/>
        <v>0</v>
      </c>
      <c r="T8" s="770" t="s">
        <v>17</v>
      </c>
      <c r="U8" s="771">
        <f t="shared" si="1"/>
        <v>0</v>
      </c>
      <c r="V8" s="770" t="s">
        <v>17</v>
      </c>
      <c r="W8" s="771">
        <f t="shared" si="2"/>
        <v>0</v>
      </c>
      <c r="X8" s="772"/>
      <c r="Y8" s="3200" t="s">
        <v>2551</v>
      </c>
      <c r="Z8" s="3201"/>
      <c r="AA8" s="773" t="e">
        <f t="shared" ref="AA8:AA46" si="3">D8/F8</f>
        <v>#DIV/0!</v>
      </c>
      <c r="AB8" s="773" t="e">
        <f t="shared" ref="AB8:AB46" si="4">D8/H8</f>
        <v>#DIV/0!</v>
      </c>
      <c r="AC8" s="773" t="e">
        <f t="shared" ref="AC8:AC46" si="5">D8/J8</f>
        <v>#DIV/0!</v>
      </c>
    </row>
    <row r="9" spans="1:29" s="117" customFormat="1">
      <c r="A9" s="415" t="s">
        <v>2552</v>
      </c>
      <c r="B9" s="71" t="s">
        <v>2553</v>
      </c>
      <c r="C9" s="416"/>
      <c r="D9" s="134">
        <v>100</v>
      </c>
      <c r="E9" s="417"/>
      <c r="F9" s="418">
        <f>SUMIF(63:63,E9,64:64)-SUMIF(63:63,C9,64:64)+100</f>
        <v>100</v>
      </c>
      <c r="G9" s="417"/>
      <c r="H9" s="134">
        <f>SUMIF(63:63,G9,64:64)-SUMIF(63:63,C9,64:64)+100</f>
        <v>100</v>
      </c>
      <c r="I9" s="417"/>
      <c r="J9" s="134">
        <f>SUMIF(63:63,I9,64:64)-SUMIF(63:63,C9,64:64)+100</f>
        <v>100</v>
      </c>
      <c r="K9" s="611"/>
      <c r="L9" s="1131"/>
      <c r="M9" s="1132"/>
      <c r="N9" s="1132"/>
      <c r="O9" s="1132"/>
      <c r="P9" s="3170" t="s">
        <v>2554</v>
      </c>
      <c r="Q9" s="179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4"/>
      <c r="F10" s="425">
        <f>SUMIF(65:65,E10,66:66)-SUMIF(65:65,C10,66:66)+100</f>
        <v>100</v>
      </c>
      <c r="G10" s="423"/>
      <c r="H10" s="135">
        <f>SUMIF(65:65,G10,66:66)-SUMIF(65:65,C10,66:66)+100</f>
        <v>100</v>
      </c>
      <c r="I10" s="423"/>
      <c r="J10" s="135">
        <f>SUMIF(65:65,I10,66:66)-SUMIF(65:65,C10,66:66)+100</f>
        <v>100</v>
      </c>
      <c r="K10" s="612"/>
      <c r="L10" s="1134"/>
      <c r="M10" s="1135"/>
      <c r="N10" s="1135"/>
      <c r="O10" s="1135"/>
      <c r="P10" s="3170"/>
      <c r="Q10" s="179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2557</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7"/>
      <c r="M11" s="1130"/>
      <c r="N11" s="1130"/>
      <c r="O11" s="1130"/>
      <c r="P11" s="3170"/>
      <c r="Q11" s="1794"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5">
        <f>SUMIF(70:70,G12,71:71)-SUMIF(70:70,C12,71:71)+100</f>
        <v>100</v>
      </c>
      <c r="I12" s="434"/>
      <c r="J12" s="135">
        <f>SUMIF(70:70,I12,71:71)-SUMIF(70:70,C12,71:71)+100</f>
        <v>100</v>
      </c>
      <c r="K12" s="613"/>
      <c r="L12" s="1131"/>
      <c r="M12" s="1132"/>
      <c r="N12" s="1132"/>
      <c r="O12" s="1132"/>
      <c r="P12" s="3170"/>
      <c r="Q12" s="179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0"/>
      <c r="Q13" s="179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0"/>
      <c r="Q14" s="1794">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2558</v>
      </c>
      <c r="B15" s="69" t="s">
        <v>2652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10" t="s">
        <v>2559</v>
      </c>
      <c r="Q15" s="1809" t="str">
        <f t="shared" si="6"/>
        <v>商业繁华度</v>
      </c>
      <c r="R15" s="774" t="s">
        <v>17</v>
      </c>
      <c r="S15" s="775">
        <f t="shared" si="0"/>
        <v>100</v>
      </c>
      <c r="T15" s="774" t="s">
        <v>17</v>
      </c>
      <c r="U15" s="775">
        <f t="shared" si="1"/>
        <v>100</v>
      </c>
      <c r="V15" s="774" t="s">
        <v>17</v>
      </c>
      <c r="W15" s="775">
        <f t="shared" si="2"/>
        <v>100</v>
      </c>
      <c r="X15" s="1812"/>
      <c r="Y15" s="3173"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11"/>
      <c r="Q16" s="1809"/>
      <c r="R16" s="774"/>
      <c r="S16" s="775"/>
      <c r="T16" s="774"/>
      <c r="U16" s="775"/>
      <c r="V16" s="774"/>
      <c r="W16" s="775"/>
      <c r="X16" s="1812"/>
      <c r="Y16" s="3174"/>
      <c r="Z16" s="1813"/>
      <c r="AA16" s="1810">
        <v>1</v>
      </c>
      <c r="AB16" s="1810">
        <v>1</v>
      </c>
      <c r="AC16" s="1810">
        <v>1</v>
      </c>
    </row>
    <row r="17" spans="1:29" ht="85.5">
      <c r="A17" s="428"/>
      <c r="B17" s="451" t="s">
        <v>2095</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11"/>
      <c r="Q17" s="1809" t="str">
        <f>B17</f>
        <v>交通便捷度</v>
      </c>
      <c r="R17" s="774" t="s">
        <v>17</v>
      </c>
      <c r="S17" s="775">
        <f>F17</f>
        <v>100</v>
      </c>
      <c r="T17" s="774" t="s">
        <v>17</v>
      </c>
      <c r="U17" s="775">
        <f>H17</f>
        <v>100</v>
      </c>
      <c r="V17" s="774" t="s">
        <v>17</v>
      </c>
      <c r="W17" s="775">
        <f>J17</f>
        <v>100</v>
      </c>
      <c r="X17" s="1812"/>
      <c r="Y17" s="3174"/>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0"/>
      <c r="P18" s="3211"/>
      <c r="Q18" s="1809"/>
      <c r="R18" s="774"/>
      <c r="S18" s="775"/>
      <c r="T18" s="774"/>
      <c r="U18" s="775"/>
      <c r="V18" s="774"/>
      <c r="W18" s="775"/>
      <c r="X18" s="1812"/>
      <c r="Y18" s="3174"/>
      <c r="Z18" s="1813"/>
      <c r="AA18" s="1810">
        <v>1</v>
      </c>
      <c r="AB18" s="1810">
        <v>1</v>
      </c>
      <c r="AC18" s="1810">
        <v>1</v>
      </c>
    </row>
    <row r="19" spans="1:29" ht="42.75">
      <c r="A19" s="428"/>
      <c r="B19" s="451" t="s">
        <v>2653</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11"/>
      <c r="Q19" s="1809" t="str">
        <f>B19</f>
        <v>公共配套设施</v>
      </c>
      <c r="R19" s="774" t="s">
        <v>17</v>
      </c>
      <c r="S19" s="775">
        <f>F19</f>
        <v>100</v>
      </c>
      <c r="T19" s="774" t="s">
        <v>17</v>
      </c>
      <c r="U19" s="775">
        <f>H19</f>
        <v>100</v>
      </c>
      <c r="V19" s="774" t="s">
        <v>17</v>
      </c>
      <c r="W19" s="775">
        <f>J19</f>
        <v>100</v>
      </c>
      <c r="X19" s="1812"/>
      <c r="Y19" s="3174"/>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0"/>
      <c r="P20" s="3211"/>
      <c r="Q20" s="1809"/>
      <c r="R20" s="774"/>
      <c r="S20" s="775"/>
      <c r="T20" s="774"/>
      <c r="U20" s="775"/>
      <c r="V20" s="774"/>
      <c r="W20" s="775"/>
      <c r="X20" s="1812"/>
      <c r="Y20" s="3174"/>
      <c r="Z20" s="1813"/>
      <c r="AA20" s="1810">
        <v>1</v>
      </c>
      <c r="AB20" s="1810">
        <v>1</v>
      </c>
      <c r="AC20" s="1810">
        <v>1</v>
      </c>
    </row>
    <row r="21" spans="1:29" ht="28.5">
      <c r="A21" s="428"/>
      <c r="B21" s="1383" t="s">
        <v>2654</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11"/>
      <c r="Q21" s="1809" t="str">
        <f>B21</f>
        <v>基础设施水平</v>
      </c>
      <c r="R21" s="774" t="s">
        <v>17</v>
      </c>
      <c r="S21" s="775">
        <f>F21</f>
        <v>100</v>
      </c>
      <c r="T21" s="774" t="s">
        <v>17</v>
      </c>
      <c r="U21" s="775">
        <f>H21</f>
        <v>100</v>
      </c>
      <c r="V21" s="774" t="s">
        <v>17</v>
      </c>
      <c r="W21" s="775">
        <f>J21</f>
        <v>100</v>
      </c>
      <c r="X21" s="1812"/>
      <c r="Y21" s="3174"/>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0"/>
      <c r="P22" s="3211"/>
      <c r="Q22" s="1809"/>
      <c r="R22" s="774"/>
      <c r="S22" s="775"/>
      <c r="T22" s="774"/>
      <c r="U22" s="775"/>
      <c r="V22" s="774"/>
      <c r="W22" s="775"/>
      <c r="X22" s="1812"/>
      <c r="Y22" s="3174"/>
      <c r="Z22" s="1813"/>
      <c r="AA22" s="1810">
        <v>1</v>
      </c>
      <c r="AB22" s="1810">
        <v>1</v>
      </c>
      <c r="AC22" s="1810">
        <v>1</v>
      </c>
    </row>
    <row r="23" spans="1:29" ht="57">
      <c r="A23" s="428"/>
      <c r="B23" s="451" t="s">
        <v>2100</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11"/>
      <c r="Q23" s="1809" t="str">
        <f>B23</f>
        <v>自然及人文环境</v>
      </c>
      <c r="R23" s="774" t="s">
        <v>17</v>
      </c>
      <c r="S23" s="775">
        <f>F23</f>
        <v>100</v>
      </c>
      <c r="T23" s="774" t="s">
        <v>17</v>
      </c>
      <c r="U23" s="775">
        <f>H23</f>
        <v>100</v>
      </c>
      <c r="V23" s="774" t="s">
        <v>17</v>
      </c>
      <c r="W23" s="775">
        <f>J23</f>
        <v>100</v>
      </c>
      <c r="X23" s="1812"/>
      <c r="Y23" s="3174"/>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39"/>
      <c r="M24" s="1130"/>
      <c r="N24" s="1130"/>
      <c r="O24" s="1130"/>
      <c r="P24" s="3211"/>
      <c r="Q24" s="1809"/>
      <c r="R24" s="774"/>
      <c r="S24" s="775"/>
      <c r="T24" s="774"/>
      <c r="U24" s="775"/>
      <c r="V24" s="774"/>
      <c r="W24" s="775"/>
      <c r="X24" s="1812"/>
      <c r="Y24" s="3174"/>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11"/>
      <c r="Q25" s="1809" t="str">
        <f t="shared" ref="Q25:Q46" si="11">B25</f>
        <v>临街状况</v>
      </c>
      <c r="R25" s="774" t="s">
        <v>17</v>
      </c>
      <c r="S25" s="775">
        <f>F25</f>
        <v>100</v>
      </c>
      <c r="T25" s="774" t="s">
        <v>17</v>
      </c>
      <c r="U25" s="775">
        <f>H25</f>
        <v>100</v>
      </c>
      <c r="V25" s="774" t="s">
        <v>17</v>
      </c>
      <c r="W25" s="775">
        <f>J25</f>
        <v>100</v>
      </c>
      <c r="X25" s="1812"/>
      <c r="Y25" s="3174"/>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11"/>
      <c r="Q26" s="1809" t="str">
        <f t="shared" si="11"/>
        <v>平面位置/可视性</v>
      </c>
      <c r="R26" s="774" t="s">
        <v>17</v>
      </c>
      <c r="S26" s="775">
        <f>F26</f>
        <v>100</v>
      </c>
      <c r="T26" s="774" t="s">
        <v>17</v>
      </c>
      <c r="U26" s="775">
        <f>H26</f>
        <v>100</v>
      </c>
      <c r="V26" s="774" t="s">
        <v>17</v>
      </c>
      <c r="W26" s="775">
        <f>J26</f>
        <v>100</v>
      </c>
      <c r="X26" s="1812"/>
      <c r="Y26" s="3174"/>
      <c r="Z26" s="1813" t="str">
        <f>Q26</f>
        <v>平面位置/可视性</v>
      </c>
      <c r="AA26" s="1810">
        <f t="shared" si="3"/>
        <v>1</v>
      </c>
      <c r="AB26" s="1810">
        <f t="shared" si="4"/>
        <v>1</v>
      </c>
      <c r="AC26" s="1810">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1"/>
      <c r="M27" s="1132"/>
      <c r="N27" s="1132"/>
      <c r="O27" s="1132"/>
      <c r="P27" s="3211"/>
      <c r="Q27" s="1794" t="str">
        <f t="shared" si="11"/>
        <v>人流量</v>
      </c>
      <c r="R27" s="770" t="s">
        <v>17</v>
      </c>
      <c r="S27" s="771">
        <f>F27</f>
        <v>100</v>
      </c>
      <c r="T27" s="770" t="s">
        <v>17</v>
      </c>
      <c r="U27" s="771">
        <f>H27</f>
        <v>100</v>
      </c>
      <c r="V27" s="770" t="s">
        <v>17</v>
      </c>
      <c r="W27" s="771">
        <f>J27</f>
        <v>100</v>
      </c>
      <c r="X27" s="772"/>
      <c r="Y27" s="3174"/>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1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4"/>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1"/>
      <c r="Q29" s="1809">
        <f t="shared" si="11"/>
        <v>111</v>
      </c>
      <c r="R29" s="774" t="s">
        <v>17</v>
      </c>
      <c r="S29" s="775">
        <f t="shared" si="12"/>
        <v>100</v>
      </c>
      <c r="T29" s="774" t="s">
        <v>17</v>
      </c>
      <c r="U29" s="775">
        <f t="shared" si="13"/>
        <v>100</v>
      </c>
      <c r="V29" s="774" t="s">
        <v>17</v>
      </c>
      <c r="W29" s="775">
        <f t="shared" si="14"/>
        <v>100</v>
      </c>
      <c r="X29" s="1812"/>
      <c r="Y29" s="3174"/>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1"/>
      <c r="Q30" s="1809">
        <f t="shared" si="11"/>
        <v>111</v>
      </c>
      <c r="R30" s="774" t="s">
        <v>17</v>
      </c>
      <c r="S30" s="775">
        <f t="shared" si="12"/>
        <v>100</v>
      </c>
      <c r="T30" s="774" t="s">
        <v>17</v>
      </c>
      <c r="U30" s="775">
        <f t="shared" si="13"/>
        <v>100</v>
      </c>
      <c r="V30" s="774" t="s">
        <v>17</v>
      </c>
      <c r="W30" s="775">
        <f t="shared" si="14"/>
        <v>100</v>
      </c>
      <c r="X30" s="1812"/>
      <c r="Y30" s="3174"/>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1"/>
      <c r="Q31" s="1809">
        <f t="shared" si="11"/>
        <v>111</v>
      </c>
      <c r="R31" s="774" t="s">
        <v>17</v>
      </c>
      <c r="S31" s="775">
        <f t="shared" si="12"/>
        <v>100</v>
      </c>
      <c r="T31" s="774" t="s">
        <v>17</v>
      </c>
      <c r="U31" s="775">
        <f t="shared" si="13"/>
        <v>100</v>
      </c>
      <c r="V31" s="774" t="s">
        <v>17</v>
      </c>
      <c r="W31" s="775">
        <f t="shared" si="14"/>
        <v>100</v>
      </c>
      <c r="X31" s="1812"/>
      <c r="Y31" s="3174"/>
      <c r="Z31" s="1813">
        <f t="shared" si="15"/>
        <v>111</v>
      </c>
      <c r="AA31" s="1810">
        <f t="shared" si="3"/>
        <v>1</v>
      </c>
      <c r="AB31" s="1810">
        <f t="shared" si="4"/>
        <v>1</v>
      </c>
      <c r="AC31" s="1810">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9"/>
      <c r="M32" s="1130"/>
      <c r="N32" s="1130"/>
      <c r="O32" s="1130"/>
      <c r="P32" s="3212" t="s">
        <v>2564</v>
      </c>
      <c r="Q32" s="1809" t="str">
        <f t="shared" si="11"/>
        <v>商业类型</v>
      </c>
      <c r="R32" s="774" t="s">
        <v>17</v>
      </c>
      <c r="S32" s="775">
        <f t="shared" si="12"/>
        <v>100</v>
      </c>
      <c r="T32" s="774" t="s">
        <v>17</v>
      </c>
      <c r="U32" s="775">
        <f t="shared" si="13"/>
        <v>100</v>
      </c>
      <c r="V32" s="774" t="s">
        <v>17</v>
      </c>
      <c r="W32" s="775">
        <f t="shared" si="14"/>
        <v>100</v>
      </c>
      <c r="X32" s="1812"/>
      <c r="Y32" s="3176" t="s">
        <v>2564</v>
      </c>
      <c r="Z32" s="1813" t="str">
        <f t="shared" si="15"/>
        <v>商业类型</v>
      </c>
      <c r="AA32" s="1810">
        <f t="shared" si="3"/>
        <v>1</v>
      </c>
      <c r="AB32" s="1810">
        <f t="shared" si="4"/>
        <v>1</v>
      </c>
      <c r="AC32" s="1810">
        <f t="shared" si="5"/>
        <v>1</v>
      </c>
    </row>
    <row r="33" spans="1:29" s="471" customFormat="1" ht="15">
      <c r="A33" s="468"/>
      <c r="B33" s="422" t="s">
        <v>2565</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7"/>
      <c r="M33" s="1140"/>
      <c r="N33" s="1140"/>
      <c r="O33" s="1140"/>
      <c r="P33" s="3213"/>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0" t="e">
        <f t="shared" si="3"/>
        <v>#N/A</v>
      </c>
      <c r="AB33" s="1810" t="e">
        <f t="shared" si="4"/>
        <v>#N/A</v>
      </c>
      <c r="AC33" s="1810"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9"/>
      <c r="M34" s="1130"/>
      <c r="N34" s="1130"/>
      <c r="O34" s="1130"/>
      <c r="P34" s="3213"/>
      <c r="Q34" s="1809" t="str">
        <f t="shared" si="11"/>
        <v>建筑结构</v>
      </c>
      <c r="R34" s="774" t="s">
        <v>17</v>
      </c>
      <c r="S34" s="775">
        <f t="shared" si="12"/>
        <v>100</v>
      </c>
      <c r="T34" s="774" t="s">
        <v>17</v>
      </c>
      <c r="U34" s="775">
        <f t="shared" si="13"/>
        <v>100</v>
      </c>
      <c r="V34" s="774" t="s">
        <v>17</v>
      </c>
      <c r="W34" s="775">
        <f t="shared" si="14"/>
        <v>100</v>
      </c>
      <c r="X34" s="1812"/>
      <c r="Y34" s="3176"/>
      <c r="Z34" s="1813" t="str">
        <f t="shared" si="15"/>
        <v>建筑结构</v>
      </c>
      <c r="AA34" s="1810">
        <f t="shared" si="3"/>
        <v>1</v>
      </c>
      <c r="AB34" s="1810">
        <f t="shared" si="4"/>
        <v>1</v>
      </c>
      <c r="AC34" s="1810">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213"/>
      <c r="Q35" s="1809" t="str">
        <f t="shared" si="11"/>
        <v>公共部分装修</v>
      </c>
      <c r="R35" s="774" t="s">
        <v>17</v>
      </c>
      <c r="S35" s="775">
        <f t="shared" si="12"/>
        <v>100</v>
      </c>
      <c r="T35" s="774" t="s">
        <v>17</v>
      </c>
      <c r="U35" s="775">
        <f t="shared" si="13"/>
        <v>100</v>
      </c>
      <c r="V35" s="774" t="s">
        <v>17</v>
      </c>
      <c r="W35" s="775">
        <f t="shared" si="14"/>
        <v>100</v>
      </c>
      <c r="X35" s="1812"/>
      <c r="Y35" s="3176"/>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13"/>
      <c r="Q36" s="1809" t="str">
        <f t="shared" si="11"/>
        <v>成新度</v>
      </c>
      <c r="R36" s="774" t="s">
        <v>17</v>
      </c>
      <c r="S36" s="775" t="e">
        <f t="shared" si="12"/>
        <v>#N/A</v>
      </c>
      <c r="T36" s="774" t="s">
        <v>17</v>
      </c>
      <c r="U36" s="775" t="e">
        <f t="shared" si="13"/>
        <v>#N/A</v>
      </c>
      <c r="V36" s="774" t="s">
        <v>17</v>
      </c>
      <c r="W36" s="775" t="e">
        <f t="shared" si="14"/>
        <v>#N/A</v>
      </c>
      <c r="X36" s="1812"/>
      <c r="Y36" s="3176"/>
      <c r="Z36" s="1813" t="str">
        <f t="shared" si="15"/>
        <v>成新度</v>
      </c>
      <c r="AA36" s="1810" t="e">
        <f t="shared" si="3"/>
        <v>#N/A</v>
      </c>
      <c r="AB36" s="1810" t="e">
        <f t="shared" si="4"/>
        <v>#N/A</v>
      </c>
      <c r="AC36" s="1810" t="e">
        <f t="shared" si="5"/>
        <v>#N/A</v>
      </c>
    </row>
    <row r="37" spans="1:29" s="117" customFormat="1" ht="15">
      <c r="A37" s="473"/>
      <c r="B37" s="422" t="s">
        <v>2662</v>
      </c>
      <c r="C37" s="2611"/>
      <c r="D37" s="135">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213"/>
      <c r="Q37" s="1794"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9"/>
      <c r="M38" s="1130"/>
      <c r="N38" s="1130"/>
      <c r="O38" s="1130"/>
      <c r="P38" s="3213" t="s">
        <v>2564</v>
      </c>
      <c r="Q38" s="1809" t="str">
        <f t="shared" si="11"/>
        <v>业态</v>
      </c>
      <c r="R38" s="774" t="s">
        <v>17</v>
      </c>
      <c r="S38" s="775">
        <f t="shared" si="12"/>
        <v>100</v>
      </c>
      <c r="T38" s="774" t="s">
        <v>17</v>
      </c>
      <c r="U38" s="775">
        <f t="shared" si="13"/>
        <v>100</v>
      </c>
      <c r="V38" s="774" t="s">
        <v>17</v>
      </c>
      <c r="W38" s="775">
        <f t="shared" si="14"/>
        <v>100</v>
      </c>
      <c r="X38" s="1812"/>
      <c r="Y38" s="3176" t="s">
        <v>2564</v>
      </c>
      <c r="Z38" s="1813" t="str">
        <f t="shared" si="15"/>
        <v>业态</v>
      </c>
      <c r="AA38" s="1810">
        <f t="shared" si="3"/>
        <v>1</v>
      </c>
      <c r="AB38" s="1810">
        <f t="shared" si="4"/>
        <v>1</v>
      </c>
      <c r="AC38" s="1810">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213"/>
      <c r="Q39" s="1809" t="str">
        <f t="shared" si="11"/>
        <v>层高</v>
      </c>
      <c r="R39" s="774" t="s">
        <v>17</v>
      </c>
      <c r="S39" s="775">
        <f t="shared" si="12"/>
        <v>100</v>
      </c>
      <c r="T39" s="774" t="s">
        <v>17</v>
      </c>
      <c r="U39" s="775">
        <f t="shared" si="13"/>
        <v>100</v>
      </c>
      <c r="V39" s="774" t="s">
        <v>17</v>
      </c>
      <c r="W39" s="775">
        <f t="shared" si="14"/>
        <v>100</v>
      </c>
      <c r="X39" s="1812"/>
      <c r="Y39" s="3176"/>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3"/>
      <c r="Q40" s="1809" t="str">
        <f t="shared" si="11"/>
        <v>单套建筑面积</v>
      </c>
      <c r="R40" s="774" t="s">
        <v>17</v>
      </c>
      <c r="S40" s="775">
        <f t="shared" si="12"/>
        <v>100</v>
      </c>
      <c r="T40" s="774" t="s">
        <v>17</v>
      </c>
      <c r="U40" s="775">
        <f t="shared" si="13"/>
        <v>100</v>
      </c>
      <c r="V40" s="774" t="s">
        <v>17</v>
      </c>
      <c r="W40" s="775">
        <f t="shared" si="14"/>
        <v>100</v>
      </c>
      <c r="X40" s="1812"/>
      <c r="Y40" s="3176"/>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13"/>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0">
        <f t="shared" si="3"/>
        <v>1</v>
      </c>
      <c r="AB41" s="1810">
        <f t="shared" si="4"/>
        <v>1</v>
      </c>
      <c r="AC41" s="1810">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9"/>
      <c r="M42" s="1130"/>
      <c r="N42" s="1130"/>
      <c r="O42" s="1130"/>
      <c r="P42" s="3213"/>
      <c r="Q42" s="1809" t="str">
        <f t="shared" si="11"/>
        <v>内部装修</v>
      </c>
      <c r="R42" s="774" t="s">
        <v>17</v>
      </c>
      <c r="S42" s="775">
        <f t="shared" si="12"/>
        <v>100</v>
      </c>
      <c r="T42" s="774" t="s">
        <v>17</v>
      </c>
      <c r="U42" s="775">
        <f t="shared" si="13"/>
        <v>100</v>
      </c>
      <c r="V42" s="774" t="s">
        <v>17</v>
      </c>
      <c r="W42" s="775">
        <f t="shared" si="14"/>
        <v>100</v>
      </c>
      <c r="X42" s="1812"/>
      <c r="Y42" s="3176"/>
      <c r="Z42" s="1813" t="str">
        <f t="shared" si="15"/>
        <v>内部装修</v>
      </c>
      <c r="AA42" s="1810">
        <f t="shared" si="3"/>
        <v>1</v>
      </c>
      <c r="AB42" s="1810">
        <f t="shared" si="4"/>
        <v>1</v>
      </c>
      <c r="AC42" s="1810">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213"/>
      <c r="Q43" s="1809" t="str">
        <f t="shared" si="11"/>
        <v>内部装修维护情况</v>
      </c>
      <c r="R43" s="774" t="s">
        <v>17</v>
      </c>
      <c r="S43" s="775">
        <f t="shared" si="12"/>
        <v>100</v>
      </c>
      <c r="T43" s="774" t="s">
        <v>17</v>
      </c>
      <c r="U43" s="775">
        <f t="shared" si="13"/>
        <v>100</v>
      </c>
      <c r="V43" s="774" t="s">
        <v>17</v>
      </c>
      <c r="W43" s="775">
        <f t="shared" si="14"/>
        <v>100</v>
      </c>
      <c r="X43" s="1812"/>
      <c r="Y43" s="3176"/>
      <c r="Z43" s="1813" t="str">
        <f t="shared" si="15"/>
        <v>内部装修维护情况</v>
      </c>
      <c r="AA43" s="1810">
        <f t="shared" si="3"/>
        <v>1</v>
      </c>
      <c r="AB43" s="1810">
        <f t="shared" si="4"/>
        <v>1</v>
      </c>
      <c r="AC43" s="1810">
        <f t="shared" si="5"/>
        <v>1</v>
      </c>
    </row>
    <row r="44" spans="1:29" s="117" customFormat="1" ht="15">
      <c r="A44" s="473"/>
      <c r="B44" s="1385">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1"/>
      <c r="M44" s="1132"/>
      <c r="N44" s="1132"/>
      <c r="O44" s="1132"/>
      <c r="P44" s="3213"/>
      <c r="Q44" s="1794">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3"/>
      <c r="Q45" s="1809">
        <f t="shared" si="11"/>
        <v>111</v>
      </c>
      <c r="R45" s="774" t="s">
        <v>17</v>
      </c>
      <c r="S45" s="775">
        <f t="shared" si="12"/>
        <v>100</v>
      </c>
      <c r="T45" s="774" t="s">
        <v>17</v>
      </c>
      <c r="U45" s="775">
        <f t="shared" si="13"/>
        <v>100</v>
      </c>
      <c r="V45" s="774" t="s">
        <v>17</v>
      </c>
      <c r="W45" s="775">
        <f t="shared" si="14"/>
        <v>100</v>
      </c>
      <c r="X45" s="1812"/>
      <c r="Y45" s="3176"/>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4"/>
      <c r="Q46" s="1809">
        <f t="shared" si="11"/>
        <v>111</v>
      </c>
      <c r="R46" s="774" t="s">
        <v>17</v>
      </c>
      <c r="S46" s="775">
        <f t="shared" si="12"/>
        <v>100</v>
      </c>
      <c r="T46" s="774" t="s">
        <v>17</v>
      </c>
      <c r="U46" s="775">
        <f t="shared" si="13"/>
        <v>100</v>
      </c>
      <c r="V46" s="774" t="s">
        <v>17</v>
      </c>
      <c r="W46" s="775">
        <f t="shared" si="14"/>
        <v>100</v>
      </c>
      <c r="X46" s="1812"/>
      <c r="Y46" s="3215"/>
      <c r="Z46" s="1813">
        <f t="shared" si="15"/>
        <v>111</v>
      </c>
      <c r="AA46" s="1810">
        <f t="shared" si="3"/>
        <v>1</v>
      </c>
      <c r="AB46" s="1810">
        <f t="shared" si="4"/>
        <v>1</v>
      </c>
      <c r="AC46" s="1810">
        <f t="shared" si="5"/>
        <v>1</v>
      </c>
    </row>
    <row r="47" spans="1:29" ht="15">
      <c r="A47" s="479" t="s">
        <v>2576</v>
      </c>
      <c r="B47" s="480"/>
      <c r="C47" s="1406" t="s">
        <v>1</v>
      </c>
      <c r="D47" s="1407"/>
      <c r="E47" s="1408"/>
      <c r="F47" s="1409"/>
      <c r="G47" s="1410"/>
      <c r="H47" s="1411"/>
      <c r="I47" s="1408"/>
      <c r="J47" s="1411"/>
      <c r="K47" s="783"/>
      <c r="L47" s="1142"/>
      <c r="M47" s="1143"/>
      <c r="N47" s="1130"/>
      <c r="O47" s="1143"/>
      <c r="P47" s="3171" t="str">
        <f>A47</f>
        <v>成交单价（元/平方米）</v>
      </c>
      <c r="Q47" s="3171"/>
      <c r="R47" s="3177">
        <f>E47</f>
        <v>0</v>
      </c>
      <c r="S47" s="3177"/>
      <c r="T47" s="3177">
        <f>G47</f>
        <v>0</v>
      </c>
      <c r="U47" s="3177"/>
      <c r="V47" s="3177">
        <f>I47</f>
        <v>0</v>
      </c>
      <c r="W47" s="3177"/>
      <c r="X47" s="759"/>
      <c r="Y47" s="781"/>
      <c r="Z47" s="759"/>
      <c r="AA47" s="759"/>
      <c r="AB47" s="759"/>
      <c r="AC47" s="759"/>
    </row>
    <row r="48" spans="1:29" ht="15.75" thickBot="1">
      <c r="A48" s="486" t="s">
        <v>2668</v>
      </c>
      <c r="B48" s="487"/>
      <c r="C48" s="1412" t="e">
        <f>R49</f>
        <v>#DIV/0!</v>
      </c>
      <c r="D48" s="1413"/>
      <c r="E48" s="1414" t="e">
        <f>R48</f>
        <v>#DIV/0!</v>
      </c>
      <c r="F48" s="1414"/>
      <c r="G48" s="1412" t="e">
        <f>T48</f>
        <v>#DIV/0!</v>
      </c>
      <c r="H48" s="1413"/>
      <c r="I48" s="1414" t="e">
        <f>V48</f>
        <v>#DIV/0!</v>
      </c>
      <c r="J48" s="1413"/>
      <c r="K48" s="784"/>
      <c r="L48" s="1142"/>
      <c r="M48" s="1143"/>
      <c r="N48" s="1130"/>
      <c r="O48" s="1143"/>
      <c r="P48" s="3171" t="str">
        <f>A48</f>
        <v>比较价值（元/平方米）</v>
      </c>
      <c r="Q48" s="3171"/>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2669</v>
      </c>
      <c r="B49" s="493"/>
      <c r="C49" s="1416" t="e">
        <f>R49</f>
        <v>#DIV/0!</v>
      </c>
      <c r="D49" s="1416"/>
      <c r="E49" s="1416"/>
      <c r="F49" s="1416"/>
      <c r="G49" s="1416"/>
      <c r="H49" s="1416"/>
      <c r="I49" s="1416"/>
      <c r="J49" s="1416"/>
      <c r="K49" s="785"/>
      <c r="L49" s="1142"/>
      <c r="M49" s="1143"/>
      <c r="N49" s="1130"/>
      <c r="O49" s="1143"/>
      <c r="P49" s="3165" t="str">
        <f>A49</f>
        <v>估价对象XX用房的比较价值（楼面单价，元/平方米）</v>
      </c>
      <c r="Q49" s="3166"/>
      <c r="R49" s="3209" t="e">
        <f>IF(F1="售价",ROUND(AVERAGE(R48:V48),0),ROUND(AVERAGE(R48:V48),1))</f>
        <v>#DIV/0!</v>
      </c>
      <c r="S49" s="3209"/>
      <c r="T49" s="3209"/>
      <c r="U49" s="3209"/>
      <c r="V49" s="3209"/>
      <c r="W49" s="320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4"/>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4"/>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0"/>
      <c r="M57" s="1158"/>
      <c r="N57" s="1158"/>
      <c r="O57" s="1158"/>
      <c r="P57" s="2665"/>
      <c r="Q57" s="2666"/>
      <c r="R57" s="759"/>
      <c r="S57" s="759"/>
      <c r="T57" s="759"/>
      <c r="U57" s="759"/>
      <c r="V57" s="759"/>
      <c r="W57" s="759"/>
      <c r="X57" s="759"/>
      <c r="Y57" s="759"/>
      <c r="Z57" s="759"/>
      <c r="AA57" s="759"/>
      <c r="AB57" s="759"/>
      <c r="AC57" s="759"/>
    </row>
    <row r="58" spans="1:29" s="508" customFormat="1" ht="15">
      <c r="A58" s="505" t="s">
        <v>2547</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2587</v>
      </c>
      <c r="B63" s="528" t="s">
        <v>2553</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2"/>
      <c r="O82" s="1152"/>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2679</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9"/>
      <c r="Q91" s="559"/>
    </row>
    <row r="92" spans="1:17" ht="15.75" thickTop="1">
      <c r="A92" s="534"/>
      <c r="B92" s="538" t="str">
        <f>B28</f>
        <v>楼层</v>
      </c>
      <c r="C92" s="554"/>
      <c r="D92" s="554"/>
      <c r="E92" s="554"/>
      <c r="F92" s="554"/>
      <c r="G92" s="554"/>
      <c r="H92" s="554"/>
      <c r="I92" s="554"/>
      <c r="J92" s="554"/>
      <c r="K92" s="554"/>
      <c r="L92" s="580"/>
      <c r="M92" s="581"/>
      <c r="N92" s="1151"/>
      <c r="O92" s="1151"/>
      <c r="P92" s="2628"/>
      <c r="Q92" s="504"/>
    </row>
    <row r="93" spans="1:17" ht="15.75" thickBot="1">
      <c r="A93" s="534"/>
      <c r="B93" s="543"/>
      <c r="C93" s="536"/>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2562</v>
      </c>
      <c r="B100" s="528" t="s">
        <v>2680</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9"/>
      <c r="Q104" s="559"/>
    </row>
    <row r="105" spans="1:17" ht="15" thickTop="1">
      <c r="A105" s="599"/>
      <c r="B105" s="538" t="s">
        <v>2613</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8"/>
      <c r="Q106" s="504"/>
    </row>
    <row r="107" spans="1:17" ht="15" thickTop="1">
      <c r="A107" s="599"/>
      <c r="B107" s="538" t="s">
        <v>2615</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8"/>
      <c r="Q111" s="504"/>
    </row>
    <row r="112" spans="1:17" s="471" customFormat="1" ht="15" thickTop="1">
      <c r="A112" s="593"/>
      <c r="B112" s="538" t="s">
        <v>2617</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2681</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8"/>
      <c r="Q115" s="504"/>
    </row>
    <row r="116" spans="1:17" ht="15" thickTop="1">
      <c r="A116" s="599"/>
      <c r="B116" s="538" t="s">
        <v>2682</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2683</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2684</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2619</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4" workbookViewId="0">
      <selection activeCell="L24" sqref="L24:M28"/>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22" t="s">
        <v>1077</v>
      </c>
      <c r="B2" s="3223" t="s">
        <v>1078</v>
      </c>
      <c r="C2" s="3223"/>
      <c r="D2" s="1300" t="s">
        <v>1079</v>
      </c>
      <c r="E2" s="1300" t="s">
        <v>1080</v>
      </c>
      <c r="F2" s="1300" t="s">
        <v>1081</v>
      </c>
      <c r="G2" s="1300" t="s">
        <v>1082</v>
      </c>
      <c r="H2" s="1300" t="s">
        <v>1083</v>
      </c>
      <c r="I2" s="1301" t="s">
        <v>1084</v>
      </c>
    </row>
    <row r="3" spans="1:9">
      <c r="A3" s="3222"/>
      <c r="B3" s="3223" t="s">
        <v>1085</v>
      </c>
      <c r="C3" s="3223"/>
      <c r="D3" s="1302"/>
      <c r="E3" s="1300"/>
      <c r="F3" s="1303"/>
      <c r="G3" s="1303"/>
      <c r="H3" s="1304"/>
      <c r="I3" s="1305">
        <f>ROUND(D3*E3*F3*G3*H3/10000,0)</f>
        <v>0</v>
      </c>
    </row>
    <row r="4" spans="1:9">
      <c r="A4" s="3222"/>
      <c r="B4" s="3223" t="s">
        <v>1086</v>
      </c>
      <c r="C4" s="3223"/>
      <c r="D4" s="1302"/>
      <c r="E4" s="1300"/>
      <c r="F4" s="1303"/>
      <c r="G4" s="1303"/>
      <c r="H4" s="1304"/>
      <c r="I4" s="1305">
        <f t="shared" ref="I4:I9" si="0">ROUND(D4*E4*F4*G4*H4/10000,0)</f>
        <v>0</v>
      </c>
    </row>
    <row r="5" spans="1:9">
      <c r="A5" s="3222"/>
      <c r="B5" s="3223" t="s">
        <v>1087</v>
      </c>
      <c r="C5" s="3223"/>
      <c r="D5" s="1302"/>
      <c r="E5" s="1300"/>
      <c r="F5" s="1303"/>
      <c r="G5" s="1303"/>
      <c r="H5" s="1304"/>
      <c r="I5" s="1305">
        <f t="shared" si="0"/>
        <v>0</v>
      </c>
    </row>
    <row r="6" spans="1:9">
      <c r="A6" s="3222"/>
      <c r="B6" s="3223" t="s">
        <v>1088</v>
      </c>
      <c r="C6" s="3223"/>
      <c r="D6" s="1302"/>
      <c r="E6" s="1300"/>
      <c r="F6" s="1303"/>
      <c r="G6" s="1303"/>
      <c r="H6" s="1304"/>
      <c r="I6" s="1305">
        <f t="shared" si="0"/>
        <v>0</v>
      </c>
    </row>
    <row r="7" spans="1:9">
      <c r="A7" s="3222"/>
      <c r="B7" s="3223" t="s">
        <v>1089</v>
      </c>
      <c r="C7" s="3223"/>
      <c r="D7" s="1302"/>
      <c r="E7" s="1300"/>
      <c r="F7" s="1303"/>
      <c r="G7" s="1303"/>
      <c r="H7" s="1304"/>
      <c r="I7" s="1305">
        <f t="shared" si="0"/>
        <v>0</v>
      </c>
    </row>
    <row r="8" spans="1:9">
      <c r="A8" s="3222"/>
      <c r="B8" s="3223" t="s">
        <v>1090</v>
      </c>
      <c r="C8" s="3223"/>
      <c r="D8" s="1302"/>
      <c r="E8" s="1300"/>
      <c r="F8" s="1303"/>
      <c r="G8" s="1303"/>
      <c r="H8" s="1304"/>
      <c r="I8" s="1305">
        <f t="shared" si="0"/>
        <v>0</v>
      </c>
    </row>
    <row r="9" spans="1:9">
      <c r="A9" s="3222"/>
      <c r="B9" s="3223" t="s">
        <v>1091</v>
      </c>
      <c r="C9" s="3223"/>
      <c r="D9" s="1302"/>
      <c r="E9" s="1300"/>
      <c r="F9" s="1303"/>
      <c r="G9" s="1303"/>
      <c r="H9" s="1304"/>
      <c r="I9" s="1305">
        <f t="shared" si="0"/>
        <v>0</v>
      </c>
    </row>
    <row r="10" spans="1:9">
      <c r="A10" s="3222"/>
      <c r="B10" s="3224" t="s">
        <v>1092</v>
      </c>
      <c r="C10" s="3224"/>
      <c r="D10" s="1306"/>
      <c r="E10" s="1306" t="e">
        <f>ROUND(D1*10000/D10/H9,0)</f>
        <v>#DIV/0!</v>
      </c>
      <c r="F10" s="1307"/>
      <c r="G10" s="1307"/>
      <c r="H10" s="1308"/>
      <c r="I10" s="1309">
        <f>SUM(I3:I9)</f>
        <v>0</v>
      </c>
    </row>
    <row r="11" spans="1:9" ht="14.25">
      <c r="A11" s="3222" t="s">
        <v>1093</v>
      </c>
      <c r="B11" s="3223" t="s">
        <v>1094</v>
      </c>
      <c r="C11" s="3223"/>
      <c r="D11" s="1302" t="s">
        <v>1095</v>
      </c>
      <c r="E11" s="1302" t="s">
        <v>1096</v>
      </c>
      <c r="F11" s="1303" t="s">
        <v>1097</v>
      </c>
      <c r="G11" s="1303" t="s">
        <v>1083</v>
      </c>
      <c r="H11" s="1310" t="s">
        <v>1098</v>
      </c>
      <c r="I11" s="1301" t="s">
        <v>1084</v>
      </c>
    </row>
    <row r="12" spans="1:9">
      <c r="A12" s="3222"/>
      <c r="B12" s="3223" t="s">
        <v>1099</v>
      </c>
      <c r="C12" s="3223"/>
      <c r="D12" s="1302"/>
      <c r="E12" s="1302"/>
      <c r="F12" s="1303"/>
      <c r="G12" s="1304"/>
      <c r="H12" s="1311"/>
      <c r="I12" s="1301">
        <f>ROUND(D12*E12*F12*G12/10000,0)</f>
        <v>0</v>
      </c>
    </row>
    <row r="13" spans="1:9">
      <c r="A13" s="3222"/>
      <c r="B13" s="3223" t="s">
        <v>1100</v>
      </c>
      <c r="C13" s="3223"/>
      <c r="D13" s="1302"/>
      <c r="E13" s="1302"/>
      <c r="F13" s="1303"/>
      <c r="G13" s="1304"/>
      <c r="H13" s="1311"/>
      <c r="I13" s="1301">
        <f>ROUND(D13*E13*F13*G13/10000,0)</f>
        <v>0</v>
      </c>
    </row>
    <row r="14" spans="1:9">
      <c r="A14" s="3222"/>
      <c r="B14" s="3223" t="s">
        <v>1101</v>
      </c>
      <c r="C14" s="3223"/>
      <c r="D14" s="1302"/>
      <c r="E14" s="1302"/>
      <c r="F14" s="1303"/>
      <c r="G14" s="1304"/>
      <c r="H14" s="1311"/>
      <c r="I14" s="1301">
        <f>ROUND(D14*E14*F14*G14/10000,0)</f>
        <v>0</v>
      </c>
    </row>
    <row r="15" spans="1:9">
      <c r="A15" s="3222"/>
      <c r="B15" s="3224" t="s">
        <v>1092</v>
      </c>
      <c r="C15" s="3224"/>
      <c r="D15" s="1306"/>
      <c r="E15" s="1306">
        <f>SUM(E12:E14)</f>
        <v>0</v>
      </c>
      <c r="F15" s="1307"/>
      <c r="G15" s="1304"/>
      <c r="H15" s="1311"/>
      <c r="I15" s="1312">
        <f>SUM(I12:I14)</f>
        <v>0</v>
      </c>
    </row>
    <row r="16" spans="1:9" ht="24">
      <c r="A16" s="3222" t="s">
        <v>1102</v>
      </c>
      <c r="B16" s="3223" t="s">
        <v>1103</v>
      </c>
      <c r="C16" s="3223"/>
      <c r="D16" s="1302" t="s">
        <v>1079</v>
      </c>
      <c r="E16" s="1313" t="s">
        <v>1104</v>
      </c>
      <c r="F16" s="1303" t="s">
        <v>1105</v>
      </c>
      <c r="G16" s="1304" t="s">
        <v>1083</v>
      </c>
      <c r="H16" s="1310" t="s">
        <v>1098</v>
      </c>
      <c r="I16" s="1301" t="s">
        <v>1084</v>
      </c>
    </row>
    <row r="17" spans="1:9" ht="14.25">
      <c r="A17" s="3222"/>
      <c r="B17" s="3223" t="s">
        <v>1106</v>
      </c>
      <c r="C17" s="3223"/>
      <c r="D17" s="1302"/>
      <c r="E17" s="1302"/>
      <c r="F17" s="1303"/>
      <c r="G17" s="1304"/>
      <c r="H17" s="1314"/>
      <c r="I17" s="1315">
        <f>ROUND(D17*E17*F17*G17/10000,0)</f>
        <v>0</v>
      </c>
    </row>
    <row r="18" spans="1:9" ht="14.25">
      <c r="A18" s="3222"/>
      <c r="B18" s="3223" t="s">
        <v>1107</v>
      </c>
      <c r="C18" s="3223"/>
      <c r="D18" s="1302"/>
      <c r="E18" s="1302"/>
      <c r="F18" s="1303"/>
      <c r="G18" s="1304"/>
      <c r="H18" s="1314"/>
      <c r="I18" s="1315">
        <f>ROUND(D18*E18*F18*G18/10000,0)</f>
        <v>0</v>
      </c>
    </row>
    <row r="19" spans="1:9" ht="14.25">
      <c r="A19" s="3222"/>
      <c r="B19" s="3223" t="s">
        <v>1108</v>
      </c>
      <c r="C19" s="3223"/>
      <c r="D19" s="1302"/>
      <c r="E19" s="1302"/>
      <c r="F19" s="1303"/>
      <c r="G19" s="1304"/>
      <c r="H19" s="1314"/>
      <c r="I19" s="1315">
        <f>ROUND(D19*E19*F19*G19/10000,0)</f>
        <v>0</v>
      </c>
    </row>
    <row r="20" spans="1:9">
      <c r="A20" s="3222"/>
      <c r="B20" s="3224" t="s">
        <v>1092</v>
      </c>
      <c r="C20" s="3224"/>
      <c r="D20" s="1306">
        <f>SUM(D17:D19)</f>
        <v>0</v>
      </c>
      <c r="E20" s="1306"/>
      <c r="F20" s="1307"/>
      <c r="G20" s="1304"/>
      <c r="H20" s="1311"/>
      <c r="I20" s="1312">
        <f>SUM(I17:I19)</f>
        <v>0</v>
      </c>
    </row>
    <row r="21" spans="1:9">
      <c r="A21" s="3222" t="s">
        <v>1109</v>
      </c>
      <c r="B21" s="3225"/>
      <c r="C21" s="3225"/>
      <c r="D21" s="3225"/>
      <c r="E21" s="3225"/>
      <c r="F21" s="3225"/>
      <c r="G21" s="3225"/>
      <c r="H21" s="1764">
        <v>0.1</v>
      </c>
      <c r="I21" s="1309">
        <f>ROUND(I10*H21,0)</f>
        <v>0</v>
      </c>
    </row>
    <row r="22" spans="1:9" ht="14.25">
      <c r="A22" s="3226" t="s">
        <v>1110</v>
      </c>
      <c r="B22" s="3227"/>
      <c r="C22" s="3228"/>
      <c r="D22" s="1316" t="s">
        <v>1111</v>
      </c>
      <c r="E22" s="1316" t="s">
        <v>1112</v>
      </c>
      <c r="F22" s="1317" t="s">
        <v>1113</v>
      </c>
      <c r="G22" s="1317" t="s">
        <v>1114</v>
      </c>
      <c r="H22" s="1310" t="s">
        <v>1115</v>
      </c>
      <c r="I22" s="1301" t="s">
        <v>1116</v>
      </c>
    </row>
    <row r="23" spans="1:9" ht="14.25" thickBot="1">
      <c r="A23" s="3229"/>
      <c r="B23" s="3230"/>
      <c r="C23" s="3231"/>
      <c r="D23" s="1318"/>
      <c r="E23" s="1318"/>
      <c r="F23" s="1318"/>
      <c r="G23" s="1319"/>
      <c r="H23" s="1320"/>
      <c r="I23" s="1321">
        <f>ROUND(E23*D23*F23*(1-G23)/10000,0)</f>
        <v>0</v>
      </c>
    </row>
    <row r="26" spans="1:9">
      <c r="A26" s="1322" t="s">
        <v>1117</v>
      </c>
      <c r="B26" s="1322"/>
      <c r="C26" s="1322"/>
      <c r="D26" s="1322"/>
      <c r="E26" s="3219">
        <f>C27-C30-C31-C32</f>
        <v>0</v>
      </c>
      <c r="F26" s="3219"/>
      <c r="G26" s="3219"/>
      <c r="H26" s="1736" t="s">
        <v>1341</v>
      </c>
    </row>
    <row r="27" spans="1:9">
      <c r="A27" s="1323">
        <v>1</v>
      </c>
      <c r="B27" s="1324" t="s">
        <v>1118</v>
      </c>
      <c r="C27" s="1324">
        <f>C28+C29</f>
        <v>0</v>
      </c>
      <c r="D27" s="1324"/>
      <c r="E27" s="3220"/>
      <c r="F27" s="3220"/>
      <c r="G27" s="3220"/>
    </row>
    <row r="28" spans="1:9">
      <c r="A28" s="1325" t="s">
        <v>1119</v>
      </c>
      <c r="B28" s="1324" t="s">
        <v>1120</v>
      </c>
      <c r="C28" s="1324"/>
      <c r="D28" s="1324"/>
      <c r="E28" s="3220"/>
      <c r="F28" s="3220"/>
      <c r="G28" s="3220"/>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1"/>
      <c r="F32" s="3221"/>
      <c r="G32" s="3221"/>
    </row>
    <row r="33" spans="1:7" hidden="1">
      <c r="A33" s="3216" t="s">
        <v>1129</v>
      </c>
      <c r="B33" s="3217"/>
      <c r="C33" s="3217"/>
      <c r="D33" s="3218"/>
      <c r="E33" s="3219"/>
      <c r="F33" s="3219"/>
      <c r="G33" s="3219"/>
    </row>
    <row r="34" spans="1:7" hidden="1">
      <c r="A34" s="1327">
        <v>1</v>
      </c>
      <c r="B34" s="1324" t="s">
        <v>1130</v>
      </c>
      <c r="C34" s="1324"/>
      <c r="D34" s="1324"/>
      <c r="E34" s="3220"/>
      <c r="F34" s="3220"/>
      <c r="G34" s="3220"/>
    </row>
    <row r="35" spans="1:7" hidden="1">
      <c r="A35" s="1327">
        <v>2</v>
      </c>
      <c r="B35" s="1324" t="s">
        <v>1131</v>
      </c>
      <c r="C35" s="1324"/>
      <c r="D35" s="1324"/>
      <c r="E35" s="3220"/>
      <c r="F35" s="3220"/>
      <c r="G35" s="3220"/>
    </row>
    <row r="36" spans="1:7" hidden="1">
      <c r="A36" s="1327">
        <v>3</v>
      </c>
      <c r="B36" s="1324" t="s">
        <v>1132</v>
      </c>
      <c r="C36" s="1324"/>
      <c r="D36" s="1324"/>
      <c r="E36" s="3220"/>
      <c r="F36" s="3220"/>
      <c r="G36" s="3220"/>
    </row>
    <row r="37" spans="1:7" hidden="1">
      <c r="A37" s="1327">
        <v>4</v>
      </c>
      <c r="B37" s="1324" t="s">
        <v>1133</v>
      </c>
      <c r="C37" s="1324"/>
      <c r="D37" s="1324"/>
      <c r="E37" s="3220"/>
      <c r="F37" s="3220"/>
      <c r="G37" s="3220"/>
    </row>
    <row r="38" spans="1:7" hidden="1">
      <c r="A38" s="3216" t="s">
        <v>1134</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24" sqref="L24:M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0" t="s">
        <v>2528</v>
      </c>
      <c r="C1" s="1633" t="s">
        <v>2529</v>
      </c>
      <c r="D1" s="1620"/>
      <c r="E1" s="2581"/>
      <c r="F1" s="2582" t="s">
        <v>2530</v>
      </c>
      <c r="G1" s="1630" t="s">
        <v>2531</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4"/>
      <c r="D2" s="1364" t="e">
        <f ca="1">SUMIF(INDIRECT("'"&amp;F2&amp;"'"&amp;"!A:A"),"承租人权益价值",INDIRECT("'"&amp;F2&amp;"'"&amp;"!c:c"))</f>
        <v>#REF!</v>
      </c>
      <c r="E2" s="2585" t="s">
        <v>2532</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1396</v>
      </c>
      <c r="B3" s="399" t="e">
        <f ca="1">IF(C2="——",C49,ROUND(B2*10000/D3,0))</f>
        <v>#DIV/0!</v>
      </c>
      <c r="C3" s="400" t="s">
        <v>2533</v>
      </c>
      <c r="D3" s="399">
        <f>IF(D1="",'数据-汇总表'!E3,SUMIF('数据-汇总表'!$C19:$C33,D1,'数据-汇总表'!$E19:$E33))</f>
        <v>26215.040000000001</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1" t="s">
        <v>2534</v>
      </c>
      <c r="B4" s="402"/>
      <c r="C4" s="3168" t="s">
        <v>2535</v>
      </c>
      <c r="D4" s="3181"/>
      <c r="E4" s="3182" t="s">
        <v>2536</v>
      </c>
      <c r="F4" s="3183"/>
      <c r="G4" s="3168" t="s">
        <v>2537</v>
      </c>
      <c r="H4" s="3181"/>
      <c r="I4" s="3168" t="s">
        <v>2538</v>
      </c>
      <c r="J4" s="3181"/>
      <c r="K4" s="2594" t="s">
        <v>2539</v>
      </c>
      <c r="L4" s="1129"/>
      <c r="M4" s="1130"/>
      <c r="N4" s="1130"/>
      <c r="O4" s="1130"/>
      <c r="P4" s="3184" t="s">
        <v>2540</v>
      </c>
      <c r="Q4" s="3185"/>
      <c r="R4" s="3190" t="s">
        <v>2536</v>
      </c>
      <c r="S4" s="3191"/>
      <c r="T4" s="3190" t="s">
        <v>2537</v>
      </c>
      <c r="U4" s="3191"/>
      <c r="V4" s="3177" t="s">
        <v>2538</v>
      </c>
      <c r="W4" s="3177"/>
      <c r="X4" s="1812"/>
      <c r="Y4" s="3190" t="s">
        <v>2540</v>
      </c>
      <c r="Z4" s="3191"/>
      <c r="AA4" s="3178" t="s">
        <v>2536</v>
      </c>
      <c r="AB4" s="3178" t="s">
        <v>2537</v>
      </c>
      <c r="AC4" s="3178" t="s">
        <v>2538</v>
      </c>
    </row>
    <row r="5" spans="1:29" ht="15">
      <c r="A5" s="404"/>
      <c r="B5" s="405"/>
      <c r="C5" s="3198" t="s">
        <v>2541</v>
      </c>
      <c r="D5" s="3199"/>
      <c r="E5" s="3205" t="s">
        <v>2542</v>
      </c>
      <c r="F5" s="3206"/>
      <c r="G5" s="3198" t="s">
        <v>2543</v>
      </c>
      <c r="H5" s="3199"/>
      <c r="I5" s="3198" t="s">
        <v>2544</v>
      </c>
      <c r="J5" s="3199"/>
      <c r="K5" s="2595"/>
      <c r="L5" s="1129"/>
      <c r="M5" s="1130"/>
      <c r="N5" s="1130"/>
      <c r="O5" s="1130"/>
      <c r="P5" s="3186"/>
      <c r="Q5" s="3187"/>
      <c r="R5" s="3192"/>
      <c r="S5" s="3193"/>
      <c r="T5" s="3192"/>
      <c r="U5" s="3193"/>
      <c r="V5" s="3177"/>
      <c r="W5" s="3177"/>
      <c r="X5" s="1812"/>
      <c r="Y5" s="3192"/>
      <c r="Z5" s="3193"/>
      <c r="AA5" s="3179"/>
      <c r="AB5" s="3179"/>
      <c r="AC5" s="3179"/>
    </row>
    <row r="6" spans="1:29" ht="15.75" thickBot="1">
      <c r="A6" s="406"/>
      <c r="B6" s="407"/>
      <c r="C6" s="3196" t="s">
        <v>2545</v>
      </c>
      <c r="D6" s="3197"/>
      <c r="E6" s="3203" t="s">
        <v>2545</v>
      </c>
      <c r="F6" s="3204"/>
      <c r="G6" s="3196" t="s">
        <v>2545</v>
      </c>
      <c r="H6" s="3197"/>
      <c r="I6" s="3196" t="s">
        <v>2545</v>
      </c>
      <c r="J6" s="3197"/>
      <c r="K6" s="2595" t="s">
        <v>2546</v>
      </c>
      <c r="L6" s="1129"/>
      <c r="M6" s="1130"/>
      <c r="N6" s="1130"/>
      <c r="O6" s="1130"/>
      <c r="P6" s="3188"/>
      <c r="Q6" s="3189"/>
      <c r="R6" s="3192"/>
      <c r="S6" s="3193"/>
      <c r="T6" s="3194"/>
      <c r="U6" s="3195"/>
      <c r="V6" s="3177"/>
      <c r="W6" s="3177"/>
      <c r="X6" s="1812"/>
      <c r="Y6" s="3194"/>
      <c r="Z6" s="3195"/>
      <c r="AA6" s="3180"/>
      <c r="AB6" s="3180"/>
      <c r="AC6" s="3180"/>
    </row>
    <row r="7" spans="1:29" s="117" customFormat="1" ht="15.75" thickBot="1">
      <c r="A7" s="408" t="s">
        <v>2547</v>
      </c>
      <c r="B7" s="409"/>
      <c r="C7" s="410">
        <f>'数据-取费表'!B2</f>
        <v>43076</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00" t="s">
        <v>2548</v>
      </c>
      <c r="Q7" s="3202"/>
      <c r="R7" s="770" t="s">
        <v>23</v>
      </c>
      <c r="S7" s="771">
        <f t="shared" ref="S7:S15" si="0">F7</f>
        <v>0</v>
      </c>
      <c r="T7" s="770" t="s">
        <v>23</v>
      </c>
      <c r="U7" s="771">
        <f t="shared" ref="U7:U15" si="1">H7</f>
        <v>0</v>
      </c>
      <c r="V7" s="770" t="s">
        <v>23</v>
      </c>
      <c r="W7" s="771">
        <f t="shared" ref="W7:W15" si="2">J7</f>
        <v>0</v>
      </c>
      <c r="X7" s="772"/>
      <c r="Y7" s="3200" t="s">
        <v>2548</v>
      </c>
      <c r="Z7" s="3201"/>
      <c r="AA7" s="773" t="e">
        <f>D7/F7</f>
        <v>#DIV/0!</v>
      </c>
      <c r="AB7" s="773" t="e">
        <f>D7/H7</f>
        <v>#DIV/0!</v>
      </c>
      <c r="AC7" s="773" t="e">
        <f>D7/J7</f>
        <v>#DIV/0!</v>
      </c>
    </row>
    <row r="8" spans="1:29" s="117" customFormat="1" ht="15.75" thickBot="1">
      <c r="A8" s="408" t="s">
        <v>2549</v>
      </c>
      <c r="B8" s="409"/>
      <c r="C8" s="414" t="s">
        <v>2550</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00" t="s">
        <v>2551</v>
      </c>
      <c r="Q8" s="3201"/>
      <c r="R8" s="770" t="s">
        <v>23</v>
      </c>
      <c r="S8" s="771">
        <f t="shared" si="0"/>
        <v>0</v>
      </c>
      <c r="T8" s="770" t="s">
        <v>23</v>
      </c>
      <c r="U8" s="771">
        <f t="shared" si="1"/>
        <v>0</v>
      </c>
      <c r="V8" s="770" t="s">
        <v>23</v>
      </c>
      <c r="W8" s="771">
        <f t="shared" si="2"/>
        <v>0</v>
      </c>
      <c r="X8" s="772"/>
      <c r="Y8" s="3200" t="s">
        <v>2551</v>
      </c>
      <c r="Z8" s="3201"/>
      <c r="AA8" s="773" t="e">
        <f t="shared" ref="AA8:AA19" si="3">D8/F8</f>
        <v>#DIV/0!</v>
      </c>
      <c r="AB8" s="773" t="e">
        <f t="shared" ref="AB8:AB19" si="4">D8/H8</f>
        <v>#DIV/0!</v>
      </c>
      <c r="AC8" s="773" t="e">
        <f t="shared" ref="AC8:AC19" si="5">D8/J8</f>
        <v>#DIV/0!</v>
      </c>
    </row>
    <row r="9" spans="1:29" s="117" customFormat="1">
      <c r="A9" s="415" t="s">
        <v>2552</v>
      </c>
      <c r="B9" s="71" t="s">
        <v>2553</v>
      </c>
      <c r="C9" s="416"/>
      <c r="D9" s="134">
        <v>100</v>
      </c>
      <c r="E9" s="417"/>
      <c r="F9" s="418">
        <f>SUMIF(63:63,E9,64:64)-SUMIF(63:63,C9,64:64)+100</f>
        <v>100</v>
      </c>
      <c r="G9" s="419"/>
      <c r="H9" s="134">
        <f>SUMIF(63:63,G9,64:64)-SUMIF(63:63,C9,64:64)+100</f>
        <v>100</v>
      </c>
      <c r="I9" s="419"/>
      <c r="J9" s="134">
        <f>SUMIF(63:63,I9,64:64)-SUMIF(63:63,C9,64:64)+100</f>
        <v>100</v>
      </c>
      <c r="K9" s="2596"/>
      <c r="L9" s="1131"/>
      <c r="M9" s="1132"/>
      <c r="N9" s="1132"/>
      <c r="O9" s="1132"/>
      <c r="P9" s="3170" t="s">
        <v>2554</v>
      </c>
      <c r="Q9" s="179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4"/>
      <c r="F10" s="425">
        <f>SUMIF(65:65,E10,66:66)-SUMIF(65:65,C10,66:66)+100</f>
        <v>100</v>
      </c>
      <c r="G10" s="423"/>
      <c r="H10" s="135">
        <f>SUMIF(65:65,G10,66:66)-SUMIF(65:65,C10,66:66)+100</f>
        <v>100</v>
      </c>
      <c r="I10" s="423"/>
      <c r="J10" s="135">
        <f>SUMIF(65:65,I10,66:66)-SUMIF(65:65,C10,66:66)+100</f>
        <v>100</v>
      </c>
      <c r="K10" s="426"/>
      <c r="L10" s="1134"/>
      <c r="M10" s="1135"/>
      <c r="N10" s="1135"/>
      <c r="O10" s="1135"/>
      <c r="P10" s="3170"/>
      <c r="Q10" s="179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2557</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7"/>
      <c r="M11" s="1130"/>
      <c r="N11" s="1130"/>
      <c r="O11" s="1130"/>
      <c r="P11" s="3170"/>
      <c r="Q11" s="1794"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5">
        <f>SUMIF(70:70,G12,71:71)-SUMIF(70:70,C12,71:71)+100</f>
        <v>100</v>
      </c>
      <c r="I12" s="432"/>
      <c r="J12" s="135">
        <f>SUMIF(70:70,I12,71:71)-SUMIF(70:70,C12,71:71)+100</f>
        <v>100</v>
      </c>
      <c r="K12" s="2599"/>
      <c r="L12" s="1131"/>
      <c r="M12" s="1132"/>
      <c r="N12" s="1132"/>
      <c r="O12" s="1132"/>
      <c r="P12" s="3170"/>
      <c r="Q12" s="1794">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170"/>
      <c r="Q13" s="1794">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170"/>
      <c r="Q14" s="1794">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2558</v>
      </c>
      <c r="B15" s="69" t="s">
        <v>2083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0" t="s">
        <v>2559</v>
      </c>
      <c r="Q15" s="1809" t="str">
        <f t="shared" si="6"/>
        <v>居住社区成熟度</v>
      </c>
      <c r="R15" s="774" t="s">
        <v>21</v>
      </c>
      <c r="S15" s="775">
        <f t="shared" si="0"/>
        <v>100</v>
      </c>
      <c r="T15" s="774" t="s">
        <v>21</v>
      </c>
      <c r="U15" s="775">
        <f t="shared" si="1"/>
        <v>100</v>
      </c>
      <c r="V15" s="774" t="s">
        <v>21</v>
      </c>
      <c r="W15" s="775">
        <f t="shared" si="2"/>
        <v>100</v>
      </c>
      <c r="X15" s="1812"/>
      <c r="Y15" s="3173" t="s">
        <v>2559</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39"/>
      <c r="M16" s="1130"/>
      <c r="N16" s="1130"/>
      <c r="O16" s="1130"/>
      <c r="P16" s="3211"/>
      <c r="Q16" s="1809"/>
      <c r="R16" s="774"/>
      <c r="S16" s="775"/>
      <c r="T16" s="774"/>
      <c r="U16" s="775"/>
      <c r="V16" s="774"/>
      <c r="W16" s="775"/>
      <c r="X16" s="1812"/>
      <c r="Y16" s="3174"/>
      <c r="Z16" s="1813"/>
      <c r="AA16" s="1810">
        <v>1</v>
      </c>
      <c r="AB16" s="1810">
        <v>1</v>
      </c>
      <c r="AC16" s="1810">
        <v>1</v>
      </c>
    </row>
    <row r="17" spans="1:29" ht="85.5">
      <c r="A17" s="428"/>
      <c r="B17" s="451" t="s">
        <v>2095</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1"/>
      <c r="Q17" s="1809" t="str">
        <f>B17</f>
        <v>交通便捷度</v>
      </c>
      <c r="R17" s="774" t="s">
        <v>21</v>
      </c>
      <c r="S17" s="775">
        <f>F17</f>
        <v>100</v>
      </c>
      <c r="T17" s="774" t="s">
        <v>21</v>
      </c>
      <c r="U17" s="775">
        <f>H17</f>
        <v>100</v>
      </c>
      <c r="V17" s="774" t="s">
        <v>21</v>
      </c>
      <c r="W17" s="775">
        <f>J17</f>
        <v>100</v>
      </c>
      <c r="X17" s="1812"/>
      <c r="Y17" s="3174"/>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39"/>
      <c r="M18" s="1130"/>
      <c r="N18" s="1130"/>
      <c r="O18" s="1130"/>
      <c r="P18" s="3211"/>
      <c r="Q18" s="1809"/>
      <c r="R18" s="774"/>
      <c r="S18" s="775"/>
      <c r="T18" s="774"/>
      <c r="U18" s="775"/>
      <c r="V18" s="774"/>
      <c r="W18" s="775"/>
      <c r="X18" s="1812"/>
      <c r="Y18" s="3174"/>
      <c r="Z18" s="1813"/>
      <c r="AA18" s="1810">
        <v>1</v>
      </c>
      <c r="AB18" s="1810">
        <v>1</v>
      </c>
      <c r="AC18" s="1810">
        <v>1</v>
      </c>
    </row>
    <row r="19" spans="1:29" ht="42.75">
      <c r="A19" s="428"/>
      <c r="B19" s="451" t="s">
        <v>2093</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1"/>
      <c r="Q19" s="1809" t="str">
        <f>B19</f>
        <v>公共配套设施</v>
      </c>
      <c r="R19" s="774" t="s">
        <v>21</v>
      </c>
      <c r="S19" s="775">
        <f>F19</f>
        <v>100</v>
      </c>
      <c r="T19" s="774" t="s">
        <v>21</v>
      </c>
      <c r="U19" s="775">
        <f>H19</f>
        <v>100</v>
      </c>
      <c r="V19" s="774" t="s">
        <v>21</v>
      </c>
      <c r="W19" s="775">
        <f>J19</f>
        <v>100</v>
      </c>
      <c r="X19" s="1812"/>
      <c r="Y19" s="3174"/>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39"/>
      <c r="M20" s="1130"/>
      <c r="N20" s="1130"/>
      <c r="O20" s="1130"/>
      <c r="P20" s="3211"/>
      <c r="Q20" s="1809"/>
      <c r="R20" s="774"/>
      <c r="S20" s="775"/>
      <c r="T20" s="774"/>
      <c r="U20" s="775"/>
      <c r="V20" s="774"/>
      <c r="W20" s="775"/>
      <c r="X20" s="1812"/>
      <c r="Y20" s="3174"/>
      <c r="Z20" s="1813"/>
      <c r="AA20" s="1810">
        <v>1</v>
      </c>
      <c r="AB20" s="1810">
        <v>1</v>
      </c>
      <c r="AC20" s="1810">
        <v>1</v>
      </c>
    </row>
    <row r="21" spans="1:29" ht="28.5">
      <c r="A21" s="428"/>
      <c r="B21" s="1383" t="s">
        <v>2096</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1"/>
      <c r="Q21" s="1809" t="str">
        <f>B21</f>
        <v>基础设施水平</v>
      </c>
      <c r="R21" s="774" t="s">
        <v>17</v>
      </c>
      <c r="S21" s="775">
        <f>F21</f>
        <v>100</v>
      </c>
      <c r="T21" s="774" t="s">
        <v>17</v>
      </c>
      <c r="U21" s="775">
        <f>H21</f>
        <v>100</v>
      </c>
      <c r="V21" s="774" t="s">
        <v>17</v>
      </c>
      <c r="W21" s="775">
        <f>J21</f>
        <v>100</v>
      </c>
      <c r="X21" s="1812"/>
      <c r="Y21" s="3174"/>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8"/>
      <c r="G22" s="2609"/>
      <c r="H22" s="448"/>
      <c r="I22" s="447"/>
      <c r="J22" s="448"/>
      <c r="K22" s="2610"/>
      <c r="L22" s="1139"/>
      <c r="M22" s="1130"/>
      <c r="N22" s="1130"/>
      <c r="O22" s="1130"/>
      <c r="P22" s="3211"/>
      <c r="Q22" s="1809"/>
      <c r="R22" s="774"/>
      <c r="S22" s="775"/>
      <c r="T22" s="774"/>
      <c r="U22" s="775"/>
      <c r="V22" s="774"/>
      <c r="W22" s="775"/>
      <c r="X22" s="1812"/>
      <c r="Y22" s="3174"/>
      <c r="Z22" s="1813"/>
      <c r="AA22" s="1810">
        <v>1</v>
      </c>
      <c r="AB22" s="1810">
        <v>1</v>
      </c>
      <c r="AC22" s="1810">
        <v>1</v>
      </c>
    </row>
    <row r="23" spans="1:29" ht="57">
      <c r="A23" s="428"/>
      <c r="B23" s="451" t="s">
        <v>2100</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1"/>
      <c r="Q23" s="1809" t="str">
        <f>B23</f>
        <v>自然及人文环境</v>
      </c>
      <c r="R23" s="774" t="s">
        <v>21</v>
      </c>
      <c r="S23" s="775">
        <f>F23</f>
        <v>100</v>
      </c>
      <c r="T23" s="774" t="s">
        <v>21</v>
      </c>
      <c r="U23" s="775">
        <f>H23</f>
        <v>100</v>
      </c>
      <c r="V23" s="774" t="s">
        <v>21</v>
      </c>
      <c r="W23" s="775">
        <f>J23</f>
        <v>100</v>
      </c>
      <c r="X23" s="1812"/>
      <c r="Y23" s="3174"/>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39"/>
      <c r="M24" s="1130"/>
      <c r="N24" s="1130"/>
      <c r="O24" s="1130"/>
      <c r="P24" s="3211"/>
      <c r="Q24" s="1809"/>
      <c r="R24" s="774"/>
      <c r="S24" s="775"/>
      <c r="T24" s="774"/>
      <c r="U24" s="775"/>
      <c r="V24" s="774"/>
      <c r="W24" s="775"/>
      <c r="X24" s="1812"/>
      <c r="Y24" s="3174"/>
      <c r="Z24" s="1813"/>
      <c r="AA24" s="1810">
        <v>1</v>
      </c>
      <c r="AB24" s="1810">
        <v>1</v>
      </c>
      <c r="AC24" s="1810">
        <v>1</v>
      </c>
    </row>
    <row r="25" spans="1:29" ht="15">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21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4"/>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211"/>
      <c r="Q26" s="1809" t="str">
        <f t="shared" si="11"/>
        <v>朝向</v>
      </c>
      <c r="R26" s="774" t="s">
        <v>21</v>
      </c>
      <c r="S26" s="775">
        <f t="shared" si="12"/>
        <v>100</v>
      </c>
      <c r="T26" s="774" t="s">
        <v>21</v>
      </c>
      <c r="U26" s="775">
        <f t="shared" si="13"/>
        <v>100</v>
      </c>
      <c r="V26" s="774" t="s">
        <v>21</v>
      </c>
      <c r="W26" s="775">
        <f t="shared" si="14"/>
        <v>100</v>
      </c>
      <c r="X26" s="1812"/>
      <c r="Y26" s="3174"/>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211"/>
      <c r="Q27" s="1794">
        <f t="shared" si="11"/>
        <v>111</v>
      </c>
      <c r="R27" s="770" t="s">
        <v>21</v>
      </c>
      <c r="S27" s="771">
        <f t="shared" si="12"/>
        <v>100</v>
      </c>
      <c r="T27" s="770" t="s">
        <v>21</v>
      </c>
      <c r="U27" s="771">
        <f t="shared" si="13"/>
        <v>100</v>
      </c>
      <c r="V27" s="770" t="s">
        <v>21</v>
      </c>
      <c r="W27" s="771">
        <f t="shared" si="14"/>
        <v>100</v>
      </c>
      <c r="X27" s="772"/>
      <c r="Y27" s="3174"/>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211"/>
      <c r="Q28" s="1809">
        <f t="shared" si="11"/>
        <v>111</v>
      </c>
      <c r="R28" s="774" t="s">
        <v>21</v>
      </c>
      <c r="S28" s="775">
        <f t="shared" si="12"/>
        <v>100</v>
      </c>
      <c r="T28" s="774" t="s">
        <v>21</v>
      </c>
      <c r="U28" s="775">
        <f t="shared" si="13"/>
        <v>100</v>
      </c>
      <c r="V28" s="774" t="s">
        <v>21</v>
      </c>
      <c r="W28" s="775">
        <f t="shared" si="14"/>
        <v>100</v>
      </c>
      <c r="X28" s="1812"/>
      <c r="Y28" s="3174"/>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211"/>
      <c r="Q29" s="1809">
        <f t="shared" si="11"/>
        <v>111</v>
      </c>
      <c r="R29" s="774" t="s">
        <v>21</v>
      </c>
      <c r="S29" s="775">
        <f t="shared" si="12"/>
        <v>100</v>
      </c>
      <c r="T29" s="774" t="s">
        <v>21</v>
      </c>
      <c r="U29" s="775">
        <f t="shared" si="13"/>
        <v>100</v>
      </c>
      <c r="V29" s="774" t="s">
        <v>21</v>
      </c>
      <c r="W29" s="775">
        <f t="shared" si="14"/>
        <v>100</v>
      </c>
      <c r="X29" s="1812"/>
      <c r="Y29" s="3174"/>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211"/>
      <c r="Q30" s="1809">
        <f t="shared" si="11"/>
        <v>111</v>
      </c>
      <c r="R30" s="774" t="s">
        <v>21</v>
      </c>
      <c r="S30" s="775">
        <f t="shared" si="12"/>
        <v>100</v>
      </c>
      <c r="T30" s="774" t="s">
        <v>21</v>
      </c>
      <c r="U30" s="775">
        <f t="shared" si="13"/>
        <v>100</v>
      </c>
      <c r="V30" s="774" t="s">
        <v>21</v>
      </c>
      <c r="W30" s="775">
        <f t="shared" si="14"/>
        <v>100</v>
      </c>
      <c r="X30" s="1812"/>
      <c r="Y30" s="3174"/>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211"/>
      <c r="Q31" s="1809">
        <f t="shared" si="11"/>
        <v>111</v>
      </c>
      <c r="R31" s="774" t="s">
        <v>21</v>
      </c>
      <c r="S31" s="775">
        <f t="shared" si="12"/>
        <v>100</v>
      </c>
      <c r="T31" s="774" t="s">
        <v>21</v>
      </c>
      <c r="U31" s="775">
        <f t="shared" si="13"/>
        <v>100</v>
      </c>
      <c r="V31" s="774" t="s">
        <v>21</v>
      </c>
      <c r="W31" s="775">
        <f t="shared" si="14"/>
        <v>100</v>
      </c>
      <c r="X31" s="1812"/>
      <c r="Y31" s="3174"/>
      <c r="Z31" s="1813">
        <f t="shared" si="18"/>
        <v>111</v>
      </c>
      <c r="AA31" s="1810">
        <f t="shared" si="15"/>
        <v>1</v>
      </c>
      <c r="AB31" s="1810">
        <f t="shared" si="16"/>
        <v>1</v>
      </c>
      <c r="AC31" s="1810">
        <f t="shared" si="17"/>
        <v>1</v>
      </c>
    </row>
    <row r="32" spans="1:29" ht="15">
      <c r="A32" s="440" t="s">
        <v>2562</v>
      </c>
      <c r="B32" s="71" t="s">
        <v>2563</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212" t="s">
        <v>2564</v>
      </c>
      <c r="Q32" s="1809" t="str">
        <f t="shared" si="11"/>
        <v>建筑类型</v>
      </c>
      <c r="R32" s="774" t="s">
        <v>21</v>
      </c>
      <c r="S32" s="775">
        <f t="shared" si="12"/>
        <v>100</v>
      </c>
      <c r="T32" s="774" t="s">
        <v>21</v>
      </c>
      <c r="U32" s="775">
        <f t="shared" si="13"/>
        <v>100</v>
      </c>
      <c r="V32" s="774" t="s">
        <v>21</v>
      </c>
      <c r="W32" s="775">
        <f t="shared" si="14"/>
        <v>100</v>
      </c>
      <c r="X32" s="1812"/>
      <c r="Y32" s="3176" t="s">
        <v>2564</v>
      </c>
      <c r="Z32" s="1813" t="str">
        <f t="shared" si="18"/>
        <v>建筑类型</v>
      </c>
      <c r="AA32" s="1810">
        <f t="shared" si="15"/>
        <v>1</v>
      </c>
      <c r="AB32" s="1810">
        <f t="shared" si="16"/>
        <v>1</v>
      </c>
      <c r="AC32" s="1810">
        <f t="shared" si="17"/>
        <v>1</v>
      </c>
    </row>
    <row r="33" spans="1:29" s="471" customFormat="1" ht="15">
      <c r="A33" s="468"/>
      <c r="B33" s="422" t="s">
        <v>2565</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599"/>
      <c r="L33" s="1137"/>
      <c r="M33" s="1140"/>
      <c r="N33" s="1140"/>
      <c r="O33" s="1140"/>
      <c r="P33" s="3213"/>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10" t="e">
        <f t="shared" si="15"/>
        <v>#N/A</v>
      </c>
      <c r="AB33" s="1810" t="e">
        <f t="shared" si="16"/>
        <v>#N/A</v>
      </c>
      <c r="AC33" s="1810" t="e">
        <f t="shared" si="17"/>
        <v>#N/A</v>
      </c>
    </row>
    <row r="34" spans="1:29" ht="15">
      <c r="A34" s="472"/>
      <c r="B34" s="422" t="s">
        <v>2566</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213"/>
      <c r="Q34" s="1809" t="str">
        <f t="shared" si="11"/>
        <v>建筑结构</v>
      </c>
      <c r="R34" s="774" t="s">
        <v>21</v>
      </c>
      <c r="S34" s="775">
        <f t="shared" si="12"/>
        <v>100</v>
      </c>
      <c r="T34" s="774" t="s">
        <v>21</v>
      </c>
      <c r="U34" s="775">
        <f t="shared" si="13"/>
        <v>100</v>
      </c>
      <c r="V34" s="774" t="s">
        <v>21</v>
      </c>
      <c r="W34" s="775">
        <f t="shared" si="14"/>
        <v>100</v>
      </c>
      <c r="X34" s="1812"/>
      <c r="Y34" s="3176"/>
      <c r="Z34" s="1813" t="str">
        <f t="shared" si="18"/>
        <v>建筑结构</v>
      </c>
      <c r="AA34" s="1810">
        <f t="shared" si="15"/>
        <v>1</v>
      </c>
      <c r="AB34" s="1810">
        <f t="shared" si="16"/>
        <v>1</v>
      </c>
      <c r="AC34" s="1810">
        <f t="shared" si="17"/>
        <v>1</v>
      </c>
    </row>
    <row r="35" spans="1:29" ht="15">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213"/>
      <c r="Q35" s="1809" t="str">
        <f t="shared" si="11"/>
        <v>建筑品质</v>
      </c>
      <c r="R35" s="774" t="s">
        <v>21</v>
      </c>
      <c r="S35" s="775">
        <f t="shared" si="12"/>
        <v>100</v>
      </c>
      <c r="T35" s="774" t="s">
        <v>21</v>
      </c>
      <c r="U35" s="775">
        <f t="shared" si="13"/>
        <v>100</v>
      </c>
      <c r="V35" s="774" t="s">
        <v>21</v>
      </c>
      <c r="W35" s="775">
        <f t="shared" si="14"/>
        <v>100</v>
      </c>
      <c r="X35" s="1812"/>
      <c r="Y35" s="3176"/>
      <c r="Z35" s="1813" t="str">
        <f t="shared" si="18"/>
        <v>建筑品质</v>
      </c>
      <c r="AA35" s="1810">
        <f t="shared" si="15"/>
        <v>1</v>
      </c>
      <c r="AB35" s="1810">
        <f t="shared" si="16"/>
        <v>1</v>
      </c>
      <c r="AC35" s="1810">
        <f t="shared" si="17"/>
        <v>1</v>
      </c>
    </row>
    <row r="36" spans="1:29" ht="15">
      <c r="A36" s="472"/>
      <c r="B36" s="422" t="s">
        <v>2568</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213"/>
      <c r="Q36" s="1809" t="str">
        <f t="shared" si="11"/>
        <v>公共部分装修</v>
      </c>
      <c r="R36" s="774" t="s">
        <v>21</v>
      </c>
      <c r="S36" s="775">
        <f t="shared" si="12"/>
        <v>100</v>
      </c>
      <c r="T36" s="774" t="s">
        <v>21</v>
      </c>
      <c r="U36" s="775">
        <f t="shared" si="13"/>
        <v>100</v>
      </c>
      <c r="V36" s="774" t="s">
        <v>21</v>
      </c>
      <c r="W36" s="775">
        <f t="shared" si="14"/>
        <v>100</v>
      </c>
      <c r="X36" s="1812"/>
      <c r="Y36" s="3176"/>
      <c r="Z36" s="1813" t="str">
        <f t="shared" si="18"/>
        <v>公共部分装修</v>
      </c>
      <c r="AA36" s="1810">
        <f t="shared" si="15"/>
        <v>1</v>
      </c>
      <c r="AB36" s="1810">
        <f t="shared" si="16"/>
        <v>1</v>
      </c>
      <c r="AC36" s="1810">
        <f t="shared" si="17"/>
        <v>1</v>
      </c>
    </row>
    <row r="37" spans="1:29" s="117" customFormat="1" ht="15">
      <c r="A37" s="473"/>
      <c r="B37" s="422" t="s">
        <v>2569</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1"/>
      <c r="M37" s="1132"/>
      <c r="N37" s="1132"/>
      <c r="O37" s="1132"/>
      <c r="P37" s="3213"/>
      <c r="Q37" s="1794"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2570</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213" t="s">
        <v>2564</v>
      </c>
      <c r="Q38" s="1809" t="str">
        <f t="shared" si="11"/>
        <v>物业管理</v>
      </c>
      <c r="R38" s="774" t="s">
        <v>21</v>
      </c>
      <c r="S38" s="775">
        <f t="shared" si="12"/>
        <v>100</v>
      </c>
      <c r="T38" s="774" t="s">
        <v>21</v>
      </c>
      <c r="U38" s="775">
        <f t="shared" si="13"/>
        <v>100</v>
      </c>
      <c r="V38" s="774" t="s">
        <v>21</v>
      </c>
      <c r="W38" s="775">
        <f t="shared" si="14"/>
        <v>100</v>
      </c>
      <c r="X38" s="1812"/>
      <c r="Y38" s="3176" t="s">
        <v>2564</v>
      </c>
      <c r="Z38" s="1813" t="str">
        <f t="shared" si="18"/>
        <v>物业管理</v>
      </c>
      <c r="AA38" s="1810">
        <f t="shared" si="15"/>
        <v>1</v>
      </c>
      <c r="AB38" s="1810">
        <f t="shared" si="16"/>
        <v>1</v>
      </c>
      <c r="AC38" s="1810">
        <f t="shared" si="17"/>
        <v>1</v>
      </c>
    </row>
    <row r="39" spans="1:29" ht="15">
      <c r="A39" s="472"/>
      <c r="B39" s="422" t="s">
        <v>2571</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213"/>
      <c r="Q39" s="1809" t="str">
        <f t="shared" si="11"/>
        <v>市政基础设施</v>
      </c>
      <c r="R39" s="774" t="s">
        <v>21</v>
      </c>
      <c r="S39" s="775">
        <f t="shared" si="12"/>
        <v>100</v>
      </c>
      <c r="T39" s="774" t="s">
        <v>21</v>
      </c>
      <c r="U39" s="775">
        <f t="shared" si="13"/>
        <v>100</v>
      </c>
      <c r="V39" s="774" t="s">
        <v>21</v>
      </c>
      <c r="W39" s="775">
        <f t="shared" si="14"/>
        <v>100</v>
      </c>
      <c r="X39" s="1812"/>
      <c r="Y39" s="3176"/>
      <c r="Z39" s="1813" t="str">
        <f t="shared" si="18"/>
        <v>市政基础设施</v>
      </c>
      <c r="AA39" s="1810">
        <f t="shared" si="15"/>
        <v>1</v>
      </c>
      <c r="AB39" s="1810">
        <f t="shared" si="16"/>
        <v>1</v>
      </c>
      <c r="AC39" s="1810">
        <f t="shared" si="17"/>
        <v>1</v>
      </c>
    </row>
    <row r="40" spans="1:29" ht="15">
      <c r="A40" s="472"/>
      <c r="B40" s="422" t="s">
        <v>2572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213"/>
      <c r="Q40" s="1809" t="str">
        <f t="shared" si="11"/>
        <v>房型</v>
      </c>
      <c r="R40" s="774" t="s">
        <v>21</v>
      </c>
      <c r="S40" s="775">
        <f t="shared" si="12"/>
        <v>100</v>
      </c>
      <c r="T40" s="774" t="s">
        <v>21</v>
      </c>
      <c r="U40" s="775">
        <f t="shared" si="13"/>
        <v>100</v>
      </c>
      <c r="V40" s="774" t="s">
        <v>21</v>
      </c>
      <c r="W40" s="775">
        <f t="shared" si="14"/>
        <v>100</v>
      </c>
      <c r="X40" s="1812"/>
      <c r="Y40" s="3176"/>
      <c r="Z40" s="1813" t="str">
        <f t="shared" si="18"/>
        <v>房型</v>
      </c>
      <c r="AA40" s="1810">
        <f t="shared" si="15"/>
        <v>1</v>
      </c>
      <c r="AB40" s="1810">
        <f t="shared" si="16"/>
        <v>1</v>
      </c>
      <c r="AC40" s="1810">
        <f t="shared" si="17"/>
        <v>1</v>
      </c>
    </row>
    <row r="41" spans="1:29" s="471" customFormat="1" ht="28.5">
      <c r="A41" s="468"/>
      <c r="B41" s="422" t="s">
        <v>2573</v>
      </c>
      <c r="C41" s="469"/>
      <c r="D41" s="135">
        <v>100</v>
      </c>
      <c r="E41" s="430"/>
      <c r="F41" s="425">
        <f>SUMIF(120:120,E41,121:121)-SUMIF(120:120,C41,121:121)+100</f>
        <v>100</v>
      </c>
      <c r="G41" s="429"/>
      <c r="H41" s="135">
        <f>SUMIF(120:120,G41,121:121)-SUMIF(120:120,C41,121:121)+100</f>
        <v>100</v>
      </c>
      <c r="I41" s="477"/>
      <c r="J41" s="435">
        <f>SUMIF(120:120,I41,121:121)-SUMIF(120:120,C41,121:121)+100</f>
        <v>100</v>
      </c>
      <c r="K41" s="2599"/>
      <c r="L41" s="1137"/>
      <c r="M41" s="1140"/>
      <c r="N41" s="1140"/>
      <c r="O41" s="1140"/>
      <c r="P41" s="3213"/>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0">
        <f t="shared" si="15"/>
        <v>1</v>
      </c>
      <c r="AB41" s="1810">
        <f t="shared" si="16"/>
        <v>1</v>
      </c>
      <c r="AC41" s="1810">
        <f t="shared" si="17"/>
        <v>1</v>
      </c>
    </row>
    <row r="42" spans="1:29" ht="15">
      <c r="A42" s="472"/>
      <c r="B42" s="422" t="s">
        <v>2574</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213"/>
      <c r="Q42" s="1809" t="str">
        <f t="shared" si="11"/>
        <v>内部装修</v>
      </c>
      <c r="R42" s="774" t="s">
        <v>21</v>
      </c>
      <c r="S42" s="775">
        <f t="shared" si="12"/>
        <v>100</v>
      </c>
      <c r="T42" s="774" t="s">
        <v>21</v>
      </c>
      <c r="U42" s="775">
        <f t="shared" si="13"/>
        <v>100</v>
      </c>
      <c r="V42" s="774" t="s">
        <v>21</v>
      </c>
      <c r="W42" s="775">
        <f t="shared" si="14"/>
        <v>100</v>
      </c>
      <c r="X42" s="1812"/>
      <c r="Y42" s="3176"/>
      <c r="Z42" s="1813" t="str">
        <f t="shared" si="18"/>
        <v>内部装修</v>
      </c>
      <c r="AA42" s="1810">
        <f t="shared" si="15"/>
        <v>1</v>
      </c>
      <c r="AB42" s="1810">
        <f t="shared" si="16"/>
        <v>1</v>
      </c>
      <c r="AC42" s="1810">
        <f t="shared" si="17"/>
        <v>1</v>
      </c>
    </row>
    <row r="43" spans="1:29" ht="15">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213"/>
      <c r="Q43" s="1809" t="str">
        <f t="shared" si="11"/>
        <v>内部装修维护情况</v>
      </c>
      <c r="R43" s="774" t="s">
        <v>21</v>
      </c>
      <c r="S43" s="775">
        <f t="shared" si="12"/>
        <v>100</v>
      </c>
      <c r="T43" s="774" t="s">
        <v>21</v>
      </c>
      <c r="U43" s="775">
        <f t="shared" si="13"/>
        <v>100</v>
      </c>
      <c r="V43" s="774" t="s">
        <v>21</v>
      </c>
      <c r="W43" s="775">
        <f t="shared" si="14"/>
        <v>100</v>
      </c>
      <c r="X43" s="1812"/>
      <c r="Y43" s="3176"/>
      <c r="Z43" s="1813" t="str">
        <f t="shared" si="18"/>
        <v>内部装修维护情况</v>
      </c>
      <c r="AA43" s="1810">
        <f t="shared" si="15"/>
        <v>1</v>
      </c>
      <c r="AB43" s="1810">
        <f t="shared" si="16"/>
        <v>1</v>
      </c>
      <c r="AC43" s="1810">
        <f t="shared" si="17"/>
        <v>1</v>
      </c>
    </row>
    <row r="44" spans="1:29" s="117" customFormat="1" ht="15">
      <c r="A44" s="473"/>
      <c r="B44" s="1385">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599"/>
      <c r="L44" s="1131"/>
      <c r="M44" s="1132"/>
      <c r="N44" s="1132"/>
      <c r="O44" s="1132"/>
      <c r="P44" s="3213"/>
      <c r="Q44" s="1794">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213"/>
      <c r="Q45" s="1809">
        <f t="shared" si="11"/>
        <v>111</v>
      </c>
      <c r="R45" s="774" t="s">
        <v>21</v>
      </c>
      <c r="S45" s="775">
        <f t="shared" si="12"/>
        <v>100</v>
      </c>
      <c r="T45" s="774" t="s">
        <v>21</v>
      </c>
      <c r="U45" s="775">
        <f t="shared" si="13"/>
        <v>100</v>
      </c>
      <c r="V45" s="774" t="s">
        <v>21</v>
      </c>
      <c r="W45" s="775">
        <f t="shared" si="14"/>
        <v>100</v>
      </c>
      <c r="X45" s="1812"/>
      <c r="Y45" s="3176"/>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214"/>
      <c r="Q46" s="1809">
        <f t="shared" si="11"/>
        <v>111</v>
      </c>
      <c r="R46" s="774" t="s">
        <v>20</v>
      </c>
      <c r="S46" s="775">
        <f t="shared" si="12"/>
        <v>100</v>
      </c>
      <c r="T46" s="774" t="s">
        <v>20</v>
      </c>
      <c r="U46" s="775">
        <f t="shared" si="13"/>
        <v>100</v>
      </c>
      <c r="V46" s="774" t="s">
        <v>20</v>
      </c>
      <c r="W46" s="775">
        <f t="shared" si="14"/>
        <v>100</v>
      </c>
      <c r="X46" s="1812"/>
      <c r="Y46" s="3215"/>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19"/>
      <c r="L47" s="1142"/>
      <c r="M47" s="1143"/>
      <c r="N47" s="1130"/>
      <c r="O47" s="1143"/>
      <c r="P47" s="3171" t="str">
        <f>A47</f>
        <v>成交单价（元/平方米）</v>
      </c>
      <c r="Q47" s="3171"/>
      <c r="R47" s="3208">
        <f>E47</f>
        <v>0</v>
      </c>
      <c r="S47" s="3208"/>
      <c r="T47" s="3208">
        <f>G47</f>
        <v>0</v>
      </c>
      <c r="U47" s="3208"/>
      <c r="V47" s="3208">
        <f>I47</f>
        <v>0</v>
      </c>
      <c r="W47" s="3208"/>
      <c r="X47" s="759"/>
      <c r="Y47" s="781"/>
      <c r="Z47" s="759"/>
      <c r="AA47" s="759"/>
      <c r="AB47" s="759"/>
      <c r="AC47" s="759"/>
    </row>
    <row r="48" spans="1:29" ht="15.75" thickBot="1">
      <c r="A48" s="486" t="s">
        <v>2577</v>
      </c>
      <c r="B48" s="487"/>
      <c r="C48" s="1412" t="e">
        <f>R49</f>
        <v>#DIV/0!</v>
      </c>
      <c r="D48" s="1413"/>
      <c r="E48" s="1414" t="e">
        <f>R48</f>
        <v>#DIV/0!</v>
      </c>
      <c r="F48" s="1414"/>
      <c r="G48" s="1412" t="e">
        <f>T48</f>
        <v>#DIV/0!</v>
      </c>
      <c r="H48" s="1413"/>
      <c r="I48" s="1414" t="e">
        <f>V48</f>
        <v>#DIV/0!</v>
      </c>
      <c r="J48" s="1413"/>
      <c r="K48" s="2620"/>
      <c r="L48" s="1142"/>
      <c r="M48" s="1143"/>
      <c r="N48" s="1143"/>
      <c r="O48" s="1143"/>
      <c r="P48" s="3171" t="str">
        <f>A48</f>
        <v>比较价值（元/平方米）</v>
      </c>
      <c r="Q48" s="3171"/>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2578</v>
      </c>
      <c r="B49" s="493"/>
      <c r="C49" s="1415" t="e">
        <f>R49</f>
        <v>#DIV/0!</v>
      </c>
      <c r="D49" s="1416"/>
      <c r="E49" s="1416"/>
      <c r="F49" s="1416"/>
      <c r="G49" s="1416"/>
      <c r="H49" s="1416"/>
      <c r="I49" s="1416"/>
      <c r="J49" s="1416"/>
      <c r="K49" s="2621"/>
      <c r="L49" s="1142"/>
      <c r="M49" s="1143"/>
      <c r="N49" s="1143"/>
      <c r="O49" s="1143"/>
      <c r="P49" s="3165" t="str">
        <f>A49</f>
        <v>估价对象XX用房的比较价值（楼面单价，元/平方米）</v>
      </c>
      <c r="Q49" s="3166"/>
      <c r="R49" s="3209" t="e">
        <f>IF(F1="售价",ROUND(AVERAGE(R48:V48),0),ROUND(AVERAGE(R48:V48),1))</f>
        <v>#DIV/0!</v>
      </c>
      <c r="S49" s="3209"/>
      <c r="T49" s="3209"/>
      <c r="U49" s="3209"/>
      <c r="V49" s="3209"/>
      <c r="W49" s="320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3" t="s">
        <v>2582</v>
      </c>
      <c r="B57" s="759"/>
      <c r="C57" s="764"/>
      <c r="D57" s="764"/>
      <c r="E57" s="764"/>
      <c r="F57" s="765"/>
      <c r="G57" s="765"/>
      <c r="H57" s="764"/>
      <c r="I57" s="764"/>
      <c r="J57" s="764"/>
      <c r="K57" s="1159"/>
      <c r="L57" s="1160"/>
      <c r="M57" s="1158"/>
      <c r="N57" s="1158"/>
      <c r="O57" s="1158"/>
      <c r="P57" s="2624"/>
      <c r="Q57" s="504"/>
    </row>
    <row r="58" spans="1:29" s="508" customFormat="1" ht="15">
      <c r="A58" s="505" t="s">
        <v>2583</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2587</v>
      </c>
      <c r="B63" s="528" t="s">
        <v>2553</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2096</v>
      </c>
      <c r="C82" s="539" t="s">
        <v>2603</v>
      </c>
      <c r="D82" s="539" t="s">
        <v>2604</v>
      </c>
      <c r="E82" s="539" t="s">
        <v>2605</v>
      </c>
      <c r="F82" s="539" t="s">
        <v>2606</v>
      </c>
      <c r="G82" s="539" t="s">
        <v>2607</v>
      </c>
      <c r="H82" s="539"/>
      <c r="I82" s="539"/>
      <c r="J82" s="539"/>
      <c r="K82" s="539"/>
      <c r="L82" s="539"/>
      <c r="M82" s="1381"/>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2609</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2610</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2562</v>
      </c>
      <c r="B100" s="528" t="s">
        <v>2611</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2613</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2614</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2615</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2616</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2617</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2618</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2573</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2619</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5" t="s">
        <v>2624</v>
      </c>
      <c r="D138" s="145" t="s">
        <v>2625</v>
      </c>
      <c r="E138" s="2643" t="s">
        <v>2626</v>
      </c>
      <c r="F138" s="2644" t="s">
        <v>2627</v>
      </c>
      <c r="G138" s="145" t="s">
        <v>2625</v>
      </c>
      <c r="H138" s="146" t="s">
        <v>2626</v>
      </c>
      <c r="I138" s="2645"/>
      <c r="J138" s="145" t="s">
        <v>2628</v>
      </c>
      <c r="K138" s="146" t="s">
        <v>2629</v>
      </c>
    </row>
    <row r="139" spans="1:17" ht="15">
      <c r="B139" s="1083">
        <v>6</v>
      </c>
      <c r="C139" s="1084">
        <v>96</v>
      </c>
      <c r="D139" s="2646" t="s">
        <v>2630</v>
      </c>
      <c r="E139" s="1085">
        <v>100</v>
      </c>
      <c r="F139" s="1086">
        <v>102.5</v>
      </c>
      <c r="G139" s="2646" t="s">
        <v>2630</v>
      </c>
      <c r="H139" s="1087">
        <v>105</v>
      </c>
      <c r="I139" s="2647" t="s">
        <v>2631</v>
      </c>
      <c r="J139" s="1084">
        <v>20</v>
      </c>
      <c r="K139" s="1088">
        <f>C145/(J139-2)</f>
        <v>4.0555555555555553E-3</v>
      </c>
    </row>
    <row r="140" spans="1:17" ht="15">
      <c r="B140" s="1089">
        <v>5</v>
      </c>
      <c r="C140" s="1090">
        <v>100</v>
      </c>
      <c r="D140" s="1090"/>
      <c r="E140" s="1091"/>
      <c r="F140" s="1092">
        <v>102</v>
      </c>
      <c r="G140" s="1090"/>
      <c r="H140" s="1093"/>
      <c r="I140" s="2648" t="s">
        <v>2632</v>
      </c>
      <c r="J140" s="315">
        <f>ROUNDUP((J139-1)/2,0)</f>
        <v>10</v>
      </c>
      <c r="K140" s="1094">
        <v>100</v>
      </c>
    </row>
    <row r="141" spans="1:17" ht="15">
      <c r="B141" s="1089">
        <v>4</v>
      </c>
      <c r="C141" s="1090">
        <v>102</v>
      </c>
      <c r="D141" s="1090"/>
      <c r="E141" s="1091"/>
      <c r="F141" s="1092">
        <v>101.5</v>
      </c>
      <c r="G141" s="1090"/>
      <c r="H141" s="1093"/>
      <c r="I141" s="2648" t="s">
        <v>2633</v>
      </c>
      <c r="J141" s="315">
        <v>1</v>
      </c>
      <c r="K141" s="1095">
        <f>ROUND(100+(J141-J140)*K139*100,1)</f>
        <v>96.4</v>
      </c>
    </row>
    <row r="142" spans="1:17" ht="15">
      <c r="B142" s="1089">
        <v>3</v>
      </c>
      <c r="C142" s="1090">
        <v>103</v>
      </c>
      <c r="D142" s="1090"/>
      <c r="E142" s="1091"/>
      <c r="F142" s="1092">
        <v>101</v>
      </c>
      <c r="G142" s="1090"/>
      <c r="H142" s="1093"/>
      <c r="I142" s="2648" t="s">
        <v>2634</v>
      </c>
      <c r="J142" s="315">
        <f>J139</f>
        <v>20</v>
      </c>
      <c r="K142" s="1096">
        <v>95</v>
      </c>
    </row>
    <row r="143" spans="1:17" ht="15">
      <c r="B143" s="1089">
        <v>2</v>
      </c>
      <c r="C143" s="1090">
        <v>100</v>
      </c>
      <c r="D143" s="1090"/>
      <c r="E143" s="1091"/>
      <c r="F143" s="1092">
        <v>100.5</v>
      </c>
      <c r="G143" s="1090"/>
      <c r="H143" s="1093"/>
      <c r="I143" s="2648" t="s">
        <v>2635</v>
      </c>
      <c r="J143" s="1090">
        <v>15</v>
      </c>
      <c r="K143" s="1095">
        <f>ROUND(100+(J143-J140)*K139*100,1)</f>
        <v>102</v>
      </c>
    </row>
    <row r="144" spans="1:17" ht="15">
      <c r="B144" s="1089">
        <v>1</v>
      </c>
      <c r="C144" s="1090">
        <v>98</v>
      </c>
      <c r="D144" s="2649" t="s">
        <v>2636</v>
      </c>
      <c r="E144" s="1091">
        <v>102</v>
      </c>
      <c r="F144" s="1097">
        <v>100</v>
      </c>
      <c r="G144" s="2649" t="s">
        <v>2636</v>
      </c>
      <c r="H144" s="1093">
        <v>105</v>
      </c>
      <c r="I144" s="2648" t="s">
        <v>2635</v>
      </c>
      <c r="J144" s="1090">
        <v>18</v>
      </c>
      <c r="K144" s="1095">
        <f>ROUND(100+(J144-J140)*K139*100,1)</f>
        <v>103.2</v>
      </c>
    </row>
    <row r="145" spans="2:11" ht="15.75" thickBot="1">
      <c r="B145" s="2650" t="s">
        <v>2637</v>
      </c>
      <c r="C145" s="1098">
        <f>ROUND(MAX(C139:C144)/MIN(C139:C144)-1,3)</f>
        <v>7.2999999999999995E-2</v>
      </c>
      <c r="D145" s="1099"/>
      <c r="E145" s="1099"/>
      <c r="F145" s="2651" t="s">
        <v>2638</v>
      </c>
      <c r="G145" s="2652"/>
      <c r="H145" s="2653"/>
      <c r="I145" s="2654" t="s">
        <v>2635</v>
      </c>
      <c r="J145" s="1100">
        <v>8</v>
      </c>
      <c r="K145" s="1101">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7" t="s">
        <v>2685</v>
      </c>
      <c r="C1" s="1619" t="s">
        <v>2529</v>
      </c>
      <c r="D1" s="1620"/>
      <c r="E1" s="1629"/>
      <c r="F1" s="2582"/>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IF(C2="——",ROUND(C50*D3/10000,0),ROUND(C50*D3/10000,0)-D2)</f>
        <v>#DIV/0!</v>
      </c>
      <c r="C2" s="2584"/>
      <c r="D2" s="1364" t="e">
        <f ca="1">SUMIF(INDIRECT("'"&amp;F2&amp;"'"&amp;"!A:A"),"承租人权益价值",INDIRECT("'"&amp;F2&amp;"'"&amp;"!c:c"))</f>
        <v>#REF!</v>
      </c>
      <c r="E2" s="2585" t="s">
        <v>2327</v>
      </c>
      <c r="F2" s="2586"/>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26215.040000000001</v>
      </c>
      <c r="E3" s="2661"/>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2644</v>
      </c>
      <c r="B4" s="402"/>
      <c r="C4" s="3168" t="s">
        <v>2645</v>
      </c>
      <c r="D4" s="3181"/>
      <c r="E4" s="3182" t="s">
        <v>2646</v>
      </c>
      <c r="F4" s="3183"/>
      <c r="G4" s="3168" t="s">
        <v>2647</v>
      </c>
      <c r="H4" s="3181"/>
      <c r="I4" s="3168" t="s">
        <v>2648</v>
      </c>
      <c r="J4" s="3181"/>
      <c r="K4" s="610" t="s">
        <v>2649</v>
      </c>
      <c r="L4" s="1129"/>
      <c r="M4" s="1130"/>
      <c r="N4" s="1130"/>
      <c r="O4" s="1130"/>
      <c r="P4" s="3243" t="s">
        <v>2650</v>
      </c>
      <c r="Q4" s="3244"/>
      <c r="R4" s="3247" t="s">
        <v>2646</v>
      </c>
      <c r="S4" s="3248"/>
      <c r="T4" s="3247" t="s">
        <v>2647</v>
      </c>
      <c r="U4" s="3248"/>
      <c r="V4" s="3249" t="s">
        <v>2648</v>
      </c>
      <c r="W4" s="3249"/>
      <c r="X4" s="2668"/>
      <c r="Y4" s="3247" t="s">
        <v>2650</v>
      </c>
      <c r="Z4" s="3248"/>
      <c r="AA4" s="3251" t="s">
        <v>2646</v>
      </c>
      <c r="AB4" s="3251" t="s">
        <v>2647</v>
      </c>
      <c r="AC4" s="3240" t="s">
        <v>2648</v>
      </c>
    </row>
    <row r="5" spans="1:29" ht="15">
      <c r="A5" s="404"/>
      <c r="B5" s="405"/>
      <c r="C5" s="3198" t="s">
        <v>2541</v>
      </c>
      <c r="D5" s="3199"/>
      <c r="E5" s="3205" t="s">
        <v>2542</v>
      </c>
      <c r="F5" s="3206"/>
      <c r="G5" s="3198" t="s">
        <v>2543</v>
      </c>
      <c r="H5" s="3199"/>
      <c r="I5" s="3198" t="s">
        <v>2544</v>
      </c>
      <c r="J5" s="3199"/>
      <c r="K5" s="610"/>
      <c r="L5" s="1129"/>
      <c r="M5" s="1130"/>
      <c r="N5" s="1130"/>
      <c r="O5" s="1130"/>
      <c r="P5" s="3245"/>
      <c r="Q5" s="3187"/>
      <c r="R5" s="3192"/>
      <c r="S5" s="3193"/>
      <c r="T5" s="3192"/>
      <c r="U5" s="3193"/>
      <c r="V5" s="3177"/>
      <c r="W5" s="3177"/>
      <c r="X5" s="1812"/>
      <c r="Y5" s="3192"/>
      <c r="Z5" s="3193"/>
      <c r="AA5" s="3179"/>
      <c r="AB5" s="3179"/>
      <c r="AC5" s="3241"/>
    </row>
    <row r="6" spans="1:29" ht="15.75" thickBot="1">
      <c r="A6" s="406"/>
      <c r="B6" s="407"/>
      <c r="C6" s="3196" t="s">
        <v>2545</v>
      </c>
      <c r="D6" s="3197"/>
      <c r="E6" s="3203" t="s">
        <v>2545</v>
      </c>
      <c r="F6" s="3204"/>
      <c r="G6" s="3196" t="s">
        <v>2545</v>
      </c>
      <c r="H6" s="3197"/>
      <c r="I6" s="3196" t="s">
        <v>2545</v>
      </c>
      <c r="J6" s="3197"/>
      <c r="K6" s="610" t="s">
        <v>2546</v>
      </c>
      <c r="L6" s="1129"/>
      <c r="M6" s="1130"/>
      <c r="N6" s="1130"/>
      <c r="O6" s="1130"/>
      <c r="P6" s="3246"/>
      <c r="Q6" s="3189"/>
      <c r="R6" s="3192"/>
      <c r="S6" s="3193"/>
      <c r="T6" s="3194"/>
      <c r="U6" s="3195"/>
      <c r="V6" s="3177"/>
      <c r="W6" s="3177"/>
      <c r="X6" s="1812"/>
      <c r="Y6" s="3194"/>
      <c r="Z6" s="3195"/>
      <c r="AA6" s="3180"/>
      <c r="AB6" s="3180"/>
      <c r="AC6" s="3242"/>
    </row>
    <row r="7" spans="1:29" s="117" customFormat="1" ht="15.75" thickBot="1">
      <c r="A7" s="408" t="s">
        <v>2547</v>
      </c>
      <c r="B7" s="409"/>
      <c r="C7" s="410">
        <f>'数据-取费表'!B2</f>
        <v>43076</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0" t="s">
        <v>2548</v>
      </c>
      <c r="Q7" s="3202"/>
      <c r="R7" s="770" t="s">
        <v>17</v>
      </c>
      <c r="S7" s="771">
        <f t="shared" ref="S7:S15" si="0">F7</f>
        <v>0</v>
      </c>
      <c r="T7" s="770" t="s">
        <v>17</v>
      </c>
      <c r="U7" s="771">
        <f t="shared" ref="U7:U15" si="1">H7</f>
        <v>0</v>
      </c>
      <c r="V7" s="770" t="s">
        <v>17</v>
      </c>
      <c r="W7" s="771">
        <f t="shared" ref="W7:W15" si="2">J7</f>
        <v>0</v>
      </c>
      <c r="X7" s="772"/>
      <c r="Y7" s="3200" t="s">
        <v>2548</v>
      </c>
      <c r="Z7" s="3201"/>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0" t="s">
        <v>2551</v>
      </c>
      <c r="Q8" s="3201"/>
      <c r="R8" s="770" t="s">
        <v>17</v>
      </c>
      <c r="S8" s="771">
        <f t="shared" si="0"/>
        <v>0</v>
      </c>
      <c r="T8" s="770" t="s">
        <v>17</v>
      </c>
      <c r="U8" s="771">
        <f t="shared" si="1"/>
        <v>0</v>
      </c>
      <c r="V8" s="770" t="s">
        <v>17</v>
      </c>
      <c r="W8" s="771">
        <f t="shared" si="2"/>
        <v>0</v>
      </c>
      <c r="X8" s="772"/>
      <c r="Y8" s="3200" t="s">
        <v>2551</v>
      </c>
      <c r="Z8" s="3201"/>
      <c r="AA8" s="773" t="e">
        <f t="shared" ref="AA8:AA47" si="3">D8/F8</f>
        <v>#DIV/0!</v>
      </c>
      <c r="AB8" s="773" t="e">
        <f t="shared" ref="AB8:AB47" si="4">D8/H8</f>
        <v>#DIV/0!</v>
      </c>
      <c r="AC8" s="2669" t="e">
        <f t="shared" ref="AC8:AC47" si="5">D8/J8</f>
        <v>#DIV/0!</v>
      </c>
    </row>
    <row r="9" spans="1:29" s="117" customFormat="1">
      <c r="A9" s="415" t="s">
        <v>2552</v>
      </c>
      <c r="B9" s="71" t="s">
        <v>2553</v>
      </c>
      <c r="C9" s="416"/>
      <c r="D9" s="134">
        <v>100</v>
      </c>
      <c r="E9" s="419"/>
      <c r="F9" s="134">
        <f>SUMIF(64:64,E9,65:65)-SUMIF(64:64,C9,65:65)+100</f>
        <v>100</v>
      </c>
      <c r="G9" s="417"/>
      <c r="H9" s="134">
        <f>SUMIF(64:64,G9,65:65)-SUMIF(64:64,C9,65:65)+100</f>
        <v>100</v>
      </c>
      <c r="I9" s="417"/>
      <c r="J9" s="134">
        <f>SUMIF(64:64,I9,65:65)-SUMIF(64:64,C9,65:65)+100</f>
        <v>100</v>
      </c>
      <c r="K9" s="611"/>
      <c r="L9" s="1131"/>
      <c r="M9" s="1132"/>
      <c r="N9" s="1132"/>
      <c r="O9" s="1132"/>
      <c r="P9" s="3170" t="s">
        <v>2554</v>
      </c>
      <c r="Q9" s="179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2669">
        <f t="shared" si="5"/>
        <v>1</v>
      </c>
    </row>
    <row r="10" spans="1:29" s="427" customFormat="1" ht="27">
      <c r="A10" s="421"/>
      <c r="B10" s="422" t="s">
        <v>2556</v>
      </c>
      <c r="C10" s="423"/>
      <c r="D10" s="135">
        <v>100</v>
      </c>
      <c r="E10" s="423"/>
      <c r="F10" s="135">
        <f>SUMIF(66:66,E10,67:67)-SUMIF(66:66,C10,67:67)+100</f>
        <v>100</v>
      </c>
      <c r="G10" s="424"/>
      <c r="H10" s="135">
        <f>SUMIF(66:66,G10,67:67)-SUMIF(66:66,C10,67:67)+100</f>
        <v>100</v>
      </c>
      <c r="I10" s="423"/>
      <c r="J10" s="135">
        <f>SUMIF(66:66,I10,67:67)-SUMIF(66:66,C10,67:67)+100</f>
        <v>100</v>
      </c>
      <c r="K10" s="612"/>
      <c r="L10" s="1134"/>
      <c r="M10" s="1135"/>
      <c r="N10" s="1135"/>
      <c r="O10" s="1135"/>
      <c r="P10" s="3170"/>
      <c r="Q10" s="179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69">
        <f t="shared" si="5"/>
        <v>1</v>
      </c>
    </row>
    <row r="11" spans="1:29" ht="15">
      <c r="A11" s="428"/>
      <c r="B11" s="422" t="s">
        <v>2557</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7"/>
      <c r="M11" s="1130"/>
      <c r="N11" s="1130"/>
      <c r="O11" s="1130"/>
      <c r="P11" s="3170"/>
      <c r="Q11" s="1794"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5">
        <f>SUMIF(71:71,E12,72:72)-SUMIF(71:71,C12,72:72)+100</f>
        <v>100</v>
      </c>
      <c r="G12" s="2670"/>
      <c r="H12" s="135">
        <f>SUMIF(71:71,G12,72:72)-SUMIF(71:71,C12,72:72)+100</f>
        <v>100</v>
      </c>
      <c r="I12" s="432"/>
      <c r="J12" s="135">
        <f>SUMIF(71:71,I12,72:72)-SUMIF(71:71,C12,72:72)+100</f>
        <v>100</v>
      </c>
      <c r="K12" s="613"/>
      <c r="L12" s="1131"/>
      <c r="M12" s="1132"/>
      <c r="N12" s="1132"/>
      <c r="O12" s="1132"/>
      <c r="P12" s="3170"/>
      <c r="Q12" s="179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69">
        <f>D12/J12</f>
        <v>1</v>
      </c>
    </row>
    <row r="13" spans="1:29" ht="15">
      <c r="A13" s="428"/>
      <c r="B13" s="2598">
        <v>111</v>
      </c>
      <c r="C13" s="434"/>
      <c r="D13" s="435">
        <v>100</v>
      </c>
      <c r="E13" s="432"/>
      <c r="F13" s="135">
        <f>SUMIF(73:73,E13,74:74)-SUMIF(73:73,C13,74:74)+100</f>
        <v>100</v>
      </c>
      <c r="G13" s="2670"/>
      <c r="H13" s="435">
        <f>SUMIF(73:73,G13,74:74)-SUMIF(73:73,C13,74:74)+100</f>
        <v>100</v>
      </c>
      <c r="I13" s="432"/>
      <c r="J13" s="435">
        <f>SUMIF(73:73,I13,74:74)-SUMIF(73:73,C13,74:74)+100</f>
        <v>100</v>
      </c>
      <c r="K13" s="613"/>
      <c r="L13" s="1139"/>
      <c r="M13" s="1130"/>
      <c r="N13" s="1130"/>
      <c r="O13" s="1130"/>
      <c r="P13" s="3170"/>
      <c r="Q13" s="179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170"/>
      <c r="Q14" s="1794">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69">
        <f t="shared" si="5"/>
        <v>1</v>
      </c>
    </row>
    <row r="15" spans="1:29" ht="71.25">
      <c r="A15" s="440" t="s">
        <v>2558</v>
      </c>
      <c r="B15" s="629" t="s">
        <v>2686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10" t="s">
        <v>2559</v>
      </c>
      <c r="Q15" s="1809" t="str">
        <f t="shared" si="6"/>
        <v>办公集聚程度</v>
      </c>
      <c r="R15" s="774" t="s">
        <v>17</v>
      </c>
      <c r="S15" s="775">
        <f t="shared" si="0"/>
        <v>100</v>
      </c>
      <c r="T15" s="774" t="s">
        <v>17</v>
      </c>
      <c r="U15" s="775">
        <f t="shared" si="1"/>
        <v>100</v>
      </c>
      <c r="V15" s="774" t="s">
        <v>17</v>
      </c>
      <c r="W15" s="775">
        <f t="shared" si="2"/>
        <v>100</v>
      </c>
      <c r="X15" s="1812"/>
      <c r="Y15" s="3173" t="s">
        <v>2559</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39"/>
      <c r="M16" s="1130"/>
      <c r="N16" s="1130"/>
      <c r="O16" s="1130"/>
      <c r="P16" s="3211"/>
      <c r="Q16" s="1809"/>
      <c r="R16" s="774"/>
      <c r="S16" s="775"/>
      <c r="T16" s="774"/>
      <c r="U16" s="775"/>
      <c r="V16" s="774"/>
      <c r="W16" s="775"/>
      <c r="X16" s="1812"/>
      <c r="Y16" s="3174"/>
      <c r="Z16" s="1813"/>
      <c r="AA16" s="1810">
        <v>1</v>
      </c>
      <c r="AB16" s="1810">
        <v>1</v>
      </c>
      <c r="AC16" s="2672">
        <v>1</v>
      </c>
    </row>
    <row r="17" spans="1:29" ht="71.25">
      <c r="A17" s="428"/>
      <c r="B17" s="631" t="s">
        <v>2095</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11"/>
      <c r="Q17" s="1809" t="str">
        <f>B17</f>
        <v>交通便捷度</v>
      </c>
      <c r="R17" s="774" t="s">
        <v>17</v>
      </c>
      <c r="S17" s="775">
        <f>F17</f>
        <v>100</v>
      </c>
      <c r="T17" s="774" t="s">
        <v>17</v>
      </c>
      <c r="U17" s="775">
        <f>H17</f>
        <v>100</v>
      </c>
      <c r="V17" s="774" t="s">
        <v>17</v>
      </c>
      <c r="W17" s="775">
        <f>J17</f>
        <v>100</v>
      </c>
      <c r="X17" s="1812"/>
      <c r="Y17" s="3174"/>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39"/>
      <c r="M18" s="1130"/>
      <c r="N18" s="1130"/>
      <c r="O18" s="1130"/>
      <c r="P18" s="3211"/>
      <c r="Q18" s="1809"/>
      <c r="R18" s="774"/>
      <c r="S18" s="775"/>
      <c r="T18" s="774"/>
      <c r="U18" s="775"/>
      <c r="V18" s="774"/>
      <c r="W18" s="775"/>
      <c r="X18" s="1812"/>
      <c r="Y18" s="3174"/>
      <c r="Z18" s="1813"/>
      <c r="AA18" s="1810">
        <v>1</v>
      </c>
      <c r="AB18" s="1810">
        <v>1</v>
      </c>
      <c r="AC18" s="2672">
        <v>1</v>
      </c>
    </row>
    <row r="19" spans="1:29" ht="42.75">
      <c r="A19" s="428"/>
      <c r="B19" s="631" t="s">
        <v>2687</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11"/>
      <c r="Q19" s="1809" t="str">
        <f>B19</f>
        <v>公共配套设施</v>
      </c>
      <c r="R19" s="774" t="s">
        <v>17</v>
      </c>
      <c r="S19" s="775">
        <f>F19</f>
        <v>100</v>
      </c>
      <c r="T19" s="774" t="s">
        <v>17</v>
      </c>
      <c r="U19" s="775">
        <f>H19</f>
        <v>100</v>
      </c>
      <c r="V19" s="774" t="s">
        <v>17</v>
      </c>
      <c r="W19" s="775">
        <f>J19</f>
        <v>100</v>
      </c>
      <c r="X19" s="1812"/>
      <c r="Y19" s="3174"/>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39"/>
      <c r="M20" s="1130"/>
      <c r="N20" s="1130"/>
      <c r="O20" s="1130"/>
      <c r="P20" s="3211"/>
      <c r="Q20" s="1809"/>
      <c r="R20" s="774"/>
      <c r="S20" s="775"/>
      <c r="T20" s="774"/>
      <c r="U20" s="775"/>
      <c r="V20" s="774"/>
      <c r="W20" s="775"/>
      <c r="X20" s="1812"/>
      <c r="Y20" s="3174"/>
      <c r="Z20" s="1813"/>
      <c r="AA20" s="1810">
        <v>1</v>
      </c>
      <c r="AB20" s="1810">
        <v>1</v>
      </c>
      <c r="AC20" s="2672">
        <v>1</v>
      </c>
    </row>
    <row r="21" spans="1:29" ht="28.5">
      <c r="A21" s="428"/>
      <c r="B21" s="633" t="s">
        <v>2688</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11"/>
      <c r="Q21" s="1809" t="str">
        <f>B21</f>
        <v>基础设施水平</v>
      </c>
      <c r="R21" s="774" t="s">
        <v>17</v>
      </c>
      <c r="S21" s="775">
        <f>F21</f>
        <v>100</v>
      </c>
      <c r="T21" s="774" t="s">
        <v>17</v>
      </c>
      <c r="U21" s="775">
        <f>H21</f>
        <v>100</v>
      </c>
      <c r="V21" s="774" t="s">
        <v>17</v>
      </c>
      <c r="W21" s="775">
        <f>J21</f>
        <v>100</v>
      </c>
      <c r="X21" s="1812"/>
      <c r="Y21" s="3174"/>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2"/>
      <c r="L22" s="1139"/>
      <c r="M22" s="1130"/>
      <c r="N22" s="1130"/>
      <c r="O22" s="1130"/>
      <c r="P22" s="3211"/>
      <c r="Q22" s="1809"/>
      <c r="R22" s="774"/>
      <c r="S22" s="775"/>
      <c r="T22" s="774"/>
      <c r="U22" s="775"/>
      <c r="V22" s="774"/>
      <c r="W22" s="775"/>
      <c r="X22" s="1812"/>
      <c r="Y22" s="3174"/>
      <c r="Z22" s="1813"/>
      <c r="AA22" s="1810">
        <v>1</v>
      </c>
      <c r="AB22" s="1810">
        <v>1</v>
      </c>
      <c r="AC22" s="2672">
        <v>1</v>
      </c>
    </row>
    <row r="23" spans="1:29" ht="42.75">
      <c r="A23" s="428"/>
      <c r="B23" s="631" t="s">
        <v>2689</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11"/>
      <c r="Q23" s="1809" t="str">
        <f>B23</f>
        <v>环境质量</v>
      </c>
      <c r="R23" s="774" t="s">
        <v>17</v>
      </c>
      <c r="S23" s="775">
        <f>F23</f>
        <v>100</v>
      </c>
      <c r="T23" s="774" t="s">
        <v>17</v>
      </c>
      <c r="U23" s="775">
        <f>H23</f>
        <v>100</v>
      </c>
      <c r="V23" s="774" t="s">
        <v>17</v>
      </c>
      <c r="W23" s="775">
        <f>J23</f>
        <v>100</v>
      </c>
      <c r="X23" s="1812"/>
      <c r="Y23" s="3174"/>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39"/>
      <c r="M24" s="1130"/>
      <c r="N24" s="1130"/>
      <c r="O24" s="1130"/>
      <c r="P24" s="3211"/>
      <c r="Q24" s="1809"/>
      <c r="R24" s="774"/>
      <c r="S24" s="775"/>
      <c r="T24" s="774"/>
      <c r="U24" s="775"/>
      <c r="V24" s="774"/>
      <c r="W24" s="775"/>
      <c r="X24" s="1812"/>
      <c r="Y24" s="3174"/>
      <c r="Z24" s="1813"/>
      <c r="AA24" s="1810">
        <v>1</v>
      </c>
      <c r="AB24" s="1810">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211"/>
      <c r="Q25" s="1809" t="str">
        <f>B25</f>
        <v>毗邻道路的类型与等级</v>
      </c>
      <c r="R25" s="774" t="s">
        <v>17</v>
      </c>
      <c r="S25" s="775">
        <f>F25</f>
        <v>100</v>
      </c>
      <c r="T25" s="774" t="s">
        <v>17</v>
      </c>
      <c r="U25" s="775">
        <f>H25</f>
        <v>100</v>
      </c>
      <c r="V25" s="774" t="s">
        <v>17</v>
      </c>
      <c r="W25" s="775">
        <f>J25</f>
        <v>100</v>
      </c>
      <c r="X25" s="1812"/>
      <c r="Y25" s="3174"/>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39"/>
      <c r="M26" s="1130"/>
      <c r="N26" s="1130"/>
      <c r="O26" s="1130"/>
      <c r="P26" s="3211"/>
      <c r="Q26" s="1809"/>
      <c r="R26" s="774"/>
      <c r="S26" s="775"/>
      <c r="T26" s="774"/>
      <c r="U26" s="775"/>
      <c r="V26" s="774"/>
      <c r="W26" s="775"/>
      <c r="X26" s="1812"/>
      <c r="Y26" s="3174"/>
      <c r="Z26" s="1813"/>
      <c r="AA26" s="1810">
        <v>1</v>
      </c>
      <c r="AB26" s="1810">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11"/>
      <c r="Q27" s="1809" t="str">
        <f t="shared" ref="Q27:Q47" si="11">B27</f>
        <v>楼层</v>
      </c>
      <c r="R27" s="774" t="s">
        <v>17</v>
      </c>
      <c r="S27" s="775">
        <f>F27</f>
        <v>100</v>
      </c>
      <c r="T27" s="774" t="s">
        <v>17</v>
      </c>
      <c r="U27" s="775">
        <f>H27</f>
        <v>100</v>
      </c>
      <c r="V27" s="774" t="s">
        <v>17</v>
      </c>
      <c r="W27" s="775">
        <f>J27</f>
        <v>100</v>
      </c>
      <c r="X27" s="1812"/>
      <c r="Y27" s="3174"/>
      <c r="Z27" s="1813" t="str">
        <f>Q27</f>
        <v>楼层</v>
      </c>
      <c r="AA27" s="1810">
        <f t="shared" si="3"/>
        <v>1</v>
      </c>
      <c r="AB27" s="1810">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11"/>
      <c r="Q28" s="1794" t="str">
        <f t="shared" si="11"/>
        <v>朝向</v>
      </c>
      <c r="R28" s="770" t="s">
        <v>17</v>
      </c>
      <c r="S28" s="771">
        <f>F28</f>
        <v>100</v>
      </c>
      <c r="T28" s="770" t="s">
        <v>17</v>
      </c>
      <c r="U28" s="771">
        <f>H28</f>
        <v>100</v>
      </c>
      <c r="V28" s="770" t="s">
        <v>17</v>
      </c>
      <c r="W28" s="771">
        <f>J28</f>
        <v>100</v>
      </c>
      <c r="X28" s="772"/>
      <c r="Y28" s="3174"/>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11"/>
      <c r="Q29" s="1809">
        <f t="shared" si="11"/>
        <v>111</v>
      </c>
      <c r="R29" s="774" t="s">
        <v>17</v>
      </c>
      <c r="S29" s="775">
        <f t="shared" ref="S29:S47" si="12">F29</f>
        <v>100</v>
      </c>
      <c r="T29" s="774" t="s">
        <v>17</v>
      </c>
      <c r="U29" s="775">
        <f t="shared" ref="U29:U47" si="13">H29</f>
        <v>100</v>
      </c>
      <c r="V29" s="774" t="s">
        <v>17</v>
      </c>
      <c r="W29" s="775">
        <f t="shared" ref="W29:W47" si="14">J29</f>
        <v>100</v>
      </c>
      <c r="X29" s="1812"/>
      <c r="Y29" s="3174"/>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11"/>
      <c r="Q30" s="1809">
        <f t="shared" si="11"/>
        <v>111</v>
      </c>
      <c r="R30" s="774" t="s">
        <v>17</v>
      </c>
      <c r="S30" s="775">
        <f t="shared" si="12"/>
        <v>100</v>
      </c>
      <c r="T30" s="774" t="s">
        <v>17</v>
      </c>
      <c r="U30" s="775">
        <f t="shared" si="13"/>
        <v>100</v>
      </c>
      <c r="V30" s="774" t="s">
        <v>17</v>
      </c>
      <c r="W30" s="775">
        <f t="shared" si="14"/>
        <v>100</v>
      </c>
      <c r="X30" s="1812"/>
      <c r="Y30" s="3174"/>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11"/>
      <c r="Q31" s="1809">
        <f t="shared" si="11"/>
        <v>111</v>
      </c>
      <c r="R31" s="774" t="s">
        <v>17</v>
      </c>
      <c r="S31" s="775">
        <f t="shared" si="12"/>
        <v>100</v>
      </c>
      <c r="T31" s="774" t="s">
        <v>17</v>
      </c>
      <c r="U31" s="775">
        <f t="shared" si="13"/>
        <v>100</v>
      </c>
      <c r="V31" s="774" t="s">
        <v>17</v>
      </c>
      <c r="W31" s="775">
        <f t="shared" si="14"/>
        <v>100</v>
      </c>
      <c r="X31" s="1812"/>
      <c r="Y31" s="3174"/>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11"/>
      <c r="Q32" s="1809">
        <f t="shared" si="11"/>
        <v>111</v>
      </c>
      <c r="R32" s="774" t="s">
        <v>17</v>
      </c>
      <c r="S32" s="775">
        <f t="shared" si="12"/>
        <v>100</v>
      </c>
      <c r="T32" s="774" t="s">
        <v>17</v>
      </c>
      <c r="U32" s="775">
        <f t="shared" si="13"/>
        <v>100</v>
      </c>
      <c r="V32" s="774" t="s">
        <v>17</v>
      </c>
      <c r="W32" s="775">
        <f t="shared" si="14"/>
        <v>100</v>
      </c>
      <c r="X32" s="1812"/>
      <c r="Y32" s="3174"/>
      <c r="Z32" s="1813">
        <f t="shared" si="15"/>
        <v>111</v>
      </c>
      <c r="AA32" s="1810">
        <f t="shared" si="3"/>
        <v>1</v>
      </c>
      <c r="AB32" s="1810">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212" t="s">
        <v>2564</v>
      </c>
      <c r="Q33" s="1809" t="str">
        <f t="shared" si="11"/>
        <v>建筑类型</v>
      </c>
      <c r="R33" s="774" t="s">
        <v>17</v>
      </c>
      <c r="S33" s="775">
        <f t="shared" si="12"/>
        <v>100</v>
      </c>
      <c r="T33" s="774" t="s">
        <v>17</v>
      </c>
      <c r="U33" s="775">
        <f t="shared" si="13"/>
        <v>100</v>
      </c>
      <c r="V33" s="774" t="s">
        <v>17</v>
      </c>
      <c r="W33" s="775">
        <f t="shared" si="14"/>
        <v>100</v>
      </c>
      <c r="X33" s="1812"/>
      <c r="Y33" s="3176" t="s">
        <v>2564</v>
      </c>
      <c r="Z33" s="1813" t="str">
        <f t="shared" si="15"/>
        <v>建筑类型</v>
      </c>
      <c r="AA33" s="1810">
        <f t="shared" si="3"/>
        <v>1</v>
      </c>
      <c r="AB33" s="1810">
        <f t="shared" si="4"/>
        <v>1</v>
      </c>
      <c r="AC33" s="2672">
        <f t="shared" si="5"/>
        <v>1</v>
      </c>
    </row>
    <row r="34" spans="1:29" s="471" customFormat="1" ht="15">
      <c r="A34" s="468"/>
      <c r="B34" s="422" t="s">
        <v>2565</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7"/>
      <c r="M34" s="1140"/>
      <c r="N34" s="1140"/>
      <c r="O34" s="1140"/>
      <c r="P34" s="3213"/>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0" t="e">
        <f t="shared" si="3"/>
        <v>#N/A</v>
      </c>
      <c r="AB34" s="1810"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13"/>
      <c r="Q35" s="1809" t="str">
        <f t="shared" si="11"/>
        <v>建筑结构</v>
      </c>
      <c r="R35" s="774" t="s">
        <v>17</v>
      </c>
      <c r="S35" s="775">
        <f t="shared" si="12"/>
        <v>100</v>
      </c>
      <c r="T35" s="774" t="s">
        <v>17</v>
      </c>
      <c r="U35" s="775">
        <f t="shared" si="13"/>
        <v>100</v>
      </c>
      <c r="V35" s="774" t="s">
        <v>17</v>
      </c>
      <c r="W35" s="775">
        <f t="shared" si="14"/>
        <v>100</v>
      </c>
      <c r="X35" s="1812"/>
      <c r="Y35" s="3176"/>
      <c r="Z35" s="1813" t="str">
        <f t="shared" si="15"/>
        <v>建筑结构</v>
      </c>
      <c r="AA35" s="1810">
        <f t="shared" si="3"/>
        <v>1</v>
      </c>
      <c r="AB35" s="1810">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13"/>
      <c r="Q36" s="1809" t="str">
        <f t="shared" si="11"/>
        <v>公共部分装修</v>
      </c>
      <c r="R36" s="774" t="s">
        <v>17</v>
      </c>
      <c r="S36" s="775">
        <f t="shared" si="12"/>
        <v>100</v>
      </c>
      <c r="T36" s="774" t="s">
        <v>17</v>
      </c>
      <c r="U36" s="775">
        <f t="shared" si="13"/>
        <v>100</v>
      </c>
      <c r="V36" s="774" t="s">
        <v>17</v>
      </c>
      <c r="W36" s="775">
        <f t="shared" si="14"/>
        <v>100</v>
      </c>
      <c r="X36" s="1812"/>
      <c r="Y36" s="3176"/>
      <c r="Z36" s="1813" t="str">
        <f t="shared" si="15"/>
        <v>公共部分装修</v>
      </c>
      <c r="AA36" s="1810">
        <f t="shared" si="3"/>
        <v>1</v>
      </c>
      <c r="AB36" s="1810">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13"/>
      <c r="Q37" s="1809" t="str">
        <f t="shared" si="11"/>
        <v>成新度</v>
      </c>
      <c r="R37" s="774" t="s">
        <v>17</v>
      </c>
      <c r="S37" s="775" t="e">
        <f t="shared" si="12"/>
        <v>#N/A</v>
      </c>
      <c r="T37" s="774" t="s">
        <v>17</v>
      </c>
      <c r="U37" s="775" t="e">
        <f t="shared" si="13"/>
        <v>#N/A</v>
      </c>
      <c r="V37" s="774" t="s">
        <v>17</v>
      </c>
      <c r="W37" s="775" t="e">
        <f t="shared" si="14"/>
        <v>#N/A</v>
      </c>
      <c r="X37" s="1812"/>
      <c r="Y37" s="3176"/>
      <c r="Z37" s="1813" t="str">
        <f t="shared" si="15"/>
        <v>成新度</v>
      </c>
      <c r="AA37" s="1810" t="e">
        <f t="shared" si="3"/>
        <v>#N/A</v>
      </c>
      <c r="AB37" s="1810" t="e">
        <f t="shared" si="4"/>
        <v>#N/A</v>
      </c>
      <c r="AC37" s="2672" t="e">
        <f t="shared" si="5"/>
        <v>#N/A</v>
      </c>
    </row>
    <row r="38" spans="1:29" s="117" customFormat="1" ht="15">
      <c r="A38" s="473"/>
      <c r="B38" s="422" t="s">
        <v>2693</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13"/>
      <c r="Q38" s="1794"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13" t="s">
        <v>2564</v>
      </c>
      <c r="Q39" s="1809" t="str">
        <f t="shared" si="11"/>
        <v>物业管理</v>
      </c>
      <c r="R39" s="774" t="s">
        <v>17</v>
      </c>
      <c r="S39" s="775">
        <f t="shared" si="12"/>
        <v>100</v>
      </c>
      <c r="T39" s="774" t="s">
        <v>17</v>
      </c>
      <c r="U39" s="775">
        <f t="shared" si="13"/>
        <v>100</v>
      </c>
      <c r="V39" s="774" t="s">
        <v>17</v>
      </c>
      <c r="W39" s="775">
        <f t="shared" si="14"/>
        <v>100</v>
      </c>
      <c r="X39" s="1812"/>
      <c r="Y39" s="3176" t="s">
        <v>2564</v>
      </c>
      <c r="Z39" s="1813" t="str">
        <f t="shared" si="15"/>
        <v>物业管理</v>
      </c>
      <c r="AA39" s="1810">
        <f t="shared" si="3"/>
        <v>1</v>
      </c>
      <c r="AB39" s="1810">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13"/>
      <c r="Q40" s="1809" t="str">
        <f t="shared" si="11"/>
        <v>市政基础设施</v>
      </c>
      <c r="R40" s="774" t="s">
        <v>17</v>
      </c>
      <c r="S40" s="775">
        <f t="shared" si="12"/>
        <v>100</v>
      </c>
      <c r="T40" s="774" t="s">
        <v>17</v>
      </c>
      <c r="U40" s="775">
        <f t="shared" si="13"/>
        <v>100</v>
      </c>
      <c r="V40" s="774" t="s">
        <v>17</v>
      </c>
      <c r="W40" s="775">
        <f t="shared" si="14"/>
        <v>100</v>
      </c>
      <c r="X40" s="1812"/>
      <c r="Y40" s="3176"/>
      <c r="Z40" s="1813" t="str">
        <f t="shared" si="15"/>
        <v>市政基础设施</v>
      </c>
      <c r="AA40" s="1810">
        <f t="shared" si="3"/>
        <v>1</v>
      </c>
      <c r="AB40" s="1810">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13"/>
      <c r="Q41" s="1809" t="str">
        <f t="shared" si="11"/>
        <v>层高</v>
      </c>
      <c r="R41" s="774" t="s">
        <v>17</v>
      </c>
      <c r="S41" s="775">
        <f t="shared" si="12"/>
        <v>100</v>
      </c>
      <c r="T41" s="774" t="s">
        <v>17</v>
      </c>
      <c r="U41" s="775">
        <f t="shared" si="13"/>
        <v>100</v>
      </c>
      <c r="V41" s="774" t="s">
        <v>17</v>
      </c>
      <c r="W41" s="775">
        <f t="shared" si="14"/>
        <v>100</v>
      </c>
      <c r="X41" s="1812"/>
      <c r="Y41" s="3176"/>
      <c r="Z41" s="1813" t="str">
        <f t="shared" si="15"/>
        <v>层高</v>
      </c>
      <c r="AA41" s="1810">
        <f t="shared" si="3"/>
        <v>1</v>
      </c>
      <c r="AB41" s="1810">
        <f t="shared" si="4"/>
        <v>1</v>
      </c>
      <c r="AC41" s="2672">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3"/>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0">
        <f t="shared" si="3"/>
        <v>1</v>
      </c>
      <c r="AB42" s="1810">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13"/>
      <c r="Q43" s="1809" t="str">
        <f t="shared" si="11"/>
        <v>内部装修</v>
      </c>
      <c r="R43" s="774" t="s">
        <v>17</v>
      </c>
      <c r="S43" s="775">
        <f t="shared" si="12"/>
        <v>100</v>
      </c>
      <c r="T43" s="774" t="s">
        <v>17</v>
      </c>
      <c r="U43" s="775">
        <f t="shared" si="13"/>
        <v>100</v>
      </c>
      <c r="V43" s="774" t="s">
        <v>17</v>
      </c>
      <c r="W43" s="775">
        <f t="shared" si="14"/>
        <v>100</v>
      </c>
      <c r="X43" s="1812"/>
      <c r="Y43" s="3176"/>
      <c r="Z43" s="1813" t="str">
        <f t="shared" si="15"/>
        <v>内部装修</v>
      </c>
      <c r="AA43" s="1810">
        <f t="shared" si="3"/>
        <v>1</v>
      </c>
      <c r="AB43" s="1810">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213"/>
      <c r="Q44" s="1809" t="str">
        <f t="shared" si="11"/>
        <v>内部装修维护情况</v>
      </c>
      <c r="R44" s="774" t="s">
        <v>17</v>
      </c>
      <c r="S44" s="775">
        <f t="shared" si="12"/>
        <v>100</v>
      </c>
      <c r="T44" s="774" t="s">
        <v>17</v>
      </c>
      <c r="U44" s="775">
        <f t="shared" si="13"/>
        <v>100</v>
      </c>
      <c r="V44" s="774" t="s">
        <v>17</v>
      </c>
      <c r="W44" s="775">
        <f t="shared" si="14"/>
        <v>100</v>
      </c>
      <c r="X44" s="1812"/>
      <c r="Y44" s="3176"/>
      <c r="Z44" s="1813" t="str">
        <f t="shared" si="15"/>
        <v>内部装修维护情况</v>
      </c>
      <c r="AA44" s="1810">
        <f t="shared" si="3"/>
        <v>1</v>
      </c>
      <c r="AB44" s="1810">
        <f t="shared" si="4"/>
        <v>1</v>
      </c>
      <c r="AC44" s="2672">
        <f t="shared" si="5"/>
        <v>1</v>
      </c>
    </row>
    <row r="45" spans="1:29" s="117" customFormat="1" ht="15">
      <c r="A45" s="473"/>
      <c r="B45" s="1385">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1"/>
      <c r="M45" s="1132"/>
      <c r="N45" s="1132"/>
      <c r="O45" s="1132"/>
      <c r="P45" s="3213"/>
      <c r="Q45" s="1794">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3"/>
      <c r="Q46" s="1809">
        <f t="shared" si="11"/>
        <v>111</v>
      </c>
      <c r="R46" s="774" t="s">
        <v>17</v>
      </c>
      <c r="S46" s="775">
        <f t="shared" si="12"/>
        <v>100</v>
      </c>
      <c r="T46" s="774" t="s">
        <v>17</v>
      </c>
      <c r="U46" s="775">
        <f t="shared" si="13"/>
        <v>100</v>
      </c>
      <c r="V46" s="774" t="s">
        <v>17</v>
      </c>
      <c r="W46" s="775">
        <f t="shared" si="14"/>
        <v>100</v>
      </c>
      <c r="X46" s="1812"/>
      <c r="Y46" s="3176"/>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4"/>
      <c r="Q47" s="1809">
        <f t="shared" si="11"/>
        <v>111</v>
      </c>
      <c r="R47" s="774" t="s">
        <v>17</v>
      </c>
      <c r="S47" s="775">
        <f t="shared" si="12"/>
        <v>100</v>
      </c>
      <c r="T47" s="774" t="s">
        <v>17</v>
      </c>
      <c r="U47" s="775">
        <f t="shared" si="13"/>
        <v>100</v>
      </c>
      <c r="V47" s="774" t="s">
        <v>17</v>
      </c>
      <c r="W47" s="775">
        <f t="shared" si="14"/>
        <v>100</v>
      </c>
      <c r="X47" s="1812"/>
      <c r="Y47" s="3215"/>
      <c r="Z47" s="1813">
        <f t="shared" si="15"/>
        <v>111</v>
      </c>
      <c r="AA47" s="1810">
        <f t="shared" si="3"/>
        <v>1</v>
      </c>
      <c r="AB47" s="1810">
        <f t="shared" si="4"/>
        <v>1</v>
      </c>
      <c r="AC47" s="2672">
        <f t="shared" si="5"/>
        <v>1</v>
      </c>
    </row>
    <row r="48" spans="1:29" ht="15">
      <c r="A48" s="479" t="s">
        <v>2576</v>
      </c>
      <c r="B48" s="480"/>
      <c r="C48" s="1406" t="s">
        <v>1</v>
      </c>
      <c r="D48" s="1407"/>
      <c r="E48" s="1408"/>
      <c r="F48" s="1409"/>
      <c r="G48" s="1410"/>
      <c r="H48" s="1411"/>
      <c r="I48" s="1408"/>
      <c r="J48" s="485"/>
      <c r="K48" s="783"/>
      <c r="L48" s="1142"/>
      <c r="M48" s="1130"/>
      <c r="N48" s="1130"/>
      <c r="O48" s="1130"/>
      <c r="P48" s="3170" t="str">
        <f>A48</f>
        <v>成交单价（元/平方米）</v>
      </c>
      <c r="Q48" s="3171"/>
      <c r="R48" s="3208">
        <f>E48</f>
        <v>0</v>
      </c>
      <c r="S48" s="3208"/>
      <c r="T48" s="3208">
        <f>G48</f>
        <v>0</v>
      </c>
      <c r="U48" s="3208"/>
      <c r="V48" s="3208">
        <f>I48</f>
        <v>0</v>
      </c>
      <c r="W48" s="3208"/>
      <c r="X48" s="446"/>
      <c r="Y48" s="781"/>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4"/>
      <c r="L49" s="1142"/>
      <c r="M49" s="1130"/>
      <c r="N49" s="1130"/>
      <c r="O49" s="1130"/>
      <c r="P49" s="3170" t="str">
        <f>A49</f>
        <v>比较价值（元/平方米）</v>
      </c>
      <c r="Q49" s="3171"/>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5"/>
      <c r="L50" s="1142"/>
      <c r="M50" s="1130"/>
      <c r="N50" s="1130"/>
      <c r="O50" s="1130"/>
      <c r="P50" s="3237" t="str">
        <f>A50</f>
        <v>估价对象XX用房的比较价值（楼面单价，元/平方米）</v>
      </c>
      <c r="Q50" s="3238"/>
      <c r="R50" s="3239" t="e">
        <f>IF(F1="售价",ROUND(AVERAGE(R49:V49),0),ROUND(AVERAGE(R49:V49),1))</f>
        <v>#DIV/0!</v>
      </c>
      <c r="S50" s="3239"/>
      <c r="T50" s="3239"/>
      <c r="U50" s="3239"/>
      <c r="V50" s="3239"/>
      <c r="W50" s="3239"/>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2673</v>
      </c>
      <c r="B58" s="759"/>
      <c r="C58" s="764"/>
      <c r="D58" s="764"/>
      <c r="E58" s="764"/>
      <c r="F58" s="765"/>
      <c r="G58" s="765"/>
      <c r="H58" s="764"/>
      <c r="I58" s="764"/>
      <c r="J58" s="764"/>
      <c r="K58" s="766"/>
      <c r="L58" s="1160"/>
      <c r="M58" s="1158"/>
      <c r="N58" s="1158"/>
      <c r="O58" s="1158"/>
      <c r="P58" s="2679"/>
      <c r="Q58" s="504"/>
    </row>
    <row r="59" spans="1:29" s="508" customFormat="1" ht="15">
      <c r="A59" s="505" t="s">
        <v>2547</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2587</v>
      </c>
      <c r="B64" s="528" t="s">
        <v>2553</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1"/>
      <c r="O66" s="1151"/>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2"/>
      <c r="O83" s="1152"/>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2698</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2562</v>
      </c>
      <c r="B101" s="528" t="s">
        <v>2611</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2613</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2615</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2699</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2616</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2617</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6" t="s">
        <v>2700</v>
      </c>
      <c r="C119" s="583"/>
      <c r="D119" s="583"/>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2683</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2619</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7" t="s">
        <v>2701</v>
      </c>
      <c r="C1" s="1619" t="s">
        <v>2529</v>
      </c>
      <c r="D1" s="1620"/>
      <c r="E1" s="1629"/>
      <c r="F1" s="2582"/>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4"/>
      <c r="D2" s="1123" t="e">
        <f ca="1">SUMIF(INDIRECT("'"&amp;F2&amp;"'"&amp;"!A:A"),"承租人权益价值",INDIRECT("'"&amp;F2&amp;"'"&amp;"!c:c"))</f>
        <v>#REF!</v>
      </c>
      <c r="E2" s="2585" t="s">
        <v>2327</v>
      </c>
      <c r="F2" s="2586"/>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26215.040000000001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168" t="s">
        <v>2645</v>
      </c>
      <c r="D4" s="3181"/>
      <c r="E4" s="3182" t="s">
        <v>2646</v>
      </c>
      <c r="F4" s="3183"/>
      <c r="G4" s="3168" t="s">
        <v>2647</v>
      </c>
      <c r="H4" s="3181"/>
      <c r="I4" s="3168" t="s">
        <v>2648</v>
      </c>
      <c r="J4" s="3181"/>
      <c r="K4" s="610" t="s">
        <v>2649</v>
      </c>
      <c r="L4" s="1129"/>
      <c r="M4" s="1130"/>
      <c r="N4" s="1130"/>
      <c r="O4" s="1130"/>
      <c r="P4" s="3184" t="s">
        <v>2650</v>
      </c>
      <c r="Q4" s="3185"/>
      <c r="R4" s="3190" t="s">
        <v>2646</v>
      </c>
      <c r="S4" s="3191"/>
      <c r="T4" s="3190" t="s">
        <v>2647</v>
      </c>
      <c r="U4" s="3191"/>
      <c r="V4" s="3177" t="s">
        <v>2648</v>
      </c>
      <c r="W4" s="3177"/>
      <c r="X4" s="1812"/>
      <c r="Y4" s="3190" t="s">
        <v>2650</v>
      </c>
      <c r="Z4" s="3191"/>
      <c r="AA4" s="3178" t="s">
        <v>2646</v>
      </c>
      <c r="AB4" s="3179" t="s">
        <v>2647</v>
      </c>
      <c r="AC4" s="3178" t="s">
        <v>2648</v>
      </c>
    </row>
    <row r="5" spans="1:29" ht="15">
      <c r="A5" s="404"/>
      <c r="B5" s="405"/>
      <c r="C5" s="3198" t="s">
        <v>2541</v>
      </c>
      <c r="D5" s="3199"/>
      <c r="E5" s="3205" t="s">
        <v>2542</v>
      </c>
      <c r="F5" s="3206"/>
      <c r="G5" s="3198" t="s">
        <v>2543</v>
      </c>
      <c r="H5" s="3199"/>
      <c r="I5" s="3198" t="s">
        <v>2544</v>
      </c>
      <c r="J5" s="3199"/>
      <c r="K5" s="610"/>
      <c r="L5" s="1129"/>
      <c r="M5" s="1130"/>
      <c r="N5" s="1130"/>
      <c r="O5" s="1130"/>
      <c r="P5" s="3186"/>
      <c r="Q5" s="3187"/>
      <c r="R5" s="3192"/>
      <c r="S5" s="3193"/>
      <c r="T5" s="3192"/>
      <c r="U5" s="3193"/>
      <c r="V5" s="3177"/>
      <c r="W5" s="3177"/>
      <c r="X5" s="1812"/>
      <c r="Y5" s="3192"/>
      <c r="Z5" s="3193"/>
      <c r="AA5" s="3179"/>
      <c r="AB5" s="3179"/>
      <c r="AC5" s="3179"/>
    </row>
    <row r="6" spans="1:29" ht="15.75" thickBot="1">
      <c r="A6" s="406"/>
      <c r="B6" s="407"/>
      <c r="C6" s="3196" t="s">
        <v>2545</v>
      </c>
      <c r="D6" s="3197"/>
      <c r="E6" s="3203" t="s">
        <v>2545</v>
      </c>
      <c r="F6" s="3204"/>
      <c r="G6" s="3196" t="s">
        <v>2545</v>
      </c>
      <c r="H6" s="3197"/>
      <c r="I6" s="3196" t="s">
        <v>2545</v>
      </c>
      <c r="J6" s="3197"/>
      <c r="K6" s="610" t="s">
        <v>2546</v>
      </c>
      <c r="L6" s="1129"/>
      <c r="M6" s="1130"/>
      <c r="N6" s="1130"/>
      <c r="O6" s="1130"/>
      <c r="P6" s="3188"/>
      <c r="Q6" s="3189"/>
      <c r="R6" s="3192"/>
      <c r="S6" s="3193"/>
      <c r="T6" s="3194"/>
      <c r="U6" s="3195"/>
      <c r="V6" s="3177"/>
      <c r="W6" s="3177"/>
      <c r="X6" s="1812"/>
      <c r="Y6" s="3194"/>
      <c r="Z6" s="3195"/>
      <c r="AA6" s="3180"/>
      <c r="AB6" s="3180"/>
      <c r="AC6" s="3180"/>
    </row>
    <row r="7" spans="1:29" s="117" customFormat="1" ht="15.75" thickBot="1">
      <c r="A7" s="408" t="s">
        <v>2547</v>
      </c>
      <c r="B7" s="409"/>
      <c r="C7" s="410">
        <f>'数据-取费表'!B2</f>
        <v>43076</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0" t="s">
        <v>2548</v>
      </c>
      <c r="Q7" s="3202"/>
      <c r="R7" s="770" t="s">
        <v>17</v>
      </c>
      <c r="S7" s="771">
        <f t="shared" ref="S7:S15" si="0">F7</f>
        <v>0</v>
      </c>
      <c r="T7" s="770" t="s">
        <v>17</v>
      </c>
      <c r="U7" s="771">
        <f t="shared" ref="U7:U15" si="1">H7</f>
        <v>0</v>
      </c>
      <c r="V7" s="770" t="s">
        <v>17</v>
      </c>
      <c r="W7" s="771">
        <f t="shared" ref="W7:W15" si="2">J7</f>
        <v>0</v>
      </c>
      <c r="X7" s="772"/>
      <c r="Y7" s="3200" t="s">
        <v>2548</v>
      </c>
      <c r="Z7" s="320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0" t="s">
        <v>2551</v>
      </c>
      <c r="Q8" s="3201"/>
      <c r="R8" s="770" t="s">
        <v>17</v>
      </c>
      <c r="S8" s="771">
        <f t="shared" si="0"/>
        <v>0</v>
      </c>
      <c r="T8" s="770" t="s">
        <v>17</v>
      </c>
      <c r="U8" s="771">
        <f t="shared" si="1"/>
        <v>0</v>
      </c>
      <c r="V8" s="770" t="s">
        <v>17</v>
      </c>
      <c r="W8" s="771">
        <f t="shared" si="2"/>
        <v>0</v>
      </c>
      <c r="X8" s="772"/>
      <c r="Y8" s="3200" t="s">
        <v>2551</v>
      </c>
      <c r="Z8" s="3201"/>
      <c r="AA8" s="773" t="e">
        <f t="shared" ref="AA8:AA40" si="3">D8/F8</f>
        <v>#DIV/0!</v>
      </c>
      <c r="AB8" s="773" t="e">
        <f t="shared" ref="AB8:AB40" si="4">D8/H8</f>
        <v>#DIV/0!</v>
      </c>
      <c r="AC8" s="773" t="e">
        <f t="shared" ref="AC8:AC40" si="5">D8/J8</f>
        <v>#DIV/0!</v>
      </c>
    </row>
    <row r="9" spans="1:29" s="117" customFormat="1">
      <c r="A9" s="415" t="s">
        <v>2552</v>
      </c>
      <c r="B9" s="71" t="s">
        <v>2553</v>
      </c>
      <c r="C9" s="416"/>
      <c r="D9" s="134">
        <v>100</v>
      </c>
      <c r="E9" s="419"/>
      <c r="F9" s="134">
        <f>SUMIF(57:57,E9,58:58)-SUMIF(57:57,C9,58:58)+100</f>
        <v>100</v>
      </c>
      <c r="G9" s="417"/>
      <c r="H9" s="134">
        <f>SUMIF(57:57,G9,58:58)-SUMIF(57:57,C9,58:58)+100</f>
        <v>100</v>
      </c>
      <c r="I9" s="417"/>
      <c r="J9" s="134">
        <f>SUMIF(57:57,I9,58:58)-SUMIF(57:57,C9,58:58)+100</f>
        <v>100</v>
      </c>
      <c r="K9" s="611"/>
      <c r="L9" s="1131"/>
      <c r="M9" s="1132"/>
      <c r="N9" s="1132"/>
      <c r="O9" s="1133"/>
      <c r="P9" s="3171" t="s">
        <v>2554</v>
      </c>
      <c r="Q9" s="179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3"/>
      <c r="F10" s="135">
        <f>SUMIF(59:59,E10,60:60)-SUMIF(59:59,C10,60:60)+100</f>
        <v>100</v>
      </c>
      <c r="G10" s="424"/>
      <c r="H10" s="135">
        <f>SUMIF(59:59,G10,60:60)-SUMIF(59:59,C10,60:60)+100</f>
        <v>100</v>
      </c>
      <c r="I10" s="423"/>
      <c r="J10" s="135">
        <f>SUMIF(59:59,I10,60:60)-SUMIF(59:59,C10,60:60)+100</f>
        <v>100</v>
      </c>
      <c r="K10" s="612"/>
      <c r="L10" s="1134"/>
      <c r="M10" s="1135"/>
      <c r="N10" s="1135"/>
      <c r="O10" s="1136"/>
      <c r="P10" s="3171"/>
      <c r="Q10" s="179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2557</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7"/>
      <c r="M11" s="1130"/>
      <c r="N11" s="1130"/>
      <c r="O11" s="1138"/>
      <c r="P11" s="3171"/>
      <c r="Q11" s="1794"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5">
        <f>SUMIF(64:64,E12,65:65)-SUMIF(64:64,C12,65:65)+100</f>
        <v>100</v>
      </c>
      <c r="G12" s="2690"/>
      <c r="H12" s="135">
        <f>SUMIF(64:64,G12,65:65)-SUMIF(64:64,C12,65:65)+100</f>
        <v>100</v>
      </c>
      <c r="I12" s="469"/>
      <c r="J12" s="135">
        <f>SUMIF(64:64,I12,65:65)-SUMIF(64:64,C12,65:65)+100</f>
        <v>100</v>
      </c>
      <c r="K12" s="613"/>
      <c r="L12" s="1131"/>
      <c r="M12" s="1132"/>
      <c r="N12" s="1132"/>
      <c r="O12" s="1133"/>
      <c r="P12" s="3171"/>
      <c r="Q12" s="179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8">
        <v>111</v>
      </c>
      <c r="C13" s="434"/>
      <c r="D13" s="435">
        <v>100</v>
      </c>
      <c r="E13" s="434"/>
      <c r="F13" s="135">
        <f>SUMIF(66:66,E13,67:67)-SUMIF(66:66,C13,67:67)+100</f>
        <v>100</v>
      </c>
      <c r="G13" s="2690"/>
      <c r="H13" s="435">
        <f>SUMIF(66:66,G13,67:67)-SUMIF(66:66,C13,67:67)+100</f>
        <v>100</v>
      </c>
      <c r="I13" s="469"/>
      <c r="J13" s="435">
        <f>SUMIF(66:66,I13,67:67)-SUMIF(66:66,C13,67:67)+100</f>
        <v>100</v>
      </c>
      <c r="K13" s="613"/>
      <c r="L13" s="1139"/>
      <c r="M13" s="1130"/>
      <c r="N13" s="1130"/>
      <c r="O13" s="1138"/>
      <c r="P13" s="3171"/>
      <c r="Q13" s="179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171"/>
      <c r="Q14" s="1794">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73" t="s">
        <v>2559</v>
      </c>
      <c r="Q15" s="1809" t="str">
        <f t="shared" si="6"/>
        <v>产业集聚程度</v>
      </c>
      <c r="R15" s="774" t="s">
        <v>17</v>
      </c>
      <c r="S15" s="775">
        <f t="shared" si="0"/>
        <v>100</v>
      </c>
      <c r="T15" s="774" t="s">
        <v>17</v>
      </c>
      <c r="U15" s="775">
        <f t="shared" si="1"/>
        <v>100</v>
      </c>
      <c r="V15" s="774" t="s">
        <v>17</v>
      </c>
      <c r="W15" s="775">
        <f t="shared" si="2"/>
        <v>100</v>
      </c>
      <c r="X15" s="1812"/>
      <c r="Y15" s="3173"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74"/>
      <c r="Q16" s="1809"/>
      <c r="R16" s="774"/>
      <c r="S16" s="775"/>
      <c r="T16" s="774"/>
      <c r="U16" s="775"/>
      <c r="V16" s="774"/>
      <c r="W16" s="775"/>
      <c r="X16" s="1812"/>
      <c r="Y16" s="3174"/>
      <c r="Z16" s="1813"/>
      <c r="AA16" s="1810">
        <v>1</v>
      </c>
      <c r="AB16" s="1810">
        <v>1</v>
      </c>
      <c r="AC16" s="1810">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74"/>
      <c r="Q17" s="1809" t="str">
        <f>B17</f>
        <v>交通便捷度</v>
      </c>
      <c r="R17" s="774" t="s">
        <v>17</v>
      </c>
      <c r="S17" s="775">
        <f>F17</f>
        <v>100</v>
      </c>
      <c r="T17" s="774" t="s">
        <v>17</v>
      </c>
      <c r="U17" s="775">
        <f>H17</f>
        <v>100</v>
      </c>
      <c r="V17" s="774" t="s">
        <v>17</v>
      </c>
      <c r="W17" s="775">
        <f>J17</f>
        <v>100</v>
      </c>
      <c r="X17" s="1812"/>
      <c r="Y17" s="3174"/>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8"/>
      <c r="P18" s="3174"/>
      <c r="Q18" s="1809"/>
      <c r="R18" s="774"/>
      <c r="S18" s="775"/>
      <c r="T18" s="774"/>
      <c r="U18" s="775"/>
      <c r="V18" s="774"/>
      <c r="W18" s="775"/>
      <c r="X18" s="1812"/>
      <c r="Y18" s="3174"/>
      <c r="Z18" s="1813"/>
      <c r="AA18" s="1810">
        <v>1</v>
      </c>
      <c r="AB18" s="1810">
        <v>1</v>
      </c>
      <c r="AC18" s="1810">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74"/>
      <c r="Q19" s="1809" t="str">
        <f>B19</f>
        <v>公共配套设施</v>
      </c>
      <c r="R19" s="774" t="s">
        <v>17</v>
      </c>
      <c r="S19" s="775">
        <f>F19</f>
        <v>100</v>
      </c>
      <c r="T19" s="774" t="s">
        <v>17</v>
      </c>
      <c r="U19" s="775">
        <f>H19</f>
        <v>100</v>
      </c>
      <c r="V19" s="774" t="s">
        <v>17</v>
      </c>
      <c r="W19" s="775">
        <f>J19</f>
        <v>100</v>
      </c>
      <c r="X19" s="1812"/>
      <c r="Y19" s="3174"/>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8"/>
      <c r="P20" s="3174"/>
      <c r="Q20" s="1809"/>
      <c r="R20" s="774"/>
      <c r="S20" s="775"/>
      <c r="T20" s="774"/>
      <c r="U20" s="775"/>
      <c r="V20" s="774"/>
      <c r="W20" s="775"/>
      <c r="X20" s="1812"/>
      <c r="Y20" s="3174"/>
      <c r="Z20" s="1813"/>
      <c r="AA20" s="1810">
        <v>1</v>
      </c>
      <c r="AB20" s="1810">
        <v>1</v>
      </c>
      <c r="AC20" s="1810">
        <v>1</v>
      </c>
    </row>
    <row r="21" spans="1:29" ht="28.5">
      <c r="A21" s="428"/>
      <c r="B21" s="1383"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74"/>
      <c r="Q21" s="1809" t="str">
        <f>B21</f>
        <v>基础设施水平</v>
      </c>
      <c r="R21" s="774" t="s">
        <v>17</v>
      </c>
      <c r="S21" s="775">
        <f>F21</f>
        <v>100</v>
      </c>
      <c r="T21" s="774" t="s">
        <v>17</v>
      </c>
      <c r="U21" s="775">
        <f>H21</f>
        <v>100</v>
      </c>
      <c r="V21" s="774" t="s">
        <v>17</v>
      </c>
      <c r="W21" s="775">
        <f>J21</f>
        <v>100</v>
      </c>
      <c r="X21" s="1812"/>
      <c r="Y21" s="3174"/>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8"/>
      <c r="P22" s="3174"/>
      <c r="Q22" s="1809"/>
      <c r="R22" s="774"/>
      <c r="S22" s="775"/>
      <c r="T22" s="774"/>
      <c r="U22" s="775"/>
      <c r="V22" s="774"/>
      <c r="W22" s="775"/>
      <c r="X22" s="1812"/>
      <c r="Y22" s="3174"/>
      <c r="Z22" s="1813"/>
      <c r="AA22" s="1810">
        <v>1</v>
      </c>
      <c r="AB22" s="1810">
        <v>1</v>
      </c>
      <c r="AC22" s="1810">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74"/>
      <c r="Q23" s="1809" t="str">
        <f>B23</f>
        <v>环境质量</v>
      </c>
      <c r="R23" s="774" t="s">
        <v>17</v>
      </c>
      <c r="S23" s="775">
        <f>F23</f>
        <v>100</v>
      </c>
      <c r="T23" s="774" t="s">
        <v>17</v>
      </c>
      <c r="U23" s="775">
        <f>H23</f>
        <v>100</v>
      </c>
      <c r="V23" s="774" t="s">
        <v>17</v>
      </c>
      <c r="W23" s="775">
        <f>J23</f>
        <v>100</v>
      </c>
      <c r="X23" s="1812"/>
      <c r="Y23" s="3174"/>
      <c r="Z23" s="1813" t="str">
        <f>Q23</f>
        <v>环境质量</v>
      </c>
      <c r="AA23" s="1810">
        <f t="shared" si="3"/>
        <v>1</v>
      </c>
      <c r="AB23" s="1810">
        <f t="shared" si="4"/>
        <v>1</v>
      </c>
      <c r="AC23" s="1810">
        <f t="shared" si="5"/>
        <v>1</v>
      </c>
    </row>
    <row r="24" spans="1:29" ht="15">
      <c r="A24" s="428"/>
      <c r="B24" s="1383"/>
      <c r="C24" s="447"/>
      <c r="D24" s="448"/>
      <c r="E24" s="2603"/>
      <c r="F24" s="449"/>
      <c r="G24" s="2602"/>
      <c r="H24" s="448"/>
      <c r="I24" s="2603"/>
      <c r="J24" s="448"/>
      <c r="K24" s="615"/>
      <c r="L24" s="1139"/>
      <c r="M24" s="1130"/>
      <c r="N24" s="1130"/>
      <c r="O24" s="1138"/>
      <c r="P24" s="3174"/>
      <c r="Q24" s="1809"/>
      <c r="R24" s="774"/>
      <c r="S24" s="775"/>
      <c r="T24" s="774"/>
      <c r="U24" s="775"/>
      <c r="V24" s="774"/>
      <c r="W24" s="775"/>
      <c r="X24" s="1812"/>
      <c r="Y24" s="3174"/>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74"/>
      <c r="Q25" s="1809">
        <f>B25</f>
        <v>111</v>
      </c>
      <c r="R25" s="774" t="s">
        <v>17</v>
      </c>
      <c r="S25" s="775">
        <f>F25</f>
        <v>100</v>
      </c>
      <c r="T25" s="774" t="s">
        <v>17</v>
      </c>
      <c r="U25" s="775">
        <f>H25</f>
        <v>100</v>
      </c>
      <c r="V25" s="774" t="s">
        <v>17</v>
      </c>
      <c r="W25" s="775">
        <f>J25</f>
        <v>100</v>
      </c>
      <c r="X25" s="1812"/>
      <c r="Y25" s="3174"/>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74"/>
      <c r="Q26" s="1809">
        <f t="shared" ref="Q26:Q40" si="11">B26</f>
        <v>111</v>
      </c>
      <c r="R26" s="774" t="s">
        <v>17</v>
      </c>
      <c r="S26" s="775">
        <f>F26</f>
        <v>100</v>
      </c>
      <c r="T26" s="774" t="s">
        <v>17</v>
      </c>
      <c r="U26" s="775">
        <f>H26</f>
        <v>100</v>
      </c>
      <c r="V26" s="774" t="s">
        <v>17</v>
      </c>
      <c r="W26" s="775">
        <f>J26</f>
        <v>100</v>
      </c>
      <c r="X26" s="1812"/>
      <c r="Y26" s="3174"/>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74"/>
      <c r="Q27" s="1794">
        <f t="shared" si="11"/>
        <v>111</v>
      </c>
      <c r="R27" s="770" t="s">
        <v>17</v>
      </c>
      <c r="S27" s="771">
        <f>F27</f>
        <v>100</v>
      </c>
      <c r="T27" s="770" t="s">
        <v>17</v>
      </c>
      <c r="U27" s="771">
        <f>H27</f>
        <v>100</v>
      </c>
      <c r="V27" s="770" t="s">
        <v>17</v>
      </c>
      <c r="W27" s="771">
        <f>J27</f>
        <v>100</v>
      </c>
      <c r="X27" s="772"/>
      <c r="Y27" s="3174"/>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74"/>
      <c r="Q28" s="1809">
        <f t="shared" si="11"/>
        <v>111</v>
      </c>
      <c r="R28" s="774" t="s">
        <v>17</v>
      </c>
      <c r="S28" s="775">
        <f t="shared" ref="S28:S40" si="12">F28</f>
        <v>100</v>
      </c>
      <c r="T28" s="774" t="s">
        <v>17</v>
      </c>
      <c r="U28" s="775">
        <f t="shared" ref="U28:U40" si="13">H28</f>
        <v>100</v>
      </c>
      <c r="V28" s="774" t="s">
        <v>17</v>
      </c>
      <c r="W28" s="775">
        <f t="shared" ref="W28:W40" si="14">J28</f>
        <v>100</v>
      </c>
      <c r="X28" s="1812"/>
      <c r="Y28" s="3174"/>
      <c r="Z28" s="1813">
        <f t="shared" ref="Z28:Z40" si="15">Q28</f>
        <v>111</v>
      </c>
      <c r="AA28" s="1810">
        <f t="shared" si="3"/>
        <v>1</v>
      </c>
      <c r="AB28" s="1810">
        <f t="shared" si="4"/>
        <v>1</v>
      </c>
      <c r="AC28" s="1810">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175" t="s">
        <v>2564</v>
      </c>
      <c r="Q29" s="1809" t="str">
        <f t="shared" si="11"/>
        <v>建筑类型</v>
      </c>
      <c r="R29" s="774" t="s">
        <v>17</v>
      </c>
      <c r="S29" s="775">
        <f t="shared" si="12"/>
        <v>100</v>
      </c>
      <c r="T29" s="774" t="s">
        <v>17</v>
      </c>
      <c r="U29" s="775">
        <f t="shared" si="13"/>
        <v>100</v>
      </c>
      <c r="V29" s="774" t="s">
        <v>17</v>
      </c>
      <c r="W29" s="775">
        <f t="shared" si="14"/>
        <v>100</v>
      </c>
      <c r="X29" s="1812"/>
      <c r="Y29" s="3176" t="s">
        <v>2564</v>
      </c>
      <c r="Z29" s="1813" t="str">
        <f t="shared" si="15"/>
        <v>建筑类型</v>
      </c>
      <c r="AA29" s="1810">
        <f t="shared" si="3"/>
        <v>1</v>
      </c>
      <c r="AB29" s="1810">
        <f t="shared" si="4"/>
        <v>1</v>
      </c>
      <c r="AC29" s="1810">
        <f t="shared" si="5"/>
        <v>1</v>
      </c>
    </row>
    <row r="30" spans="1:29" s="471" customFormat="1" ht="15">
      <c r="A30" s="468"/>
      <c r="B30" s="422" t="s">
        <v>2565</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7"/>
      <c r="M30" s="1140"/>
      <c r="N30" s="1140"/>
      <c r="O30" s="1141"/>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76"/>
      <c r="Q31" s="1809" t="str">
        <f t="shared" si="11"/>
        <v>建筑结构</v>
      </c>
      <c r="R31" s="774" t="s">
        <v>17</v>
      </c>
      <c r="S31" s="775">
        <f t="shared" si="12"/>
        <v>100</v>
      </c>
      <c r="T31" s="774" t="s">
        <v>17</v>
      </c>
      <c r="U31" s="775">
        <f t="shared" si="13"/>
        <v>100</v>
      </c>
      <c r="V31" s="774" t="s">
        <v>17</v>
      </c>
      <c r="W31" s="775">
        <f t="shared" si="14"/>
        <v>100</v>
      </c>
      <c r="X31" s="1812"/>
      <c r="Y31" s="3176"/>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76"/>
      <c r="Q32" s="1809" t="str">
        <f t="shared" si="11"/>
        <v>公共部分装修</v>
      </c>
      <c r="R32" s="774" t="s">
        <v>17</v>
      </c>
      <c r="S32" s="775">
        <f t="shared" si="12"/>
        <v>100</v>
      </c>
      <c r="T32" s="774" t="s">
        <v>17</v>
      </c>
      <c r="U32" s="775">
        <f t="shared" si="13"/>
        <v>100</v>
      </c>
      <c r="V32" s="774" t="s">
        <v>17</v>
      </c>
      <c r="W32" s="775">
        <f t="shared" si="14"/>
        <v>100</v>
      </c>
      <c r="X32" s="1812"/>
      <c r="Y32" s="3176"/>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76"/>
      <c r="Q33" s="1809" t="str">
        <f t="shared" si="11"/>
        <v>成新度</v>
      </c>
      <c r="R33" s="774" t="s">
        <v>17</v>
      </c>
      <c r="S33" s="775" t="e">
        <f t="shared" si="12"/>
        <v>#N/A</v>
      </c>
      <c r="T33" s="774" t="s">
        <v>17</v>
      </c>
      <c r="U33" s="775" t="e">
        <f t="shared" si="13"/>
        <v>#N/A</v>
      </c>
      <c r="V33" s="774" t="s">
        <v>17</v>
      </c>
      <c r="W33" s="775" t="e">
        <f t="shared" si="14"/>
        <v>#N/A</v>
      </c>
      <c r="X33" s="1812"/>
      <c r="Y33" s="3176"/>
      <c r="Z33" s="1813" t="str">
        <f t="shared" si="15"/>
        <v>成新度</v>
      </c>
      <c r="AA33" s="1810" t="e">
        <f t="shared" si="3"/>
        <v>#N/A</v>
      </c>
      <c r="AB33" s="1810" t="e">
        <f t="shared" si="4"/>
        <v>#N/A</v>
      </c>
      <c r="AC33" s="1810" t="e">
        <f t="shared" si="5"/>
        <v>#N/A</v>
      </c>
    </row>
    <row r="34" spans="1:29" s="117" customFormat="1" ht="15">
      <c r="A34" s="473"/>
      <c r="B34" s="422" t="s">
        <v>2694</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76"/>
      <c r="Q34" s="1794"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76" t="s">
        <v>2564</v>
      </c>
      <c r="Q35" s="1809" t="str">
        <f t="shared" si="11"/>
        <v>市政基础设施</v>
      </c>
      <c r="R35" s="774" t="s">
        <v>17</v>
      </c>
      <c r="S35" s="775">
        <f t="shared" si="12"/>
        <v>100</v>
      </c>
      <c r="T35" s="774" t="s">
        <v>17</v>
      </c>
      <c r="U35" s="775">
        <f t="shared" si="13"/>
        <v>100</v>
      </c>
      <c r="V35" s="774" t="s">
        <v>17</v>
      </c>
      <c r="W35" s="775">
        <f t="shared" si="14"/>
        <v>100</v>
      </c>
      <c r="X35" s="1812"/>
      <c r="Y35" s="3176"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76"/>
      <c r="Q36" s="1809" t="str">
        <f t="shared" si="11"/>
        <v>内部装修</v>
      </c>
      <c r="R36" s="774" t="s">
        <v>17</v>
      </c>
      <c r="S36" s="775">
        <f t="shared" si="12"/>
        <v>100</v>
      </c>
      <c r="T36" s="774" t="s">
        <v>17</v>
      </c>
      <c r="U36" s="775">
        <f t="shared" si="13"/>
        <v>100</v>
      </c>
      <c r="V36" s="774" t="s">
        <v>17</v>
      </c>
      <c r="W36" s="775">
        <f t="shared" si="14"/>
        <v>100</v>
      </c>
      <c r="X36" s="1812"/>
      <c r="Y36" s="3176"/>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76"/>
      <c r="Q37" s="1809" t="str">
        <f t="shared" si="11"/>
        <v>内部装修状况</v>
      </c>
      <c r="R37" s="774" t="s">
        <v>17</v>
      </c>
      <c r="S37" s="775">
        <f t="shared" si="12"/>
        <v>100</v>
      </c>
      <c r="T37" s="774" t="s">
        <v>17</v>
      </c>
      <c r="U37" s="775">
        <f t="shared" si="13"/>
        <v>100</v>
      </c>
      <c r="V37" s="774" t="s">
        <v>17</v>
      </c>
      <c r="W37" s="775">
        <f t="shared" si="14"/>
        <v>100</v>
      </c>
      <c r="X37" s="1812"/>
      <c r="Y37" s="317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76"/>
      <c r="Q39" s="1809">
        <f t="shared" si="11"/>
        <v>111</v>
      </c>
      <c r="R39" s="774" t="s">
        <v>17</v>
      </c>
      <c r="S39" s="775">
        <f t="shared" si="12"/>
        <v>100</v>
      </c>
      <c r="T39" s="774" t="s">
        <v>17</v>
      </c>
      <c r="U39" s="775">
        <f t="shared" si="13"/>
        <v>100</v>
      </c>
      <c r="V39" s="774" t="s">
        <v>17</v>
      </c>
      <c r="W39" s="775">
        <f t="shared" si="14"/>
        <v>100</v>
      </c>
      <c r="X39" s="1812"/>
      <c r="Y39" s="3176"/>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5"/>
      <c r="Q40" s="1809">
        <f t="shared" si="11"/>
        <v>111</v>
      </c>
      <c r="R40" s="774" t="s">
        <v>17</v>
      </c>
      <c r="S40" s="775">
        <f t="shared" si="12"/>
        <v>100</v>
      </c>
      <c r="T40" s="774" t="s">
        <v>17</v>
      </c>
      <c r="U40" s="775">
        <f t="shared" si="13"/>
        <v>100</v>
      </c>
      <c r="V40" s="774" t="s">
        <v>17</v>
      </c>
      <c r="W40" s="775">
        <f t="shared" si="14"/>
        <v>100</v>
      </c>
      <c r="X40" s="1812"/>
      <c r="Y40" s="3215"/>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3"/>
      <c r="L41" s="1142"/>
      <c r="M41" s="1143"/>
      <c r="N41" s="1130"/>
      <c r="O41" s="1143"/>
      <c r="P41" s="3171" t="str">
        <f>A41</f>
        <v>成交单价（元/平方米）</v>
      </c>
      <c r="Q41" s="3171"/>
      <c r="R41" s="3208">
        <f>E41</f>
        <v>0</v>
      </c>
      <c r="S41" s="3208"/>
      <c r="T41" s="3208">
        <f>G41</f>
        <v>0</v>
      </c>
      <c r="U41" s="3208"/>
      <c r="V41" s="3208">
        <f>I41</f>
        <v>0</v>
      </c>
      <c r="W41" s="3208"/>
      <c r="X41" s="759"/>
      <c r="Y41" s="781"/>
      <c r="Z41" s="759"/>
      <c r="AA41" s="759"/>
      <c r="AB41" s="759"/>
      <c r="AC41" s="759"/>
    </row>
    <row r="42" spans="1:29" ht="15.75" thickBot="1">
      <c r="A42" s="486" t="s">
        <v>2668</v>
      </c>
      <c r="B42" s="487"/>
      <c r="C42" s="1412" t="e">
        <f>R43</f>
        <v>#DIV/0!</v>
      </c>
      <c r="D42" s="1413"/>
      <c r="E42" s="1414" t="e">
        <f>R42</f>
        <v>#DIV/0!</v>
      </c>
      <c r="F42" s="1414"/>
      <c r="G42" s="1412" t="e">
        <f>T42</f>
        <v>#DIV/0!</v>
      </c>
      <c r="H42" s="1413"/>
      <c r="I42" s="1414" t="e">
        <f>V42</f>
        <v>#DIV/0!</v>
      </c>
      <c r="J42" s="1413"/>
      <c r="K42" s="784"/>
      <c r="L42" s="1142"/>
      <c r="M42" s="1143"/>
      <c r="N42" s="1130"/>
      <c r="O42" s="1143"/>
      <c r="P42" s="3171" t="str">
        <f>A42</f>
        <v>比较价值（元/平方米）</v>
      </c>
      <c r="Q42" s="3171"/>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2669</v>
      </c>
      <c r="B43" s="493"/>
      <c r="C43" s="1416" t="e">
        <f>R43</f>
        <v>#DIV/0!</v>
      </c>
      <c r="D43" s="1416"/>
      <c r="E43" s="1416"/>
      <c r="F43" s="1416"/>
      <c r="G43" s="1416"/>
      <c r="H43" s="1416"/>
      <c r="I43" s="1416"/>
      <c r="J43" s="1416"/>
      <c r="K43" s="785"/>
      <c r="L43" s="1142"/>
      <c r="M43" s="1143"/>
      <c r="N43" s="1143"/>
      <c r="O43" s="1143"/>
      <c r="P43" s="3165" t="str">
        <f>A43</f>
        <v>估价对象XX用房的比较价值（楼面单价，元/平方米）</v>
      </c>
      <c r="Q43" s="3166"/>
      <c r="R43" s="3209" t="e">
        <f>IF(F1="售价",ROUND(AVERAGE(R42:V42),0),ROUND(AVERAGE(R42:V42),1))</f>
        <v>#DIV/0!</v>
      </c>
      <c r="S43" s="3209"/>
      <c r="T43" s="3209"/>
      <c r="U43" s="3209"/>
      <c r="V43" s="3209"/>
      <c r="W43" s="3209"/>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2673</v>
      </c>
      <c r="B51" s="759"/>
      <c r="C51" s="764"/>
      <c r="D51" s="764"/>
      <c r="E51" s="764"/>
      <c r="F51" s="765"/>
      <c r="G51" s="765"/>
      <c r="H51" s="764"/>
      <c r="I51" s="764"/>
      <c r="J51" s="764"/>
      <c r="K51" s="1159"/>
      <c r="L51" s="1160"/>
      <c r="M51" s="1158"/>
      <c r="N51" s="1158"/>
      <c r="O51" s="1158"/>
      <c r="P51" s="503"/>
      <c r="Q51" s="504"/>
    </row>
    <row r="52" spans="1:17" s="508" customFormat="1" ht="15">
      <c r="A52" s="505" t="s">
        <v>2547</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2587</v>
      </c>
      <c r="B57" s="528" t="s">
        <v>2553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2562</v>
      </c>
      <c r="B88" s="528" t="s">
        <v>2611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2"/>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4"/>
      <c r="D2" s="1123" t="e">
        <f ca="1">SUMIF(INDIRECT("'"&amp;F2&amp;"'"&amp;"!A:A"),"承租人权益价值",INDIRECT("'"&amp;F2&amp;"'"&amp;"!c:c"))</f>
        <v>#REF!</v>
      </c>
      <c r="E2" s="2585" t="s">
        <v>2327</v>
      </c>
      <c r="F2" s="2586"/>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2644</v>
      </c>
      <c r="B4" s="402"/>
      <c r="C4" s="3168" t="s">
        <v>2645</v>
      </c>
      <c r="D4" s="3181"/>
      <c r="E4" s="3182" t="s">
        <v>2646</v>
      </c>
      <c r="F4" s="3183"/>
      <c r="G4" s="3168" t="s">
        <v>2647</v>
      </c>
      <c r="H4" s="3181"/>
      <c r="I4" s="3168" t="s">
        <v>2648</v>
      </c>
      <c r="J4" s="3181"/>
      <c r="K4" s="610" t="s">
        <v>2649</v>
      </c>
      <c r="L4" s="1129"/>
      <c r="M4" s="1130"/>
      <c r="N4" s="1130"/>
      <c r="O4" s="1130"/>
      <c r="P4" s="3184" t="s">
        <v>2650</v>
      </c>
      <c r="Q4" s="3185"/>
      <c r="R4" s="3190" t="s">
        <v>2646</v>
      </c>
      <c r="S4" s="3191"/>
      <c r="T4" s="3190" t="s">
        <v>2647</v>
      </c>
      <c r="U4" s="3191"/>
      <c r="V4" s="3177" t="s">
        <v>2648</v>
      </c>
      <c r="W4" s="3177"/>
      <c r="X4" s="1812"/>
      <c r="Y4" s="3190" t="s">
        <v>2650</v>
      </c>
      <c r="Z4" s="3191"/>
      <c r="AA4" s="3178" t="s">
        <v>2646</v>
      </c>
      <c r="AB4" s="3179" t="s">
        <v>2647</v>
      </c>
      <c r="AC4" s="3178" t="s">
        <v>2648</v>
      </c>
    </row>
    <row r="5" spans="1:29" ht="15">
      <c r="A5" s="404"/>
      <c r="B5" s="405"/>
      <c r="C5" s="3198" t="s">
        <v>2541</v>
      </c>
      <c r="D5" s="3199"/>
      <c r="E5" s="3205" t="s">
        <v>2542</v>
      </c>
      <c r="F5" s="3206"/>
      <c r="G5" s="3198" t="s">
        <v>2543</v>
      </c>
      <c r="H5" s="3199"/>
      <c r="I5" s="3198" t="s">
        <v>2544</v>
      </c>
      <c r="J5" s="3199"/>
      <c r="K5" s="610"/>
      <c r="L5" s="1129"/>
      <c r="M5" s="1130"/>
      <c r="N5" s="1130"/>
      <c r="O5" s="1130"/>
      <c r="P5" s="3186"/>
      <c r="Q5" s="3187"/>
      <c r="R5" s="3192"/>
      <c r="S5" s="3193"/>
      <c r="T5" s="3192"/>
      <c r="U5" s="3193"/>
      <c r="V5" s="3177"/>
      <c r="W5" s="3177"/>
      <c r="X5" s="1812"/>
      <c r="Y5" s="3192"/>
      <c r="Z5" s="3193"/>
      <c r="AA5" s="3179"/>
      <c r="AB5" s="3179"/>
      <c r="AC5" s="3179"/>
    </row>
    <row r="6" spans="1:29" ht="15.75" thickBot="1">
      <c r="A6" s="406"/>
      <c r="B6" s="407"/>
      <c r="C6" s="3196" t="s">
        <v>2545</v>
      </c>
      <c r="D6" s="3197"/>
      <c r="E6" s="3203" t="s">
        <v>2545</v>
      </c>
      <c r="F6" s="3204"/>
      <c r="G6" s="3196" t="s">
        <v>2545</v>
      </c>
      <c r="H6" s="3197"/>
      <c r="I6" s="3196" t="s">
        <v>2545</v>
      </c>
      <c r="J6" s="3197"/>
      <c r="K6" s="610" t="s">
        <v>2546</v>
      </c>
      <c r="L6" s="1129"/>
      <c r="M6" s="1130"/>
      <c r="N6" s="1130"/>
      <c r="O6" s="1130"/>
      <c r="P6" s="3188"/>
      <c r="Q6" s="3189"/>
      <c r="R6" s="3192"/>
      <c r="S6" s="3193"/>
      <c r="T6" s="3194"/>
      <c r="U6" s="3195"/>
      <c r="V6" s="3177"/>
      <c r="W6" s="3177"/>
      <c r="X6" s="1812"/>
      <c r="Y6" s="3194"/>
      <c r="Z6" s="3195"/>
      <c r="AA6" s="3180"/>
      <c r="AB6" s="3180"/>
      <c r="AC6" s="3180"/>
    </row>
    <row r="7" spans="1:29" s="117" customFormat="1" ht="15.75" thickBot="1">
      <c r="A7" s="408" t="s">
        <v>2547</v>
      </c>
      <c r="B7" s="409"/>
      <c r="C7" s="410">
        <f>'数据-取费表'!B2</f>
        <v>43076</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0" t="s">
        <v>2548</v>
      </c>
      <c r="Q7" s="3202"/>
      <c r="R7" s="770" t="s">
        <v>17</v>
      </c>
      <c r="S7" s="771">
        <f t="shared" ref="S7:S14" si="0">F7</f>
        <v>0</v>
      </c>
      <c r="T7" s="770" t="s">
        <v>17</v>
      </c>
      <c r="U7" s="771">
        <f t="shared" ref="U7:U14" si="1">H7</f>
        <v>0</v>
      </c>
      <c r="V7" s="770" t="s">
        <v>17</v>
      </c>
      <c r="W7" s="771">
        <f t="shared" ref="W7:W14" si="2">J7</f>
        <v>0</v>
      </c>
      <c r="X7" s="772"/>
      <c r="Y7" s="3200" t="s">
        <v>2548</v>
      </c>
      <c r="Z7" s="320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0" t="s">
        <v>2551</v>
      </c>
      <c r="Q8" s="3201"/>
      <c r="R8" s="770" t="s">
        <v>17</v>
      </c>
      <c r="S8" s="771">
        <f t="shared" si="0"/>
        <v>0</v>
      </c>
      <c r="T8" s="770" t="s">
        <v>17</v>
      </c>
      <c r="U8" s="771">
        <f t="shared" si="1"/>
        <v>0</v>
      </c>
      <c r="V8" s="770" t="s">
        <v>17</v>
      </c>
      <c r="W8" s="771">
        <f t="shared" si="2"/>
        <v>0</v>
      </c>
      <c r="X8" s="772"/>
      <c r="Y8" s="3200" t="s">
        <v>2551</v>
      </c>
      <c r="Z8" s="3201"/>
      <c r="AA8" s="773" t="e">
        <f t="shared" ref="AA8:AA36" si="3">D8/F8</f>
        <v>#DIV/0!</v>
      </c>
      <c r="AB8" s="773" t="e">
        <f t="shared" ref="AB8:AB36" si="4">D8/H8</f>
        <v>#DIV/0!</v>
      </c>
      <c r="AC8" s="773" t="e">
        <f t="shared" ref="AC8:AC36" si="5">D8/J8</f>
        <v>#DIV/0!</v>
      </c>
    </row>
    <row r="9" spans="1:29" s="117" customFormat="1">
      <c r="A9" s="68" t="s">
        <v>2552</v>
      </c>
      <c r="B9" s="640" t="s">
        <v>2553</v>
      </c>
      <c r="C9" s="416"/>
      <c r="D9" s="134">
        <v>100</v>
      </c>
      <c r="E9" s="419"/>
      <c r="F9" s="134">
        <f>SUMIF(53:53,E9,54:54)-SUMIF(53:53,C9,54:54)+100</f>
        <v>100</v>
      </c>
      <c r="G9" s="417"/>
      <c r="H9" s="134">
        <f>SUMIF(53:53,G9,54:54)-SUMIF(53:53,C9,54:54)+100</f>
        <v>100</v>
      </c>
      <c r="I9" s="417"/>
      <c r="J9" s="134">
        <f>SUMIF(53:53,I9,54:54)-SUMIF(53:53,C9,54:54)+100</f>
        <v>100</v>
      </c>
      <c r="K9" s="611"/>
      <c r="L9" s="1131"/>
      <c r="M9" s="1132"/>
      <c r="N9" s="1132"/>
      <c r="O9" s="1132"/>
      <c r="P9" s="3171" t="s">
        <v>2554</v>
      </c>
      <c r="Q9" s="1794" t="str">
        <f t="shared" ref="Q9:Q14" si="6">B9</f>
        <v>用途</v>
      </c>
      <c r="R9" s="770" t="s">
        <v>17</v>
      </c>
      <c r="S9" s="771">
        <f t="shared" si="0"/>
        <v>100</v>
      </c>
      <c r="T9" s="770" t="s">
        <v>17</v>
      </c>
      <c r="U9" s="771">
        <f t="shared" si="1"/>
        <v>100</v>
      </c>
      <c r="V9" s="770" t="s">
        <v>17</v>
      </c>
      <c r="W9" s="771">
        <f t="shared" si="2"/>
        <v>100</v>
      </c>
      <c r="X9" s="772"/>
      <c r="Y9" s="3014" t="s">
        <v>2555</v>
      </c>
      <c r="Z9" s="55" t="str">
        <f t="shared" ref="Z9:Z14" si="7">Q9</f>
        <v>用途</v>
      </c>
      <c r="AA9" s="773">
        <f t="shared" si="3"/>
        <v>1</v>
      </c>
      <c r="AB9" s="773">
        <f t="shared" si="4"/>
        <v>1</v>
      </c>
      <c r="AC9" s="773">
        <f t="shared" si="5"/>
        <v>1</v>
      </c>
    </row>
    <row r="10" spans="1:29" s="427" customFormat="1" ht="27">
      <c r="A10" s="641"/>
      <c r="B10" s="642" t="s">
        <v>2556</v>
      </c>
      <c r="C10" s="423"/>
      <c r="D10" s="135">
        <v>100</v>
      </c>
      <c r="E10" s="423"/>
      <c r="F10" s="135">
        <f>SUMIF(55:55,E10,56:56)-SUMIF(55:55,C10,56:56)+100</f>
        <v>100</v>
      </c>
      <c r="G10" s="424"/>
      <c r="H10" s="135">
        <f>SUMIF(55:55,G10,56:56)-SUMIF(55:55,C10,56:56)+100</f>
        <v>100</v>
      </c>
      <c r="I10" s="423"/>
      <c r="J10" s="135">
        <f>SUMIF(55:55,I10,56:56)-SUMIF(55:55,C10,56:56)+100</f>
        <v>100</v>
      </c>
      <c r="K10" s="612"/>
      <c r="L10" s="1134"/>
      <c r="M10" s="1135"/>
      <c r="N10" s="1135"/>
      <c r="O10" s="1135"/>
      <c r="P10" s="3171"/>
      <c r="Q10" s="179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7"/>
      <c r="M11" s="1130"/>
      <c r="N11" s="1130"/>
      <c r="O11" s="1130"/>
      <c r="P11" s="3171"/>
      <c r="Q11" s="1794">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1"/>
      <c r="M12" s="1132"/>
      <c r="N12" s="1132"/>
      <c r="O12" s="1132"/>
      <c r="P12" s="3171"/>
      <c r="Q12" s="179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9"/>
      <c r="M13" s="1130"/>
      <c r="N13" s="1130"/>
      <c r="O13" s="1130"/>
      <c r="P13" s="3171"/>
      <c r="Q13" s="179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2558</v>
      </c>
      <c r="B14" s="629" t="s">
        <v>2708</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73" t="s">
        <v>2559</v>
      </c>
      <c r="Q14" s="1809" t="str">
        <f t="shared" si="6"/>
        <v>交通便捷度</v>
      </c>
      <c r="R14" s="774" t="s">
        <v>17</v>
      </c>
      <c r="S14" s="775">
        <f t="shared" si="0"/>
        <v>100</v>
      </c>
      <c r="T14" s="774" t="s">
        <v>17</v>
      </c>
      <c r="U14" s="775">
        <f t="shared" si="1"/>
        <v>100</v>
      </c>
      <c r="V14" s="774" t="s">
        <v>17</v>
      </c>
      <c r="W14" s="775">
        <f t="shared" si="2"/>
        <v>100</v>
      </c>
      <c r="X14" s="1812"/>
      <c r="Y14" s="3173"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74"/>
      <c r="Q15" s="1809"/>
      <c r="R15" s="774"/>
      <c r="S15" s="775"/>
      <c r="T15" s="774"/>
      <c r="U15" s="775"/>
      <c r="V15" s="774"/>
      <c r="W15" s="775"/>
      <c r="X15" s="1812"/>
      <c r="Y15" s="3174"/>
      <c r="Z15" s="1813"/>
      <c r="AA15" s="1810">
        <v>1</v>
      </c>
      <c r="AB15" s="1810">
        <v>1</v>
      </c>
      <c r="AC15" s="1810">
        <v>1</v>
      </c>
    </row>
    <row r="16" spans="1:29" ht="42.75">
      <c r="A16" s="404"/>
      <c r="B16" s="631" t="s">
        <v>2687</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74"/>
      <c r="Q16" s="1809" t="str">
        <f>B16</f>
        <v>公共配套设施</v>
      </c>
      <c r="R16" s="774" t="s">
        <v>17</v>
      </c>
      <c r="S16" s="775">
        <f>F16</f>
        <v>100</v>
      </c>
      <c r="T16" s="774" t="s">
        <v>17</v>
      </c>
      <c r="U16" s="775">
        <f>H16</f>
        <v>100</v>
      </c>
      <c r="V16" s="774" t="s">
        <v>17</v>
      </c>
      <c r="W16" s="775">
        <f>J16</f>
        <v>100</v>
      </c>
      <c r="X16" s="1812"/>
      <c r="Y16" s="3174"/>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39"/>
      <c r="M17" s="1130"/>
      <c r="N17" s="1130"/>
      <c r="O17" s="1130"/>
      <c r="P17" s="3174"/>
      <c r="Q17" s="1809"/>
      <c r="R17" s="774"/>
      <c r="S17" s="775"/>
      <c r="T17" s="774"/>
      <c r="U17" s="775"/>
      <c r="V17" s="774"/>
      <c r="W17" s="775"/>
      <c r="X17" s="1812"/>
      <c r="Y17" s="3174"/>
      <c r="Z17" s="1813"/>
      <c r="AA17" s="1810">
        <v>1</v>
      </c>
      <c r="AB17" s="1810">
        <v>1</v>
      </c>
      <c r="AC17" s="1810">
        <v>1</v>
      </c>
    </row>
    <row r="18" spans="1:29" ht="28.5">
      <c r="A18" s="404"/>
      <c r="B18" s="633" t="s">
        <v>2688</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74"/>
      <c r="Q18" s="1809" t="str">
        <f>B18</f>
        <v>基础设施水平</v>
      </c>
      <c r="R18" s="774" t="s">
        <v>17</v>
      </c>
      <c r="S18" s="775">
        <f>F18</f>
        <v>100</v>
      </c>
      <c r="T18" s="774" t="s">
        <v>17</v>
      </c>
      <c r="U18" s="775">
        <f>H18</f>
        <v>100</v>
      </c>
      <c r="V18" s="774" t="s">
        <v>17</v>
      </c>
      <c r="W18" s="775">
        <f>J18</f>
        <v>100</v>
      </c>
      <c r="X18" s="1812"/>
      <c r="Y18" s="3174"/>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2"/>
      <c r="L19" s="1139"/>
      <c r="M19" s="1130"/>
      <c r="N19" s="1130"/>
      <c r="O19" s="1130"/>
      <c r="P19" s="3174"/>
      <c r="Q19" s="1809"/>
      <c r="R19" s="774"/>
      <c r="S19" s="775"/>
      <c r="T19" s="774"/>
      <c r="U19" s="775"/>
      <c r="V19" s="774"/>
      <c r="W19" s="775"/>
      <c r="X19" s="1812"/>
      <c r="Y19" s="3174"/>
      <c r="Z19" s="1813"/>
      <c r="AA19" s="1810">
        <v>1</v>
      </c>
      <c r="AB19" s="1810">
        <v>1</v>
      </c>
      <c r="AC19" s="1810">
        <v>1</v>
      </c>
    </row>
    <row r="20" spans="1:29" ht="57">
      <c r="A20" s="404"/>
      <c r="B20" s="631" t="s">
        <v>2709</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74"/>
      <c r="Q20" s="1809" t="str">
        <f>B20</f>
        <v>自然及人文环境</v>
      </c>
      <c r="R20" s="774" t="s">
        <v>17</v>
      </c>
      <c r="S20" s="775">
        <f>F20</f>
        <v>100</v>
      </c>
      <c r="T20" s="774" t="s">
        <v>17</v>
      </c>
      <c r="U20" s="775">
        <f>H20</f>
        <v>100</v>
      </c>
      <c r="V20" s="774" t="s">
        <v>17</v>
      </c>
      <c r="W20" s="775">
        <f>J20</f>
        <v>100</v>
      </c>
      <c r="X20" s="1812"/>
      <c r="Y20" s="317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74"/>
      <c r="Q21" s="1809"/>
      <c r="R21" s="774"/>
      <c r="S21" s="775"/>
      <c r="T21" s="774"/>
      <c r="U21" s="775"/>
      <c r="V21" s="774"/>
      <c r="W21" s="775"/>
      <c r="X21" s="1812"/>
      <c r="Y21" s="3174"/>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74"/>
      <c r="Q22" s="1809" t="str">
        <f>B22</f>
        <v>楼层</v>
      </c>
      <c r="R22" s="774" t="s">
        <v>17</v>
      </c>
      <c r="S22" s="775">
        <f>F22</f>
        <v>100</v>
      </c>
      <c r="T22" s="774" t="s">
        <v>17</v>
      </c>
      <c r="U22" s="775">
        <f>H22</f>
        <v>100</v>
      </c>
      <c r="V22" s="774" t="s">
        <v>17</v>
      </c>
      <c r="W22" s="775">
        <f>J22</f>
        <v>100</v>
      </c>
      <c r="X22" s="1812"/>
      <c r="Y22" s="317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74"/>
      <c r="Q23" s="1809">
        <f>B23</f>
        <v>111</v>
      </c>
      <c r="R23" s="774" t="s">
        <v>17</v>
      </c>
      <c r="S23" s="775">
        <f>F23</f>
        <v>100</v>
      </c>
      <c r="T23" s="774" t="s">
        <v>17</v>
      </c>
      <c r="U23" s="775">
        <f>H23</f>
        <v>100</v>
      </c>
      <c r="V23" s="774" t="s">
        <v>17</v>
      </c>
      <c r="W23" s="775">
        <f>J23</f>
        <v>100</v>
      </c>
      <c r="X23" s="1812"/>
      <c r="Y23" s="317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74"/>
      <c r="Q24" s="1809">
        <f t="shared" ref="Q24:Q36" si="11">B24</f>
        <v>111</v>
      </c>
      <c r="R24" s="774" t="s">
        <v>17</v>
      </c>
      <c r="S24" s="775">
        <f>F24</f>
        <v>100</v>
      </c>
      <c r="T24" s="774" t="s">
        <v>17</v>
      </c>
      <c r="U24" s="775">
        <f>H24</f>
        <v>100</v>
      </c>
      <c r="V24" s="774" t="s">
        <v>17</v>
      </c>
      <c r="W24" s="775">
        <f>J24</f>
        <v>100</v>
      </c>
      <c r="X24" s="1812"/>
      <c r="Y24" s="317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74"/>
      <c r="Q25" s="1794">
        <f t="shared" si="11"/>
        <v>111</v>
      </c>
      <c r="R25" s="770" t="s">
        <v>17</v>
      </c>
      <c r="S25" s="771">
        <f>F25</f>
        <v>100</v>
      </c>
      <c r="T25" s="770" t="s">
        <v>17</v>
      </c>
      <c r="U25" s="771">
        <f>H25</f>
        <v>100</v>
      </c>
      <c r="V25" s="770" t="s">
        <v>17</v>
      </c>
      <c r="W25" s="771">
        <f>J25</f>
        <v>100</v>
      </c>
      <c r="X25" s="772"/>
      <c r="Y25" s="3174"/>
      <c r="Z25" s="55">
        <f>Q25</f>
        <v>111</v>
      </c>
      <c r="AA25" s="1810">
        <f>D25/F25</f>
        <v>1</v>
      </c>
      <c r="AB25" s="1810">
        <f>D25/H25</f>
        <v>1</v>
      </c>
      <c r="AC25" s="1810">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175"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6"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5">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76"/>
      <c r="Q28" s="1809" t="str">
        <f t="shared" si="11"/>
        <v>公共部分装修</v>
      </c>
      <c r="R28" s="774" t="s">
        <v>17</v>
      </c>
      <c r="S28" s="775">
        <f t="shared" si="12"/>
        <v>100</v>
      </c>
      <c r="T28" s="774" t="s">
        <v>17</v>
      </c>
      <c r="U28" s="775">
        <f t="shared" si="13"/>
        <v>100</v>
      </c>
      <c r="V28" s="774" t="s">
        <v>17</v>
      </c>
      <c r="W28" s="775">
        <f t="shared" si="14"/>
        <v>100</v>
      </c>
      <c r="X28" s="1812"/>
      <c r="Y28" s="3176"/>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76"/>
      <c r="Q29" s="1809" t="str">
        <f t="shared" si="11"/>
        <v>成新率</v>
      </c>
      <c r="R29" s="774" t="s">
        <v>17</v>
      </c>
      <c r="S29" s="775" t="e">
        <f t="shared" si="12"/>
        <v>#N/A</v>
      </c>
      <c r="T29" s="774" t="s">
        <v>17</v>
      </c>
      <c r="U29" s="775" t="e">
        <f t="shared" si="13"/>
        <v>#N/A</v>
      </c>
      <c r="V29" s="774" t="s">
        <v>17</v>
      </c>
      <c r="W29" s="775" t="e">
        <f t="shared" si="14"/>
        <v>#N/A</v>
      </c>
      <c r="X29" s="1812"/>
      <c r="Y29" s="3176"/>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76"/>
      <c r="Q30" s="1809" t="str">
        <f t="shared" si="11"/>
        <v>物业等级</v>
      </c>
      <c r="R30" s="774" t="s">
        <v>17</v>
      </c>
      <c r="S30" s="775">
        <f t="shared" si="12"/>
        <v>100</v>
      </c>
      <c r="T30" s="774" t="s">
        <v>17</v>
      </c>
      <c r="U30" s="775">
        <f t="shared" si="13"/>
        <v>100</v>
      </c>
      <c r="V30" s="774" t="s">
        <v>17</v>
      </c>
      <c r="W30" s="775">
        <f t="shared" si="14"/>
        <v>100</v>
      </c>
      <c r="X30" s="1812"/>
      <c r="Y30" s="3176"/>
      <c r="Z30" s="1813" t="str">
        <f t="shared" si="15"/>
        <v>物业等级</v>
      </c>
      <c r="AA30" s="1810">
        <f t="shared" si="3"/>
        <v>1</v>
      </c>
      <c r="AB30" s="1810">
        <f t="shared" si="4"/>
        <v>1</v>
      </c>
      <c r="AC30" s="1810">
        <f t="shared" si="5"/>
        <v>1</v>
      </c>
    </row>
    <row r="31" spans="1:29" s="117" customFormat="1" ht="15">
      <c r="A31" s="658"/>
      <c r="B31" s="654" t="s">
        <v>2716</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76"/>
      <c r="Q31" s="1794"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76" t="s">
        <v>2564</v>
      </c>
      <c r="Q32" s="1809" t="str">
        <f t="shared" si="11"/>
        <v>车位类型</v>
      </c>
      <c r="R32" s="774" t="s">
        <v>17</v>
      </c>
      <c r="S32" s="775">
        <f t="shared" si="12"/>
        <v>100</v>
      </c>
      <c r="T32" s="774" t="s">
        <v>17</v>
      </c>
      <c r="U32" s="775">
        <f t="shared" si="13"/>
        <v>100</v>
      </c>
      <c r="V32" s="774" t="s">
        <v>17</v>
      </c>
      <c r="W32" s="775">
        <f t="shared" si="14"/>
        <v>100</v>
      </c>
      <c r="X32" s="1812"/>
      <c r="Y32" s="3176"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76"/>
      <c r="Q33" s="1809" t="str">
        <f t="shared" si="11"/>
        <v>是否直接入户</v>
      </c>
      <c r="R33" s="774" t="s">
        <v>17</v>
      </c>
      <c r="S33" s="775">
        <f t="shared" si="12"/>
        <v>100</v>
      </c>
      <c r="T33" s="774" t="s">
        <v>17</v>
      </c>
      <c r="U33" s="775">
        <f t="shared" si="13"/>
        <v>100</v>
      </c>
      <c r="V33" s="774" t="s">
        <v>17</v>
      </c>
      <c r="W33" s="775">
        <f t="shared" si="14"/>
        <v>100</v>
      </c>
      <c r="X33" s="1812"/>
      <c r="Y33" s="317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76"/>
      <c r="Q34" s="1809">
        <f t="shared" si="11"/>
        <v>111</v>
      </c>
      <c r="R34" s="774" t="s">
        <v>17</v>
      </c>
      <c r="S34" s="775">
        <f t="shared" si="12"/>
        <v>100</v>
      </c>
      <c r="T34" s="774" t="s">
        <v>17</v>
      </c>
      <c r="U34" s="775">
        <f t="shared" si="13"/>
        <v>100</v>
      </c>
      <c r="V34" s="774" t="s">
        <v>17</v>
      </c>
      <c r="W34" s="775">
        <f t="shared" si="14"/>
        <v>100</v>
      </c>
      <c r="X34" s="1812"/>
      <c r="Y34" s="317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76"/>
      <c r="Q36" s="1809">
        <f t="shared" si="11"/>
        <v>111</v>
      </c>
      <c r="R36" s="774" t="s">
        <v>17</v>
      </c>
      <c r="S36" s="775">
        <f t="shared" si="12"/>
        <v>100</v>
      </c>
      <c r="T36" s="774" t="s">
        <v>17</v>
      </c>
      <c r="U36" s="775">
        <f t="shared" si="13"/>
        <v>100</v>
      </c>
      <c r="V36" s="774" t="s">
        <v>17</v>
      </c>
      <c r="W36" s="775">
        <f t="shared" si="14"/>
        <v>100</v>
      </c>
      <c r="X36" s="1812"/>
      <c r="Y36" s="3176"/>
      <c r="Z36" s="1813">
        <f t="shared" si="15"/>
        <v>111</v>
      </c>
      <c r="AA36" s="1810">
        <f t="shared" si="3"/>
        <v>1</v>
      </c>
      <c r="AB36" s="1810">
        <f t="shared" si="4"/>
        <v>1</v>
      </c>
      <c r="AC36" s="1810">
        <f t="shared" si="5"/>
        <v>1</v>
      </c>
    </row>
    <row r="37" spans="1:29" ht="15">
      <c r="A37" s="479" t="s">
        <v>2719</v>
      </c>
      <c r="B37" s="2693" t="s">
        <v>2720</v>
      </c>
      <c r="C37" s="1406" t="s">
        <v>1</v>
      </c>
      <c r="D37" s="1407"/>
      <c r="E37" s="1408"/>
      <c r="F37" s="1409"/>
      <c r="G37" s="1410"/>
      <c r="H37" s="1411"/>
      <c r="I37" s="1408"/>
      <c r="J37" s="1411"/>
      <c r="K37" s="619"/>
      <c r="L37" s="1142"/>
      <c r="M37" s="1143"/>
      <c r="N37" s="1130"/>
      <c r="O37" s="1143"/>
      <c r="P37" s="3171" t="str">
        <f>A37</f>
        <v>成交单价</v>
      </c>
      <c r="Q37" s="3171"/>
      <c r="R37" s="3208">
        <f>E37</f>
        <v>0</v>
      </c>
      <c r="S37" s="3208"/>
      <c r="T37" s="3208">
        <f>G37</f>
        <v>0</v>
      </c>
      <c r="U37" s="3208"/>
      <c r="V37" s="3208">
        <f>I37</f>
        <v>0</v>
      </c>
      <c r="W37" s="3208"/>
      <c r="X37" s="759"/>
      <c r="Y37" s="781"/>
      <c r="Z37" s="759"/>
      <c r="AA37" s="759"/>
      <c r="AB37" s="759"/>
      <c r="AC37" s="759"/>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1" t="str">
        <f>A38</f>
        <v>比较价值（元/平方米）</v>
      </c>
      <c r="Q38" s="3171"/>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2722</v>
      </c>
      <c r="B39" s="493"/>
      <c r="C39" s="1416" t="e">
        <f>R39</f>
        <v>#DIV/0!</v>
      </c>
      <c r="D39" s="1416"/>
      <c r="E39" s="1416"/>
      <c r="F39" s="1416"/>
      <c r="G39" s="1416"/>
      <c r="H39" s="1416"/>
      <c r="I39" s="1416"/>
      <c r="J39" s="1416"/>
      <c r="K39" s="621"/>
      <c r="L39" s="1142"/>
      <c r="M39" s="1143"/>
      <c r="N39" s="1143"/>
      <c r="O39" s="1143"/>
      <c r="P39" s="3165" t="str">
        <f>A39</f>
        <v>估价对象XX用房的比较价值（楼面单价，元/平方米）</v>
      </c>
      <c r="Q39" s="3166"/>
      <c r="R39" s="3209" t="e">
        <f>IF(F1="售价",ROUND(AVERAGE(R38:V38),0),ROUND(AVERAGE(R38:V38),1))</f>
        <v>#DIV/0!</v>
      </c>
      <c r="S39" s="3209"/>
      <c r="T39" s="3209"/>
      <c r="U39" s="3209"/>
      <c r="V39" s="3209"/>
      <c r="W39" s="3209"/>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2727</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2602</v>
      </c>
      <c r="C65" s="578" t="s">
        <v>2596</v>
      </c>
      <c r="D65" s="578" t="s">
        <v>2597</v>
      </c>
      <c r="E65" s="578" t="s">
        <v>2598</v>
      </c>
      <c r="F65" s="578" t="s">
        <v>2599</v>
      </c>
      <c r="G65" s="578" t="s">
        <v>2600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2688</v>
      </c>
      <c r="C67" s="660" t="s">
        <v>2674</v>
      </c>
      <c r="D67" s="660" t="s">
        <v>2675</v>
      </c>
      <c r="E67" s="660" t="s">
        <v>2676</v>
      </c>
      <c r="F67" s="660" t="s">
        <v>2677</v>
      </c>
      <c r="G67" s="660" t="s">
        <v>2678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2608</v>
      </c>
      <c r="C69" s="578" t="s">
        <v>2596</v>
      </c>
      <c r="D69" s="578" t="s">
        <v>2597</v>
      </c>
      <c r="E69" s="578" t="s">
        <v>2598</v>
      </c>
      <c r="F69" s="578" t="s">
        <v>2599</v>
      </c>
      <c r="G69" s="578" t="s">
        <v>2600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2"/>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4"/>
      <c r="D2" s="1123" t="e">
        <f ca="1">SUMIF(INDIRECT("'"&amp;F2&amp;"'"&amp;"!A:A"),"承租人权益价值",INDIRECT("'"&amp;F2&amp;"'"&amp;"!c:c"))</f>
        <v>#REF!</v>
      </c>
      <c r="E2" s="2585" t="s">
        <v>2327</v>
      </c>
      <c r="F2" s="2586"/>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168" t="s">
        <v>2645</v>
      </c>
      <c r="D4" s="3181"/>
      <c r="E4" s="3182" t="s">
        <v>2646</v>
      </c>
      <c r="F4" s="3183"/>
      <c r="G4" s="3168" t="s">
        <v>2647</v>
      </c>
      <c r="H4" s="3181"/>
      <c r="I4" s="3168" t="s">
        <v>2648</v>
      </c>
      <c r="J4" s="3181"/>
      <c r="K4" s="610" t="s">
        <v>2649</v>
      </c>
      <c r="L4" s="1129"/>
      <c r="M4" s="1130"/>
      <c r="N4" s="1130"/>
      <c r="O4" s="1130"/>
      <c r="P4" s="3184" t="s">
        <v>2650</v>
      </c>
      <c r="Q4" s="3185"/>
      <c r="R4" s="3190" t="s">
        <v>2646</v>
      </c>
      <c r="S4" s="3191"/>
      <c r="T4" s="3190" t="s">
        <v>2647</v>
      </c>
      <c r="U4" s="3191"/>
      <c r="V4" s="3177" t="s">
        <v>2648</v>
      </c>
      <c r="W4" s="3177"/>
      <c r="X4" s="1812"/>
      <c r="Y4" s="3190" t="s">
        <v>2650</v>
      </c>
      <c r="Z4" s="3191"/>
      <c r="AA4" s="3178" t="s">
        <v>2646</v>
      </c>
      <c r="AB4" s="3179" t="s">
        <v>2647</v>
      </c>
      <c r="AC4" s="3178" t="s">
        <v>2648</v>
      </c>
    </row>
    <row r="5" spans="1:29" ht="15">
      <c r="A5" s="404"/>
      <c r="B5" s="405"/>
      <c r="C5" s="3198" t="s">
        <v>2541</v>
      </c>
      <c r="D5" s="3199"/>
      <c r="E5" s="3205" t="s">
        <v>2542</v>
      </c>
      <c r="F5" s="3206"/>
      <c r="G5" s="3198" t="s">
        <v>2543</v>
      </c>
      <c r="H5" s="3199"/>
      <c r="I5" s="3198" t="s">
        <v>2544</v>
      </c>
      <c r="J5" s="3199"/>
      <c r="K5" s="610"/>
      <c r="L5" s="1129"/>
      <c r="M5" s="1130"/>
      <c r="N5" s="1130"/>
      <c r="O5" s="1130"/>
      <c r="P5" s="3186"/>
      <c r="Q5" s="3187"/>
      <c r="R5" s="3192"/>
      <c r="S5" s="3193"/>
      <c r="T5" s="3192"/>
      <c r="U5" s="3193"/>
      <c r="V5" s="3177"/>
      <c r="W5" s="3177"/>
      <c r="X5" s="1812"/>
      <c r="Y5" s="3192"/>
      <c r="Z5" s="3193"/>
      <c r="AA5" s="3179"/>
      <c r="AB5" s="3179"/>
      <c r="AC5" s="3179"/>
    </row>
    <row r="6" spans="1:29" ht="15.75" thickBot="1">
      <c r="A6" s="406"/>
      <c r="B6" s="407"/>
      <c r="C6" s="3196" t="s">
        <v>2545</v>
      </c>
      <c r="D6" s="3197"/>
      <c r="E6" s="3203" t="s">
        <v>2545</v>
      </c>
      <c r="F6" s="3204"/>
      <c r="G6" s="3196" t="s">
        <v>2545</v>
      </c>
      <c r="H6" s="3197"/>
      <c r="I6" s="3196" t="s">
        <v>2545</v>
      </c>
      <c r="J6" s="3197"/>
      <c r="K6" s="610" t="s">
        <v>2546</v>
      </c>
      <c r="L6" s="1129"/>
      <c r="M6" s="1130"/>
      <c r="N6" s="1130"/>
      <c r="O6" s="1130"/>
      <c r="P6" s="3188"/>
      <c r="Q6" s="3189"/>
      <c r="R6" s="3192"/>
      <c r="S6" s="3193"/>
      <c r="T6" s="3194"/>
      <c r="U6" s="3195"/>
      <c r="V6" s="3177"/>
      <c r="W6" s="3177"/>
      <c r="X6" s="1812"/>
      <c r="Y6" s="3194"/>
      <c r="Z6" s="3195"/>
      <c r="AA6" s="3180"/>
      <c r="AB6" s="3180"/>
      <c r="AC6" s="3180"/>
    </row>
    <row r="7" spans="1:29" s="117" customFormat="1" ht="15.75" thickBot="1">
      <c r="A7" s="408" t="s">
        <v>2547</v>
      </c>
      <c r="B7" s="409"/>
      <c r="C7" s="410">
        <f>'数据-取费表'!B2</f>
        <v>43076</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00" t="s">
        <v>2548</v>
      </c>
      <c r="Q7" s="3202"/>
      <c r="R7" s="770" t="s">
        <v>17</v>
      </c>
      <c r="S7" s="771">
        <f t="shared" ref="S7:S14" si="0">F7</f>
        <v>0</v>
      </c>
      <c r="T7" s="770" t="s">
        <v>17</v>
      </c>
      <c r="U7" s="771">
        <f t="shared" ref="U7:U14" si="1">H7</f>
        <v>0</v>
      </c>
      <c r="V7" s="770" t="s">
        <v>17</v>
      </c>
      <c r="W7" s="771">
        <f t="shared" ref="W7:W14" si="2">J7</f>
        <v>0</v>
      </c>
      <c r="X7" s="772"/>
      <c r="Y7" s="3200" t="s">
        <v>2548</v>
      </c>
      <c r="Z7" s="320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0" t="s">
        <v>2551</v>
      </c>
      <c r="Q8" s="3201"/>
      <c r="R8" s="770" t="s">
        <v>17</v>
      </c>
      <c r="S8" s="771">
        <f t="shared" si="0"/>
        <v>0</v>
      </c>
      <c r="T8" s="770" t="s">
        <v>17</v>
      </c>
      <c r="U8" s="771">
        <f t="shared" si="1"/>
        <v>0</v>
      </c>
      <c r="V8" s="770" t="s">
        <v>17</v>
      </c>
      <c r="W8" s="771">
        <f t="shared" si="2"/>
        <v>0</v>
      </c>
      <c r="X8" s="772"/>
      <c r="Y8" s="3200" t="s">
        <v>2551</v>
      </c>
      <c r="Z8" s="3201"/>
      <c r="AA8" s="773" t="e">
        <f t="shared" ref="AA8:AA34" si="3">D8/F8</f>
        <v>#DIV/0!</v>
      </c>
      <c r="AB8" s="773" t="e">
        <f t="shared" ref="AB8:AB34" si="4">D8/H8</f>
        <v>#DIV/0!</v>
      </c>
      <c r="AC8" s="773" t="e">
        <f t="shared" ref="AC8:AC34" si="5">D8/J8</f>
        <v>#DIV/0!</v>
      </c>
    </row>
    <row r="9" spans="1:29" s="117" customFormat="1">
      <c r="A9" s="415" t="s">
        <v>2552</v>
      </c>
      <c r="B9" s="71" t="s">
        <v>2553</v>
      </c>
      <c r="C9" s="416"/>
      <c r="D9" s="134">
        <v>100</v>
      </c>
      <c r="E9" s="419"/>
      <c r="F9" s="418">
        <f>SUMIF(51:51,E9,52:52)-SUMIF(51:51,C9,52:52)+100</f>
        <v>100</v>
      </c>
      <c r="G9" s="419"/>
      <c r="H9" s="134">
        <f>SUMIF(51:51,G9,52:52)-SUMIF(51:51,C9,52:52)+100</f>
        <v>100</v>
      </c>
      <c r="I9" s="419"/>
      <c r="J9" s="134">
        <f>SUMIF(51:51,I9,52:52)-SUMIF(51:51,C9,52:52)+100</f>
        <v>100</v>
      </c>
      <c r="K9" s="611"/>
      <c r="L9" s="1131"/>
      <c r="M9" s="1132"/>
      <c r="N9" s="1132"/>
      <c r="O9" s="1133"/>
      <c r="P9" s="3171" t="s">
        <v>2554</v>
      </c>
      <c r="Q9" s="1794" t="str">
        <f t="shared" ref="Q9:Q14" si="6">B9</f>
        <v>用途</v>
      </c>
      <c r="R9" s="770" t="s">
        <v>17</v>
      </c>
      <c r="S9" s="771">
        <f t="shared" si="0"/>
        <v>100</v>
      </c>
      <c r="T9" s="770" t="s">
        <v>17</v>
      </c>
      <c r="U9" s="771">
        <f t="shared" si="1"/>
        <v>100</v>
      </c>
      <c r="V9" s="770" t="s">
        <v>17</v>
      </c>
      <c r="W9" s="771">
        <f t="shared" si="2"/>
        <v>100</v>
      </c>
      <c r="X9" s="772"/>
      <c r="Y9" s="3014" t="s">
        <v>2555</v>
      </c>
      <c r="Z9" s="55" t="str">
        <f t="shared" ref="Z9:Z14" si="7">Q9</f>
        <v>用途</v>
      </c>
      <c r="AA9" s="773">
        <f t="shared" si="3"/>
        <v>1</v>
      </c>
      <c r="AB9" s="773">
        <f t="shared" si="4"/>
        <v>1</v>
      </c>
      <c r="AC9" s="773">
        <f t="shared" si="5"/>
        <v>1</v>
      </c>
    </row>
    <row r="10" spans="1:29" s="427" customFormat="1" ht="27">
      <c r="A10" s="421"/>
      <c r="B10" s="422" t="s">
        <v>2556</v>
      </c>
      <c r="C10" s="423"/>
      <c r="D10" s="135">
        <v>100</v>
      </c>
      <c r="E10" s="423"/>
      <c r="F10" s="425">
        <f>SUMIF(53:53,E10,54:54)-SUMIF(53:53,C10,54:54)+100</f>
        <v>100</v>
      </c>
      <c r="G10" s="423"/>
      <c r="H10" s="135">
        <f>SUMIF(53:53,G10,54:54)-SUMIF(53:53,C10,54:54)+100</f>
        <v>100</v>
      </c>
      <c r="I10" s="423"/>
      <c r="J10" s="135">
        <f>SUMIF(53:53,I10,54:54)-SUMIF(53:53,C10,54:54)+100</f>
        <v>100</v>
      </c>
      <c r="K10" s="612"/>
      <c r="L10" s="1134"/>
      <c r="M10" s="1135"/>
      <c r="N10" s="1135"/>
      <c r="O10" s="1136"/>
      <c r="P10" s="3171"/>
      <c r="Q10" s="179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598">
        <v>111</v>
      </c>
      <c r="C11" s="432"/>
      <c r="D11" s="135">
        <v>100</v>
      </c>
      <c r="E11" s="469"/>
      <c r="F11" s="425">
        <f>SUMIF(55:55,E11,56:56)-SUMIF(55:55,C11,56:56)+100</f>
        <v>100</v>
      </c>
      <c r="G11" s="469"/>
      <c r="H11" s="135">
        <f>SUMIF(55:55,G11,56:56)-SUMIF(55:55,C11,56:56)+100</f>
        <v>100</v>
      </c>
      <c r="I11" s="469"/>
      <c r="J11" s="135">
        <f>SUMIF(55:55,I11,56:56)-SUMIF(55:55,C11,56:56)+100</f>
        <v>100</v>
      </c>
      <c r="K11" s="613"/>
      <c r="L11" s="1137"/>
      <c r="M11" s="1130"/>
      <c r="N11" s="1130"/>
      <c r="O11" s="1138"/>
      <c r="P11" s="3171"/>
      <c r="Q11" s="1794">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5">
        <f>SUMIF(57:57,G12,58:58)-SUMIF(57:57,C12,58:58)+100</f>
        <v>100</v>
      </c>
      <c r="I12" s="469"/>
      <c r="J12" s="135">
        <f>SUMIF(57:57,I12,58:58)-SUMIF(57:57,C12,58:58)+100</f>
        <v>100</v>
      </c>
      <c r="K12" s="613"/>
      <c r="L12" s="1131"/>
      <c r="M12" s="1132"/>
      <c r="N12" s="1132"/>
      <c r="O12" s="1133"/>
      <c r="P12" s="3171"/>
      <c r="Q12" s="179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171"/>
      <c r="Q13" s="179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2558</v>
      </c>
      <c r="B14" s="69" t="s">
        <v>2708</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73" t="s">
        <v>2559</v>
      </c>
      <c r="Q14" s="1809" t="str">
        <f t="shared" si="6"/>
        <v>交通便捷度</v>
      </c>
      <c r="R14" s="774" t="s">
        <v>17</v>
      </c>
      <c r="S14" s="775">
        <f t="shared" si="0"/>
        <v>100</v>
      </c>
      <c r="T14" s="774" t="s">
        <v>17</v>
      </c>
      <c r="U14" s="775">
        <f t="shared" si="1"/>
        <v>100</v>
      </c>
      <c r="V14" s="774" t="s">
        <v>17</v>
      </c>
      <c r="W14" s="775">
        <f t="shared" si="2"/>
        <v>100</v>
      </c>
      <c r="X14" s="1812"/>
      <c r="Y14" s="3173"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74"/>
      <c r="Q15" s="1809"/>
      <c r="R15" s="774"/>
      <c r="S15" s="775"/>
      <c r="T15" s="774"/>
      <c r="U15" s="775"/>
      <c r="V15" s="774"/>
      <c r="W15" s="775"/>
      <c r="X15" s="1812"/>
      <c r="Y15" s="3174"/>
      <c r="Z15" s="1813"/>
      <c r="AA15" s="1810">
        <v>1</v>
      </c>
      <c r="AB15" s="1810">
        <v>1</v>
      </c>
      <c r="AC15" s="1810">
        <v>1</v>
      </c>
    </row>
    <row r="16" spans="1:29" ht="42.75">
      <c r="A16" s="428"/>
      <c r="B16" s="451" t="s">
        <v>2687</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74"/>
      <c r="Q16" s="1809" t="str">
        <f>B16</f>
        <v>公共配套设施</v>
      </c>
      <c r="R16" s="774" t="s">
        <v>17</v>
      </c>
      <c r="S16" s="775">
        <f>F16</f>
        <v>100</v>
      </c>
      <c r="T16" s="774" t="s">
        <v>17</v>
      </c>
      <c r="U16" s="775">
        <f>H16</f>
        <v>100</v>
      </c>
      <c r="V16" s="774" t="s">
        <v>17</v>
      </c>
      <c r="W16" s="775">
        <f>J16</f>
        <v>100</v>
      </c>
      <c r="X16" s="1812"/>
      <c r="Y16" s="3174"/>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39"/>
      <c r="M17" s="1130"/>
      <c r="N17" s="1130"/>
      <c r="O17" s="1138"/>
      <c r="P17" s="3174"/>
      <c r="Q17" s="1809"/>
      <c r="R17" s="774"/>
      <c r="S17" s="775"/>
      <c r="T17" s="774"/>
      <c r="U17" s="775"/>
      <c r="V17" s="774"/>
      <c r="W17" s="775"/>
      <c r="X17" s="1812"/>
      <c r="Y17" s="3174"/>
      <c r="Z17" s="1813"/>
      <c r="AA17" s="1810">
        <v>1</v>
      </c>
      <c r="AB17" s="1810">
        <v>1</v>
      </c>
      <c r="AC17" s="1810">
        <v>1</v>
      </c>
    </row>
    <row r="18" spans="1:29" ht="28.5">
      <c r="A18" s="428"/>
      <c r="B18" s="1383" t="s">
        <v>2688</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74"/>
      <c r="Q18" s="1809" t="str">
        <f>B18</f>
        <v>基础设施水平</v>
      </c>
      <c r="R18" s="774" t="s">
        <v>17</v>
      </c>
      <c r="S18" s="775">
        <f>F18</f>
        <v>100</v>
      </c>
      <c r="T18" s="774" t="s">
        <v>17</v>
      </c>
      <c r="U18" s="775">
        <f>H18</f>
        <v>100</v>
      </c>
      <c r="V18" s="774" t="s">
        <v>17</v>
      </c>
      <c r="W18" s="775">
        <f>J18</f>
        <v>100</v>
      </c>
      <c r="X18" s="1812"/>
      <c r="Y18" s="3174"/>
      <c r="Z18" s="1813" t="str">
        <f>Q18</f>
        <v>基础设施水平</v>
      </c>
      <c r="AA18" s="1810">
        <f t="shared" ref="AA18" si="8">D18/F18</f>
        <v>1</v>
      </c>
      <c r="AB18" s="1810">
        <f t="shared" ref="AB18" si="9">D18/H18</f>
        <v>1</v>
      </c>
      <c r="AC18" s="1810">
        <f t="shared" ref="AC18" si="10">D18/J18</f>
        <v>1</v>
      </c>
    </row>
    <row r="19" spans="1:29" ht="15">
      <c r="A19" s="428"/>
      <c r="B19" s="1383"/>
      <c r="C19" s="2606"/>
      <c r="D19" s="450"/>
      <c r="E19" s="2606"/>
      <c r="F19" s="453"/>
      <c r="G19" s="2606"/>
      <c r="H19" s="448"/>
      <c r="I19" s="447"/>
      <c r="J19" s="448"/>
      <c r="K19" s="1382"/>
      <c r="L19" s="1139"/>
      <c r="M19" s="1130"/>
      <c r="N19" s="1130"/>
      <c r="O19" s="1138"/>
      <c r="P19" s="3174"/>
      <c r="Q19" s="1809"/>
      <c r="R19" s="774"/>
      <c r="S19" s="775"/>
      <c r="T19" s="774"/>
      <c r="U19" s="775"/>
      <c r="V19" s="774"/>
      <c r="W19" s="775"/>
      <c r="X19" s="1812"/>
      <c r="Y19" s="3174"/>
      <c r="Z19" s="1813"/>
      <c r="AA19" s="1810">
        <v>1</v>
      </c>
      <c r="AB19" s="1810">
        <v>1</v>
      </c>
      <c r="AC19" s="1810">
        <v>1</v>
      </c>
    </row>
    <row r="20" spans="1:29" ht="57">
      <c r="A20" s="428"/>
      <c r="B20" s="451" t="s">
        <v>2709</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74"/>
      <c r="Q20" s="1809" t="str">
        <f>B20</f>
        <v>自然及人文环境</v>
      </c>
      <c r="R20" s="774" t="s">
        <v>17</v>
      </c>
      <c r="S20" s="775">
        <f>F20</f>
        <v>100</v>
      </c>
      <c r="T20" s="774" t="s">
        <v>17</v>
      </c>
      <c r="U20" s="775">
        <f>H20</f>
        <v>100</v>
      </c>
      <c r="V20" s="774" t="s">
        <v>17</v>
      </c>
      <c r="W20" s="775">
        <f>J20</f>
        <v>100</v>
      </c>
      <c r="X20" s="1812"/>
      <c r="Y20" s="317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74"/>
      <c r="Q21" s="1809"/>
      <c r="R21" s="774"/>
      <c r="S21" s="775"/>
      <c r="T21" s="774"/>
      <c r="U21" s="775"/>
      <c r="V21" s="774"/>
      <c r="W21" s="775"/>
      <c r="X21" s="1812"/>
      <c r="Y21" s="3174"/>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74"/>
      <c r="Q22" s="1809" t="str">
        <f>B22</f>
        <v>楼层</v>
      </c>
      <c r="R22" s="774" t="s">
        <v>17</v>
      </c>
      <c r="S22" s="775">
        <f>F22</f>
        <v>100</v>
      </c>
      <c r="T22" s="774" t="s">
        <v>17</v>
      </c>
      <c r="U22" s="775">
        <f>H22</f>
        <v>100</v>
      </c>
      <c r="V22" s="774" t="s">
        <v>17</v>
      </c>
      <c r="W22" s="775">
        <f>J22</f>
        <v>100</v>
      </c>
      <c r="X22" s="1812"/>
      <c r="Y22" s="3174"/>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74"/>
      <c r="Q23" s="1809">
        <f>B23</f>
        <v>111</v>
      </c>
      <c r="R23" s="774" t="s">
        <v>17</v>
      </c>
      <c r="S23" s="775">
        <f>F23</f>
        <v>100</v>
      </c>
      <c r="T23" s="774" t="s">
        <v>17</v>
      </c>
      <c r="U23" s="775">
        <f>H23</f>
        <v>100</v>
      </c>
      <c r="V23" s="774" t="s">
        <v>17</v>
      </c>
      <c r="W23" s="775">
        <f>J23</f>
        <v>100</v>
      </c>
      <c r="X23" s="1812"/>
      <c r="Y23" s="3174"/>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74"/>
      <c r="Q24" s="1809">
        <f t="shared" ref="Q24:Q34" si="11">B24</f>
        <v>111</v>
      </c>
      <c r="R24" s="774" t="s">
        <v>17</v>
      </c>
      <c r="S24" s="775">
        <f>F24</f>
        <v>100</v>
      </c>
      <c r="T24" s="774" t="s">
        <v>17</v>
      </c>
      <c r="U24" s="775">
        <f>H24</f>
        <v>100</v>
      </c>
      <c r="V24" s="774" t="s">
        <v>17</v>
      </c>
      <c r="W24" s="775">
        <f>J24</f>
        <v>100</v>
      </c>
      <c r="X24" s="1812"/>
      <c r="Y24" s="3174"/>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174"/>
      <c r="Q25" s="1794">
        <f t="shared" si="11"/>
        <v>111</v>
      </c>
      <c r="R25" s="770" t="s">
        <v>17</v>
      </c>
      <c r="S25" s="771">
        <f>F25</f>
        <v>100</v>
      </c>
      <c r="T25" s="770" t="s">
        <v>17</v>
      </c>
      <c r="U25" s="771">
        <f>H25</f>
        <v>100</v>
      </c>
      <c r="V25" s="770" t="s">
        <v>17</v>
      </c>
      <c r="W25" s="771">
        <f>J25</f>
        <v>100</v>
      </c>
      <c r="X25" s="772"/>
      <c r="Y25" s="3174"/>
      <c r="Z25" s="55">
        <f>Q25</f>
        <v>111</v>
      </c>
      <c r="AA25" s="1810">
        <f>D25/F25</f>
        <v>1</v>
      </c>
      <c r="AB25" s="1810">
        <f>D25/H25</f>
        <v>1</v>
      </c>
      <c r="AC25" s="1810">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175"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6"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76"/>
      <c r="Q28" s="1809" t="str">
        <f t="shared" si="11"/>
        <v>物业等级</v>
      </c>
      <c r="R28" s="774" t="s">
        <v>17</v>
      </c>
      <c r="S28" s="775">
        <f t="shared" si="12"/>
        <v>100</v>
      </c>
      <c r="T28" s="774" t="s">
        <v>17</v>
      </c>
      <c r="U28" s="775">
        <f t="shared" si="13"/>
        <v>100</v>
      </c>
      <c r="V28" s="774" t="s">
        <v>17</v>
      </c>
      <c r="W28" s="775">
        <f t="shared" si="14"/>
        <v>100</v>
      </c>
      <c r="X28" s="1812"/>
      <c r="Y28" s="3176"/>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76"/>
      <c r="Q29" s="1809" t="str">
        <f t="shared" si="11"/>
        <v>有无电梯</v>
      </c>
      <c r="R29" s="774" t="s">
        <v>17</v>
      </c>
      <c r="S29" s="775">
        <f t="shared" si="12"/>
        <v>100</v>
      </c>
      <c r="T29" s="774" t="s">
        <v>17</v>
      </c>
      <c r="U29" s="775">
        <f t="shared" si="13"/>
        <v>100</v>
      </c>
      <c r="V29" s="774" t="s">
        <v>17</v>
      </c>
      <c r="W29" s="775">
        <f t="shared" si="14"/>
        <v>100</v>
      </c>
      <c r="X29" s="1812"/>
      <c r="Y29" s="3176"/>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76"/>
      <c r="Q30" s="1809" t="str">
        <f t="shared" si="11"/>
        <v>建筑面积</v>
      </c>
      <c r="R30" s="774" t="s">
        <v>17</v>
      </c>
      <c r="S30" s="775" t="e">
        <f t="shared" si="12"/>
        <v>#N/A</v>
      </c>
      <c r="T30" s="774" t="s">
        <v>17</v>
      </c>
      <c r="U30" s="775" t="e">
        <f t="shared" si="13"/>
        <v>#N/A</v>
      </c>
      <c r="V30" s="774" t="s">
        <v>17</v>
      </c>
      <c r="W30" s="775" t="e">
        <f t="shared" si="14"/>
        <v>#N/A</v>
      </c>
      <c r="X30" s="1812"/>
      <c r="Y30" s="3176"/>
      <c r="Z30" s="1813" t="str">
        <f t="shared" si="15"/>
        <v>建筑面积</v>
      </c>
      <c r="AA30" s="1810" t="e">
        <f t="shared" si="3"/>
        <v>#N/A</v>
      </c>
      <c r="AB30" s="1810" t="e">
        <f t="shared" si="4"/>
        <v>#N/A</v>
      </c>
      <c r="AC30" s="1810" t="e">
        <f t="shared" si="5"/>
        <v>#N/A</v>
      </c>
    </row>
    <row r="31" spans="1:29" s="117" customFormat="1" ht="15">
      <c r="A31" s="473"/>
      <c r="B31" s="422" t="s">
        <v>2738</v>
      </c>
      <c r="C31" s="657"/>
      <c r="D31" s="135">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76"/>
      <c r="Q31" s="1794"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76" t="s">
        <v>2564</v>
      </c>
      <c r="Q32" s="1809">
        <f t="shared" si="11"/>
        <v>111</v>
      </c>
      <c r="R32" s="774" t="s">
        <v>17</v>
      </c>
      <c r="S32" s="775">
        <f t="shared" si="12"/>
        <v>100</v>
      </c>
      <c r="T32" s="774" t="s">
        <v>17</v>
      </c>
      <c r="U32" s="775">
        <f t="shared" si="13"/>
        <v>100</v>
      </c>
      <c r="V32" s="774" t="s">
        <v>17</v>
      </c>
      <c r="W32" s="775">
        <f t="shared" si="14"/>
        <v>100</v>
      </c>
      <c r="X32" s="1812"/>
      <c r="Y32" s="3176" t="s">
        <v>2564</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76"/>
      <c r="Q33" s="1809">
        <f t="shared" si="11"/>
        <v>111</v>
      </c>
      <c r="R33" s="774" t="s">
        <v>17</v>
      </c>
      <c r="S33" s="775">
        <f t="shared" si="12"/>
        <v>100</v>
      </c>
      <c r="T33" s="774" t="s">
        <v>17</v>
      </c>
      <c r="U33" s="775">
        <f t="shared" si="13"/>
        <v>100</v>
      </c>
      <c r="V33" s="774" t="s">
        <v>17</v>
      </c>
      <c r="W33" s="775">
        <f t="shared" si="14"/>
        <v>100</v>
      </c>
      <c r="X33" s="1812"/>
      <c r="Y33" s="3176"/>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176"/>
      <c r="Q34" s="1809">
        <f t="shared" si="11"/>
        <v>111</v>
      </c>
      <c r="R34" s="774" t="s">
        <v>17</v>
      </c>
      <c r="S34" s="775">
        <f t="shared" si="12"/>
        <v>100</v>
      </c>
      <c r="T34" s="774" t="s">
        <v>17</v>
      </c>
      <c r="U34" s="775">
        <f t="shared" si="13"/>
        <v>100</v>
      </c>
      <c r="V34" s="774" t="s">
        <v>17</v>
      </c>
      <c r="W34" s="775">
        <f t="shared" si="14"/>
        <v>100</v>
      </c>
      <c r="X34" s="1812"/>
      <c r="Y34" s="3176"/>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3"/>
      <c r="L35" s="1142"/>
      <c r="M35" s="1143"/>
      <c r="N35" s="1130"/>
      <c r="O35" s="1143"/>
      <c r="P35" s="3171" t="str">
        <f>A35</f>
        <v>成交单价（元/平方米）</v>
      </c>
      <c r="Q35" s="3171"/>
      <c r="R35" s="3208">
        <f>E35</f>
        <v>0</v>
      </c>
      <c r="S35" s="3208"/>
      <c r="T35" s="3208">
        <f>G35</f>
        <v>0</v>
      </c>
      <c r="U35" s="3208"/>
      <c r="V35" s="3208">
        <f>I35</f>
        <v>0</v>
      </c>
      <c r="W35" s="3208"/>
      <c r="X35" s="759"/>
      <c r="Y35" s="781"/>
      <c r="Z35" s="759"/>
      <c r="AA35" s="759"/>
      <c r="AB35" s="759"/>
      <c r="AC35" s="759"/>
    </row>
    <row r="36" spans="1:29" ht="15.75" thickBot="1">
      <c r="A36" s="486" t="s">
        <v>2668</v>
      </c>
      <c r="B36" s="487"/>
      <c r="C36" s="1412" t="e">
        <f>R37</f>
        <v>#DIV/0!</v>
      </c>
      <c r="D36" s="1413"/>
      <c r="E36" s="1414" t="e">
        <f>R36</f>
        <v>#DIV/0!</v>
      </c>
      <c r="F36" s="1414"/>
      <c r="G36" s="1412" t="e">
        <f>T36</f>
        <v>#DIV/0!</v>
      </c>
      <c r="H36" s="1413"/>
      <c r="I36" s="1414" t="e">
        <f>V36</f>
        <v>#DIV/0!</v>
      </c>
      <c r="J36" s="1413"/>
      <c r="K36" s="784"/>
      <c r="L36" s="1142"/>
      <c r="M36" s="1143"/>
      <c r="N36" s="1130"/>
      <c r="O36" s="1143"/>
      <c r="P36" s="3171" t="str">
        <f>A36</f>
        <v>比较价值（元/平方米）</v>
      </c>
      <c r="Q36" s="3171"/>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2669</v>
      </c>
      <c r="B37" s="493"/>
      <c r="C37" s="1416" t="e">
        <f>R37</f>
        <v>#DIV/0!</v>
      </c>
      <c r="D37" s="1416"/>
      <c r="E37" s="1416"/>
      <c r="F37" s="1416"/>
      <c r="G37" s="1416"/>
      <c r="H37" s="1416"/>
      <c r="I37" s="1416"/>
      <c r="J37" s="1416"/>
      <c r="K37" s="785"/>
      <c r="L37" s="1142"/>
      <c r="M37" s="1143"/>
      <c r="N37" s="1143"/>
      <c r="O37" s="1143"/>
      <c r="P37" s="3165" t="str">
        <f>A37</f>
        <v>估价对象XX用房的比较价值（楼面单价，元/平方米）</v>
      </c>
      <c r="Q37" s="3166"/>
      <c r="R37" s="3209" t="e">
        <f>IF(F1="售价",ROUND(AVERAGE(R36:V36),0),ROUND(AVERAGE(R36:V36),1))</f>
        <v>#DIV/0!</v>
      </c>
      <c r="S37" s="3209"/>
      <c r="T37" s="3209"/>
      <c r="U37" s="3209"/>
      <c r="V37" s="3209"/>
      <c r="W37" s="3209"/>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2587</v>
      </c>
      <c r="B51" s="528" t="s">
        <v>2553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2562</v>
      </c>
      <c r="B77" s="528" t="s">
        <v>2615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2792</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168" t="s">
        <v>2645</v>
      </c>
      <c r="D4" s="3181"/>
      <c r="E4" s="3182" t="s">
        <v>2646</v>
      </c>
      <c r="F4" s="3183"/>
      <c r="G4" s="3168" t="s">
        <v>2647</v>
      </c>
      <c r="H4" s="3181"/>
      <c r="I4" s="3168" t="s">
        <v>2648</v>
      </c>
      <c r="J4" s="3181"/>
      <c r="K4" s="610" t="s">
        <v>2649</v>
      </c>
      <c r="L4" s="1129"/>
      <c r="M4" s="1130"/>
      <c r="N4" s="1130"/>
      <c r="O4" s="1130"/>
      <c r="P4" s="3184" t="s">
        <v>2650</v>
      </c>
      <c r="Q4" s="3185"/>
      <c r="R4" s="3190" t="s">
        <v>2646</v>
      </c>
      <c r="S4" s="3191"/>
      <c r="T4" s="3190" t="s">
        <v>2647</v>
      </c>
      <c r="U4" s="3191"/>
      <c r="V4" s="3177" t="s">
        <v>2648</v>
      </c>
      <c r="W4" s="3177"/>
      <c r="X4" s="1812"/>
      <c r="Y4" s="3190" t="s">
        <v>2650</v>
      </c>
      <c r="Z4" s="3191"/>
      <c r="AA4" s="3178" t="s">
        <v>2646</v>
      </c>
      <c r="AB4" s="3179" t="s">
        <v>2647</v>
      </c>
      <c r="AC4" s="3178" t="s">
        <v>2648</v>
      </c>
    </row>
    <row r="5" spans="1:29" ht="15">
      <c r="A5" s="404"/>
      <c r="B5" s="405"/>
      <c r="C5" s="3198" t="s">
        <v>2541</v>
      </c>
      <c r="D5" s="3199"/>
      <c r="E5" s="3205" t="s">
        <v>2542</v>
      </c>
      <c r="F5" s="3206"/>
      <c r="G5" s="3198" t="s">
        <v>2543</v>
      </c>
      <c r="H5" s="3199"/>
      <c r="I5" s="3198" t="s">
        <v>2544</v>
      </c>
      <c r="J5" s="3199"/>
      <c r="K5" s="610"/>
      <c r="L5" s="1129"/>
      <c r="M5" s="1130"/>
      <c r="N5" s="1130"/>
      <c r="O5" s="1130"/>
      <c r="P5" s="3186"/>
      <c r="Q5" s="3187"/>
      <c r="R5" s="3192"/>
      <c r="S5" s="3193"/>
      <c r="T5" s="3192"/>
      <c r="U5" s="3193"/>
      <c r="V5" s="3177"/>
      <c r="W5" s="3177"/>
      <c r="X5" s="1812"/>
      <c r="Y5" s="3192"/>
      <c r="Z5" s="3193"/>
      <c r="AA5" s="3179"/>
      <c r="AB5" s="3179"/>
      <c r="AC5" s="3179"/>
    </row>
    <row r="6" spans="1:29" ht="15.75" thickBot="1">
      <c r="A6" s="406"/>
      <c r="B6" s="407"/>
      <c r="C6" s="3252" t="s">
        <v>2793</v>
      </c>
      <c r="D6" s="3253"/>
      <c r="E6" s="3254" t="s">
        <v>2793</v>
      </c>
      <c r="F6" s="3255"/>
      <c r="G6" s="3252" t="s">
        <v>2793</v>
      </c>
      <c r="H6" s="3253"/>
      <c r="I6" s="3252" t="s">
        <v>2793</v>
      </c>
      <c r="J6" s="3253"/>
      <c r="K6" s="610" t="s">
        <v>2546</v>
      </c>
      <c r="L6" s="1129"/>
      <c r="M6" s="1130"/>
      <c r="N6" s="1130"/>
      <c r="O6" s="1130"/>
      <c r="P6" s="3188"/>
      <c r="Q6" s="3189"/>
      <c r="R6" s="3192"/>
      <c r="S6" s="3193"/>
      <c r="T6" s="3194"/>
      <c r="U6" s="3195"/>
      <c r="V6" s="3177"/>
      <c r="W6" s="3177"/>
      <c r="X6" s="1812"/>
      <c r="Y6" s="3194"/>
      <c r="Z6" s="3195"/>
      <c r="AA6" s="3180"/>
      <c r="AB6" s="3180"/>
      <c r="AC6" s="3180"/>
    </row>
    <row r="7" spans="1:29" s="117" customFormat="1" ht="15.75" thickBot="1">
      <c r="A7" s="408" t="s">
        <v>2547</v>
      </c>
      <c r="B7" s="409"/>
      <c r="C7" s="410">
        <f>'数据-取费表'!B2</f>
        <v>43076</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00" t="s">
        <v>2548</v>
      </c>
      <c r="Q7" s="3202"/>
      <c r="R7" s="770" t="s">
        <v>17</v>
      </c>
      <c r="S7" s="771">
        <f t="shared" ref="S7:S15" si="0">F7</f>
        <v>0</v>
      </c>
      <c r="T7" s="770" t="s">
        <v>17</v>
      </c>
      <c r="U7" s="771">
        <f t="shared" ref="U7:U15" si="1">H7</f>
        <v>0</v>
      </c>
      <c r="V7" s="770" t="s">
        <v>17</v>
      </c>
      <c r="W7" s="771">
        <f t="shared" ref="W7:W15" si="2">J7</f>
        <v>0</v>
      </c>
      <c r="X7" s="772"/>
      <c r="Y7" s="3200" t="s">
        <v>2548</v>
      </c>
      <c r="Z7" s="320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0" t="s">
        <v>2551</v>
      </c>
      <c r="Q8" s="3201"/>
      <c r="R8" s="770" t="s">
        <v>17</v>
      </c>
      <c r="S8" s="771">
        <f t="shared" si="0"/>
        <v>0</v>
      </c>
      <c r="T8" s="770" t="s">
        <v>17</v>
      </c>
      <c r="U8" s="771">
        <f t="shared" si="1"/>
        <v>0</v>
      </c>
      <c r="V8" s="770" t="s">
        <v>17</v>
      </c>
      <c r="W8" s="771">
        <f t="shared" si="2"/>
        <v>0</v>
      </c>
      <c r="X8" s="772"/>
      <c r="Y8" s="3200" t="s">
        <v>2551</v>
      </c>
      <c r="Z8" s="3201"/>
      <c r="AA8" s="773" t="e">
        <f t="shared" ref="AA8:AA40" si="3">D8/F8</f>
        <v>#DIV/0!</v>
      </c>
      <c r="AB8" s="773" t="e">
        <f t="shared" ref="AB8:AB40" si="4">D8/H8</f>
        <v>#DIV/0!</v>
      </c>
      <c r="AC8" s="773" t="e">
        <f t="shared" ref="AC8:AC40" si="5">D8/J8</f>
        <v>#DIV/0!</v>
      </c>
    </row>
    <row r="9" spans="1:29" s="117" customFormat="1">
      <c r="A9" s="415" t="s">
        <v>2552</v>
      </c>
      <c r="B9" s="71" t="s">
        <v>2553</v>
      </c>
      <c r="C9" s="2697"/>
      <c r="D9" s="134">
        <v>100</v>
      </c>
      <c r="E9" s="2697"/>
      <c r="F9" s="134">
        <f>SUMIF(70:70,E9,71:71)-SUMIF(70:70,C9,71:71)+100</f>
        <v>100</v>
      </c>
      <c r="G9" s="2697"/>
      <c r="H9" s="134">
        <f>SUMIF(70:70,G9,71:71)-SUMIF(70:70,C9,71:71)+100</f>
        <v>100</v>
      </c>
      <c r="I9" s="2697"/>
      <c r="J9" s="134">
        <f>SUMIF(70:70,I9,71:71)-SUMIF(70:70,C9,71:71)+100</f>
        <v>100</v>
      </c>
      <c r="K9" s="611"/>
      <c r="L9" s="1131"/>
      <c r="M9" s="1132"/>
      <c r="N9" s="1132"/>
      <c r="O9" s="1133"/>
      <c r="P9" s="3171" t="s">
        <v>2554</v>
      </c>
      <c r="Q9" s="179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32"/>
      <c r="D10" s="135">
        <v>100</v>
      </c>
      <c r="E10" s="432"/>
      <c r="F10" s="135">
        <f>ROUND(100/'数据-取费表'!G16,0)</f>
        <v>123</v>
      </c>
      <c r="G10" s="432"/>
      <c r="H10" s="135">
        <f>ROUND(100/'数据-取费表'!G16,0)</f>
        <v>123</v>
      </c>
      <c r="I10" s="432"/>
      <c r="J10" s="135">
        <f>ROUND(100/'数据-取费表'!G16,0)</f>
        <v>123</v>
      </c>
      <c r="K10" s="672"/>
      <c r="L10" s="1134"/>
      <c r="M10" s="1135"/>
      <c r="N10" s="1135"/>
      <c r="O10" s="1136"/>
      <c r="P10" s="3171"/>
      <c r="Q10" s="1794" t="str">
        <f t="shared" si="6"/>
        <v>土地使用年限（年）</v>
      </c>
      <c r="R10" s="770" t="s">
        <v>17</v>
      </c>
      <c r="S10" s="771">
        <f t="shared" si="0"/>
        <v>123</v>
      </c>
      <c r="T10" s="770" t="s">
        <v>17</v>
      </c>
      <c r="U10" s="771">
        <f t="shared" si="1"/>
        <v>123</v>
      </c>
      <c r="V10" s="770" t="s">
        <v>17</v>
      </c>
      <c r="W10" s="771">
        <f t="shared" si="2"/>
        <v>123</v>
      </c>
      <c r="X10" s="772"/>
      <c r="Y10" s="3014"/>
      <c r="Z10" s="55" t="str">
        <f t="shared" si="7"/>
        <v>土地使用年限（年）</v>
      </c>
      <c r="AA10" s="773">
        <f t="shared" si="3"/>
        <v>0.81300813008130079</v>
      </c>
      <c r="AB10" s="773">
        <f t="shared" si="4"/>
        <v>0.81300813008130079</v>
      </c>
      <c r="AC10" s="773">
        <f t="shared" si="5"/>
        <v>0.81300813008130079</v>
      </c>
    </row>
    <row r="11" spans="1:29" ht="15">
      <c r="A11" s="428"/>
      <c r="B11" s="422" t="s">
        <v>2557</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7"/>
      <c r="M11" s="1130"/>
      <c r="N11" s="1130"/>
      <c r="O11" s="1138"/>
      <c r="P11" s="3171"/>
      <c r="Q11" s="1794"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5">
        <f>SUMIF(77:77,E12,78:78)-SUMIF(77:77,C12,78:78)+100</f>
        <v>100</v>
      </c>
      <c r="G12" s="674"/>
      <c r="H12" s="135">
        <f>SUMIF(77:77,G12,78:78)-SUMIF(77:77,C12,78:78)+100</f>
        <v>100</v>
      </c>
      <c r="I12" s="549"/>
      <c r="J12" s="135">
        <f>SUMIF(77:77,I12,78:78)-SUMIF(77:77,C12,78:78)+100</f>
        <v>100</v>
      </c>
      <c r="K12" s="672"/>
      <c r="L12" s="1131"/>
      <c r="M12" s="1132"/>
      <c r="N12" s="1132"/>
      <c r="O12" s="1133"/>
      <c r="P12" s="3171"/>
      <c r="Q12" s="179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8">
        <v>111</v>
      </c>
      <c r="C13" s="434"/>
      <c r="D13" s="435">
        <v>100</v>
      </c>
      <c r="E13" s="549"/>
      <c r="F13" s="135">
        <f>SUMIF(79:79,E13,80:80)-SUMIF(79:79,C13,80:80)+100</f>
        <v>100</v>
      </c>
      <c r="G13" s="674"/>
      <c r="H13" s="435">
        <f>SUMIF(79:79,G13,80:80)-SUMIF(79:79,C13,80:80)+100</f>
        <v>100</v>
      </c>
      <c r="I13" s="549"/>
      <c r="J13" s="435">
        <f>SUMIF(79:79,I13,80:80)-SUMIF(79:79,C13,80:80)+100</f>
        <v>100</v>
      </c>
      <c r="K13" s="672"/>
      <c r="L13" s="1139"/>
      <c r="M13" s="1130"/>
      <c r="N13" s="1130"/>
      <c r="O13" s="1138"/>
      <c r="P13" s="3171"/>
      <c r="Q13" s="179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1"/>
      <c r="Q14" s="1794">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2558</v>
      </c>
      <c r="B15" s="629" t="s">
        <v>2794</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73" t="s">
        <v>2559</v>
      </c>
      <c r="Q15" s="1809" t="str">
        <f t="shared" si="6"/>
        <v>产业集聚程度</v>
      </c>
      <c r="R15" s="774" t="s">
        <v>17</v>
      </c>
      <c r="S15" s="775">
        <f t="shared" si="0"/>
        <v>100</v>
      </c>
      <c r="T15" s="774" t="s">
        <v>17</v>
      </c>
      <c r="U15" s="775">
        <f t="shared" si="1"/>
        <v>100</v>
      </c>
      <c r="V15" s="774" t="s">
        <v>17</v>
      </c>
      <c r="W15" s="775">
        <f t="shared" si="2"/>
        <v>100</v>
      </c>
      <c r="X15" s="1812"/>
      <c r="Y15" s="3173" t="s">
        <v>2559</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39"/>
      <c r="M16" s="1130"/>
      <c r="N16" s="1130"/>
      <c r="O16" s="1138"/>
      <c r="P16" s="3174"/>
      <c r="Q16" s="1809"/>
      <c r="R16" s="774"/>
      <c r="S16" s="775"/>
      <c r="T16" s="774"/>
      <c r="U16" s="775"/>
      <c r="V16" s="774"/>
      <c r="W16" s="775"/>
      <c r="X16" s="1812"/>
      <c r="Y16" s="3174"/>
      <c r="Z16" s="1813"/>
      <c r="AA16" s="1810">
        <v>1</v>
      </c>
      <c r="AB16" s="1810">
        <v>1</v>
      </c>
      <c r="AC16" s="1810">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74"/>
      <c r="Q17" s="1809" t="str">
        <f>B17</f>
        <v>交通便捷度</v>
      </c>
      <c r="R17" s="774" t="s">
        <v>17</v>
      </c>
      <c r="S17" s="775">
        <f>F17</f>
        <v>100</v>
      </c>
      <c r="T17" s="774" t="s">
        <v>17</v>
      </c>
      <c r="U17" s="775">
        <f>H17</f>
        <v>100</v>
      </c>
      <c r="V17" s="774" t="s">
        <v>17</v>
      </c>
      <c r="W17" s="775">
        <f>J17</f>
        <v>100</v>
      </c>
      <c r="X17" s="1812"/>
      <c r="Y17" s="3174"/>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39"/>
      <c r="M18" s="1130"/>
      <c r="N18" s="1130"/>
      <c r="O18" s="1138"/>
      <c r="P18" s="3174"/>
      <c r="Q18" s="1809"/>
      <c r="R18" s="774"/>
      <c r="S18" s="775"/>
      <c r="T18" s="774"/>
      <c r="U18" s="775"/>
      <c r="V18" s="774"/>
      <c r="W18" s="775"/>
      <c r="X18" s="1812"/>
      <c r="Y18" s="3174"/>
      <c r="Z18" s="1813"/>
      <c r="AA18" s="1810">
        <v>1</v>
      </c>
      <c r="AB18" s="1810">
        <v>1</v>
      </c>
      <c r="AC18" s="1810">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74"/>
      <c r="Q19" s="1809" t="str">
        <f t="shared" ref="Q19:Q33" si="8">B19</f>
        <v>区域土地利用方向</v>
      </c>
      <c r="R19" s="774" t="s">
        <v>17</v>
      </c>
      <c r="S19" s="775">
        <f>F19</f>
        <v>100</v>
      </c>
      <c r="T19" s="774" t="s">
        <v>17</v>
      </c>
      <c r="U19" s="775">
        <f>H19</f>
        <v>100</v>
      </c>
      <c r="V19" s="774" t="s">
        <v>17</v>
      </c>
      <c r="W19" s="775">
        <f>J19</f>
        <v>100</v>
      </c>
      <c r="X19" s="1812"/>
      <c r="Y19" s="3174"/>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08"/>
      <c r="L20" s="1139"/>
      <c r="M20" s="1130"/>
      <c r="N20" s="1130"/>
      <c r="O20" s="1138"/>
      <c r="P20" s="3174"/>
      <c r="Q20" s="1809"/>
      <c r="R20" s="774"/>
      <c r="S20" s="775"/>
      <c r="T20" s="774"/>
      <c r="U20" s="775"/>
      <c r="V20" s="774"/>
      <c r="W20" s="775"/>
      <c r="X20" s="1812"/>
      <c r="Y20" s="3174"/>
      <c r="Z20" s="1813"/>
      <c r="AA20" s="1810"/>
      <c r="AB20" s="1810"/>
      <c r="AC20" s="1810"/>
    </row>
    <row r="21" spans="1:29" ht="71.25">
      <c r="A21" s="404"/>
      <c r="B21" s="631" t="s">
        <v>2795</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74"/>
      <c r="Q21" s="1809" t="str">
        <f t="shared" si="8"/>
        <v>环境状况</v>
      </c>
      <c r="R21" s="774" t="s">
        <v>17</v>
      </c>
      <c r="S21" s="775">
        <f>F21</f>
        <v>100</v>
      </c>
      <c r="T21" s="774" t="s">
        <v>17</v>
      </c>
      <c r="U21" s="775">
        <f>H21</f>
        <v>100</v>
      </c>
      <c r="V21" s="774" t="s">
        <v>17</v>
      </c>
      <c r="W21" s="775">
        <f>J21</f>
        <v>100</v>
      </c>
      <c r="X21" s="1812"/>
      <c r="Y21" s="3174"/>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39"/>
      <c r="M22" s="1130"/>
      <c r="N22" s="1130"/>
      <c r="O22" s="1138"/>
      <c r="P22" s="3174"/>
      <c r="Q22" s="1809"/>
      <c r="R22" s="774"/>
      <c r="S22" s="775"/>
      <c r="T22" s="774"/>
      <c r="U22" s="775"/>
      <c r="V22" s="774"/>
      <c r="W22" s="775"/>
      <c r="X22" s="1812"/>
      <c r="Y22" s="3174"/>
      <c r="Z22" s="1813"/>
      <c r="AA22" s="1810">
        <v>1</v>
      </c>
      <c r="AB22" s="1810">
        <v>1</v>
      </c>
      <c r="AC22" s="1810">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74"/>
      <c r="Q23" s="1794" t="str">
        <f t="shared" si="8"/>
        <v>公共配套设施</v>
      </c>
      <c r="R23" s="770" t="s">
        <v>17</v>
      </c>
      <c r="S23" s="771">
        <f>F23</f>
        <v>100</v>
      </c>
      <c r="T23" s="770" t="s">
        <v>17</v>
      </c>
      <c r="U23" s="771">
        <f>H23</f>
        <v>100</v>
      </c>
      <c r="V23" s="770" t="s">
        <v>17</v>
      </c>
      <c r="W23" s="771">
        <f>J23</f>
        <v>100</v>
      </c>
      <c r="X23" s="772"/>
      <c r="Y23" s="3174"/>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1"/>
      <c r="M24" s="1132"/>
      <c r="N24" s="1132"/>
      <c r="O24" s="1133"/>
      <c r="P24" s="3174"/>
      <c r="Q24" s="1794"/>
      <c r="R24" s="770"/>
      <c r="S24" s="771"/>
      <c r="T24" s="770"/>
      <c r="U24" s="771"/>
      <c r="V24" s="770"/>
      <c r="W24" s="771"/>
      <c r="X24" s="772"/>
      <c r="Y24" s="3174"/>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74"/>
      <c r="Q25" s="1794"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174"/>
      <c r="Q26" s="1794"/>
      <c r="R26" s="770"/>
      <c r="S26" s="771"/>
      <c r="T26" s="770"/>
      <c r="U26" s="771"/>
      <c r="V26" s="770"/>
      <c r="W26" s="771"/>
      <c r="X26" s="772"/>
      <c r="Y26" s="317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7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4"/>
      <c r="Z27" s="1813" t="str">
        <f t="shared" ref="Z27:Z40" si="13">Q27</f>
        <v>临街状况</v>
      </c>
      <c r="AA27" s="1810">
        <f t="shared" si="3"/>
        <v>1</v>
      </c>
      <c r="AB27" s="1810">
        <f t="shared" si="4"/>
        <v>1</v>
      </c>
      <c r="AC27" s="1810">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74"/>
      <c r="Q28" s="1809" t="str">
        <f t="shared" si="8"/>
        <v>毗邻道路的类型与等级</v>
      </c>
      <c r="R28" s="774" t="s">
        <v>17</v>
      </c>
      <c r="S28" s="775">
        <f t="shared" si="10"/>
        <v>100</v>
      </c>
      <c r="T28" s="774" t="s">
        <v>17</v>
      </c>
      <c r="U28" s="775">
        <f t="shared" si="11"/>
        <v>100</v>
      </c>
      <c r="V28" s="774" t="s">
        <v>17</v>
      </c>
      <c r="W28" s="775">
        <f t="shared" si="12"/>
        <v>100</v>
      </c>
      <c r="X28" s="1812"/>
      <c r="Y28" s="3174"/>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39"/>
      <c r="M29" s="1130"/>
      <c r="N29" s="1130"/>
      <c r="O29" s="1138"/>
      <c r="P29" s="3174"/>
      <c r="Q29" s="1809"/>
      <c r="R29" s="774"/>
      <c r="S29" s="775"/>
      <c r="T29" s="774"/>
      <c r="U29" s="775"/>
      <c r="V29" s="774"/>
      <c r="W29" s="775"/>
      <c r="X29" s="1812"/>
      <c r="Y29" s="3174"/>
      <c r="Z29" s="1813"/>
      <c r="AA29" s="1810">
        <v>1</v>
      </c>
      <c r="AB29" s="1810">
        <v>1</v>
      </c>
      <c r="AC29" s="1810">
        <v>1</v>
      </c>
    </row>
    <row r="30" spans="1:29" ht="15">
      <c r="A30" s="428"/>
      <c r="B30" s="654" t="s">
        <v>2748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74"/>
      <c r="Q30" s="1809" t="str">
        <f t="shared" si="8"/>
        <v>土地级别</v>
      </c>
      <c r="R30" s="774" t="s">
        <v>17</v>
      </c>
      <c r="S30" s="775">
        <f t="shared" si="10"/>
        <v>100</v>
      </c>
      <c r="T30" s="774" t="s">
        <v>17</v>
      </c>
      <c r="U30" s="775">
        <f t="shared" si="11"/>
        <v>100</v>
      </c>
      <c r="V30" s="774" t="s">
        <v>17</v>
      </c>
      <c r="W30" s="775">
        <f t="shared" si="12"/>
        <v>100</v>
      </c>
      <c r="X30" s="1812"/>
      <c r="Y30" s="3174"/>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74"/>
      <c r="Q31" s="1809">
        <f t="shared" si="8"/>
        <v>111</v>
      </c>
      <c r="R31" s="774" t="s">
        <v>17</v>
      </c>
      <c r="S31" s="775">
        <f t="shared" si="10"/>
        <v>100</v>
      </c>
      <c r="T31" s="774" t="s">
        <v>17</v>
      </c>
      <c r="U31" s="775">
        <f t="shared" si="11"/>
        <v>100</v>
      </c>
      <c r="V31" s="774" t="s">
        <v>17</v>
      </c>
      <c r="W31" s="775">
        <f t="shared" si="12"/>
        <v>100</v>
      </c>
      <c r="X31" s="1812"/>
      <c r="Y31" s="3174"/>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175" t="s">
        <v>2564</v>
      </c>
      <c r="Q32" s="1809">
        <f t="shared" si="8"/>
        <v>111</v>
      </c>
      <c r="R32" s="774" t="s">
        <v>17</v>
      </c>
      <c r="S32" s="775">
        <f t="shared" si="10"/>
        <v>100</v>
      </c>
      <c r="T32" s="774" t="s">
        <v>17</v>
      </c>
      <c r="U32" s="775">
        <f t="shared" si="11"/>
        <v>100</v>
      </c>
      <c r="V32" s="774" t="s">
        <v>17</v>
      </c>
      <c r="W32" s="775">
        <f t="shared" si="12"/>
        <v>100</v>
      </c>
      <c r="X32" s="1812"/>
      <c r="Y32" s="3176" t="s">
        <v>2564</v>
      </c>
      <c r="Z32" s="1813">
        <f t="shared" si="13"/>
        <v>111</v>
      </c>
      <c r="AA32" s="1810">
        <f t="shared" si="3"/>
        <v>1</v>
      </c>
      <c r="AB32" s="1810">
        <f t="shared" si="4"/>
        <v>1</v>
      </c>
      <c r="AC32" s="1810">
        <f t="shared" si="5"/>
        <v>1</v>
      </c>
    </row>
    <row r="33" spans="1:29" s="471" customFormat="1" ht="15.75" thickBot="1">
      <c r="A33" s="676"/>
      <c r="B33" s="2713">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76"/>
      <c r="Q33" s="1809">
        <f t="shared" si="8"/>
        <v>111</v>
      </c>
      <c r="R33" s="777" t="s">
        <v>17</v>
      </c>
      <c r="S33" s="778">
        <f t="shared" si="10"/>
        <v>100</v>
      </c>
      <c r="T33" s="777" t="s">
        <v>17</v>
      </c>
      <c r="U33" s="778">
        <f t="shared" si="11"/>
        <v>100</v>
      </c>
      <c r="V33" s="777" t="s">
        <v>17</v>
      </c>
      <c r="W33" s="778">
        <f t="shared" si="12"/>
        <v>100</v>
      </c>
      <c r="X33" s="779"/>
      <c r="Y33" s="3176"/>
      <c r="Z33" s="780">
        <f t="shared" si="13"/>
        <v>111</v>
      </c>
      <c r="AA33" s="1810">
        <f t="shared" si="3"/>
        <v>1</v>
      </c>
      <c r="AB33" s="1810">
        <f t="shared" si="4"/>
        <v>1</v>
      </c>
      <c r="AC33" s="1810">
        <f t="shared" si="5"/>
        <v>1</v>
      </c>
    </row>
    <row r="34" spans="1:29" ht="15">
      <c r="A34" s="440" t="s">
        <v>2562</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76"/>
      <c r="Q34" s="1809" t="str">
        <f>B34</f>
        <v>宗地面积</v>
      </c>
      <c r="R34" s="774" t="s">
        <v>17</v>
      </c>
      <c r="S34" s="775" t="e">
        <f t="shared" si="10"/>
        <v>#N/A</v>
      </c>
      <c r="T34" s="774" t="s">
        <v>17</v>
      </c>
      <c r="U34" s="775" t="e">
        <f t="shared" si="11"/>
        <v>#N/A</v>
      </c>
      <c r="V34" s="774" t="s">
        <v>17</v>
      </c>
      <c r="W34" s="775" t="e">
        <f t="shared" si="12"/>
        <v>#N/A</v>
      </c>
      <c r="X34" s="1812"/>
      <c r="Y34" s="3176"/>
      <c r="Z34" s="1813" t="str">
        <f t="shared" si="13"/>
        <v>宗地面积</v>
      </c>
      <c r="AA34" s="1810" t="e">
        <f t="shared" si="3"/>
        <v>#N/A</v>
      </c>
      <c r="AB34" s="1810" t="e">
        <f t="shared" si="4"/>
        <v>#N/A</v>
      </c>
      <c r="AC34" s="1810"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176"/>
      <c r="Q35" s="1809" t="str">
        <f t="shared" ref="Q35:Q40" si="14">B35</f>
        <v>宗地形状</v>
      </c>
      <c r="R35" s="774" t="s">
        <v>17</v>
      </c>
      <c r="S35" s="775">
        <f t="shared" si="10"/>
        <v>100</v>
      </c>
      <c r="T35" s="774" t="s">
        <v>17</v>
      </c>
      <c r="U35" s="775">
        <f t="shared" si="11"/>
        <v>100</v>
      </c>
      <c r="V35" s="774" t="s">
        <v>17</v>
      </c>
      <c r="W35" s="775">
        <f t="shared" si="12"/>
        <v>100</v>
      </c>
      <c r="X35" s="1812"/>
      <c r="Y35" s="3176"/>
      <c r="Z35" s="1813" t="str">
        <f t="shared" si="13"/>
        <v>宗地形状</v>
      </c>
      <c r="AA35" s="1810">
        <f t="shared" si="3"/>
        <v>1</v>
      </c>
      <c r="AB35" s="1810">
        <f t="shared" si="4"/>
        <v>1</v>
      </c>
      <c r="AC35" s="1810">
        <f t="shared" si="5"/>
        <v>1</v>
      </c>
    </row>
    <row r="36" spans="1:29" s="117" customFormat="1" ht="15">
      <c r="A36" s="473"/>
      <c r="B36" s="422" t="s">
        <v>2752</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176"/>
      <c r="Q36" s="1809"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176" t="s">
        <v>2564</v>
      </c>
      <c r="Q37" s="1809" t="str">
        <f t="shared" si="14"/>
        <v>工程地质条件</v>
      </c>
      <c r="R37" s="774" t="s">
        <v>17</v>
      </c>
      <c r="S37" s="775">
        <f t="shared" si="10"/>
        <v>100</v>
      </c>
      <c r="T37" s="774" t="s">
        <v>17</v>
      </c>
      <c r="U37" s="775">
        <f t="shared" si="11"/>
        <v>100</v>
      </c>
      <c r="V37" s="774" t="s">
        <v>17</v>
      </c>
      <c r="W37" s="775">
        <f t="shared" si="12"/>
        <v>100</v>
      </c>
      <c r="X37" s="1812"/>
      <c r="Y37" s="3176"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76"/>
      <c r="Q38" s="1809">
        <f t="shared" si="14"/>
        <v>111</v>
      </c>
      <c r="R38" s="774" t="s">
        <v>17</v>
      </c>
      <c r="S38" s="775">
        <f t="shared" si="10"/>
        <v>100</v>
      </c>
      <c r="T38" s="774" t="s">
        <v>17</v>
      </c>
      <c r="U38" s="775">
        <f t="shared" si="11"/>
        <v>100</v>
      </c>
      <c r="V38" s="774" t="s">
        <v>17</v>
      </c>
      <c r="W38" s="775">
        <f t="shared" si="12"/>
        <v>100</v>
      </c>
      <c r="X38" s="1812"/>
      <c r="Y38" s="3176"/>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76"/>
      <c r="Q39" s="1809">
        <f t="shared" si="14"/>
        <v>111</v>
      </c>
      <c r="R39" s="774" t="s">
        <v>17</v>
      </c>
      <c r="S39" s="775">
        <f t="shared" si="10"/>
        <v>100</v>
      </c>
      <c r="T39" s="774" t="s">
        <v>17</v>
      </c>
      <c r="U39" s="775">
        <f t="shared" si="11"/>
        <v>100</v>
      </c>
      <c r="V39" s="774" t="s">
        <v>17</v>
      </c>
      <c r="W39" s="775">
        <f t="shared" si="12"/>
        <v>100</v>
      </c>
      <c r="X39" s="1812"/>
      <c r="Y39" s="3176"/>
      <c r="Z39" s="1813">
        <f t="shared" si="13"/>
        <v>111</v>
      </c>
      <c r="AA39" s="1810">
        <f t="shared" si="3"/>
        <v>1</v>
      </c>
      <c r="AB39" s="1810">
        <f t="shared" si="4"/>
        <v>1</v>
      </c>
      <c r="AC39" s="1810">
        <f t="shared" si="5"/>
        <v>1</v>
      </c>
    </row>
    <row r="40" spans="1:29" s="471" customFormat="1" ht="15.75" thickBot="1">
      <c r="A40" s="468"/>
      <c r="B40" s="1386">
        <v>111</v>
      </c>
      <c r="C40" s="2701"/>
      <c r="D40" s="136">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76"/>
      <c r="Q40" s="1809">
        <f t="shared" si="14"/>
        <v>111</v>
      </c>
      <c r="R40" s="777" t="s">
        <v>17</v>
      </c>
      <c r="S40" s="778">
        <f t="shared" si="10"/>
        <v>100</v>
      </c>
      <c r="T40" s="777" t="s">
        <v>17</v>
      </c>
      <c r="U40" s="778">
        <f t="shared" si="11"/>
        <v>100</v>
      </c>
      <c r="V40" s="777" t="s">
        <v>17</v>
      </c>
      <c r="W40" s="778">
        <f t="shared" si="12"/>
        <v>100</v>
      </c>
      <c r="X40" s="779"/>
      <c r="Y40" s="3176"/>
      <c r="Z40" s="780">
        <f t="shared" si="13"/>
        <v>111</v>
      </c>
      <c r="AA40" s="1810">
        <f t="shared" si="3"/>
        <v>1</v>
      </c>
      <c r="AB40" s="1810">
        <f t="shared" si="4"/>
        <v>1</v>
      </c>
      <c r="AC40" s="1810">
        <f t="shared" si="5"/>
        <v>1</v>
      </c>
    </row>
    <row r="41" spans="1:29" ht="15">
      <c r="A41" s="479" t="s">
        <v>2719</v>
      </c>
      <c r="B41" s="2702" t="s">
        <v>2796</v>
      </c>
      <c r="C41" s="682" t="s">
        <v>1</v>
      </c>
      <c r="D41" s="481"/>
      <c r="E41" s="482"/>
      <c r="F41" s="483"/>
      <c r="G41" s="484"/>
      <c r="H41" s="485"/>
      <c r="I41" s="482"/>
      <c r="J41" s="485"/>
      <c r="K41" s="783"/>
      <c r="L41" s="1142"/>
      <c r="M41" s="1130"/>
      <c r="N41" s="1130"/>
      <c r="O41" s="1143"/>
      <c r="P41" s="3171" t="str">
        <f>A41</f>
        <v>成交单价</v>
      </c>
      <c r="Q41" s="3171"/>
      <c r="R41" s="3177">
        <f>E41</f>
        <v>0</v>
      </c>
      <c r="S41" s="3177"/>
      <c r="T41" s="3177">
        <f>G41</f>
        <v>0</v>
      </c>
      <c r="U41" s="3177"/>
      <c r="V41" s="3177">
        <f>I41</f>
        <v>0</v>
      </c>
      <c r="W41" s="317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2"/>
      <c r="M42" s="1130"/>
      <c r="N42" s="1130"/>
      <c r="O42" s="1143"/>
      <c r="P42" s="3171" t="str">
        <f>A42</f>
        <v>比较价值（元/平方米）</v>
      </c>
      <c r="Q42" s="3171"/>
      <c r="R42" s="3164" t="e">
        <f>ROUND(PRODUCT(R41,AA7:AA40),0)</f>
        <v>#DIV/0!</v>
      </c>
      <c r="S42" s="3164"/>
      <c r="T42" s="3164" t="e">
        <f>ROUND(PRODUCT(T41,AB7:AB40),0)</f>
        <v>#DIV/0!</v>
      </c>
      <c r="U42" s="3164"/>
      <c r="V42" s="3164" t="e">
        <f>ROUND(PRODUCT(V41,AC7:AC40),0)</f>
        <v>#DIV/0!</v>
      </c>
      <c r="W42" s="316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2"/>
      <c r="M43" s="1130"/>
      <c r="N43" s="1130"/>
      <c r="O43" s="1143"/>
      <c r="P43" s="3165" t="str">
        <f>A43</f>
        <v>估价对象XX用房的比较价值（楼面单价，元/平方米）</v>
      </c>
      <c r="Q43" s="3166"/>
      <c r="R43" s="3167" t="e">
        <f>ROUND(AVERAGE(R42:V42),0)</f>
        <v>#DIV/0!</v>
      </c>
      <c r="S43" s="3167"/>
      <c r="T43" s="3167"/>
      <c r="U43" s="3167"/>
      <c r="V43" s="3167"/>
      <c r="W43" s="3167"/>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2755</v>
      </c>
      <c r="B50" s="685" t="s">
        <v>2756</v>
      </c>
      <c r="C50" s="2703" t="s">
        <v>2757</v>
      </c>
      <c r="D50" s="2704" t="s">
        <v>2758</v>
      </c>
      <c r="E50" s="686" t="s">
        <v>2759</v>
      </c>
      <c r="F50" s="687" t="s">
        <v>2760</v>
      </c>
      <c r="G50" s="3168" t="s">
        <v>2761</v>
      </c>
      <c r="H50" s="3169"/>
      <c r="I50" s="1813" t="s">
        <v>2797</v>
      </c>
      <c r="J50" s="1813" t="str">
        <f>项目基本情况!F35</f>
        <v>江苏省南京市</v>
      </c>
      <c r="K50" s="2706" t="s">
        <v>2763</v>
      </c>
      <c r="L50" s="1105"/>
      <c r="M50" s="1143"/>
      <c r="N50" s="1143"/>
      <c r="O50" s="1143"/>
    </row>
    <row r="51" spans="1:17" s="692" customFormat="1">
      <c r="A51" s="688" t="s">
        <v>2764</v>
      </c>
      <c r="B51" s="689" t="e">
        <f>C43</f>
        <v>#DIV/0!</v>
      </c>
      <c r="C51" s="690">
        <v>1</v>
      </c>
      <c r="D51" s="1162">
        <v>1</v>
      </c>
      <c r="E51" s="690">
        <f>'数据-汇总表'!E8+'数据-汇总表'!E9</f>
        <v>26215.040000000001</v>
      </c>
      <c r="F51" s="691" t="e">
        <f t="shared" ref="F51:F60" si="15">ROUND(B51*E51/10000,0)</f>
        <v>#DIV/0!</v>
      </c>
      <c r="G51" s="3170"/>
      <c r="H51" s="3171"/>
      <c r="I51" s="941">
        <v>1</v>
      </c>
      <c r="J51" s="941">
        <v>1</v>
      </c>
      <c r="K51" s="1144"/>
      <c r="L51" s="940"/>
      <c r="M51" s="940"/>
      <c r="N51" s="940"/>
      <c r="O51" s="940"/>
    </row>
    <row r="52" spans="1:17" s="692" customFormat="1">
      <c r="A52" s="693" t="s">
        <v>2765</v>
      </c>
      <c r="B52" s="262" t="e">
        <f>ROUND($C$43*C52*D52,0)</f>
        <v>#DIV/0!</v>
      </c>
      <c r="C52" s="200">
        <f t="shared" ref="C52:C60" si="16">IF($C$50="北京市系数",I52,J52)</f>
        <v>0</v>
      </c>
      <c r="D52" s="1163">
        <v>0.25</v>
      </c>
      <c r="E52" s="694"/>
      <c r="F52" s="691" t="e">
        <f t="shared" si="15"/>
        <v>#DIV/0!</v>
      </c>
      <c r="G52" s="3172" t="s">
        <v>2766</v>
      </c>
      <c r="H52" s="1103">
        <f>项目基本情况!B37</f>
        <v>0</v>
      </c>
      <c r="I52" s="941">
        <f>SUMIF(修正!A45:A56,H52,修正!B45:B56)</f>
        <v>0</v>
      </c>
      <c r="J52" s="942"/>
      <c r="K52" s="1143"/>
      <c r="L52" s="940"/>
      <c r="M52" s="940"/>
      <c r="N52" s="940"/>
      <c r="O52" s="940"/>
    </row>
    <row r="53" spans="1:17" s="692" customFormat="1">
      <c r="A53" s="693" t="s">
        <v>2767</v>
      </c>
      <c r="B53" s="262" t="e">
        <f t="shared" ref="B53:B60" si="17">ROUND($C$43*C53*D53,0)</f>
        <v>#DIV/0!</v>
      </c>
      <c r="C53" s="200">
        <f t="shared" si="16"/>
        <v>0</v>
      </c>
      <c r="D53" s="1163">
        <v>0.25</v>
      </c>
      <c r="E53" s="694"/>
      <c r="F53" s="691" t="e">
        <f t="shared" si="15"/>
        <v>#DIV/0!</v>
      </c>
      <c r="G53" s="3172"/>
      <c r="H53" s="1103">
        <f>项目基本情况!B37</f>
        <v>0</v>
      </c>
      <c r="I53" s="941">
        <f>SUMIF(修正!A45:A56,H53,修正!C45:C56)</f>
        <v>0</v>
      </c>
      <c r="J53" s="942"/>
      <c r="K53" s="1144"/>
      <c r="L53" s="940"/>
      <c r="M53" s="940"/>
      <c r="N53" s="940"/>
      <c r="O53" s="940"/>
    </row>
    <row r="54" spans="1:17" s="692" customFormat="1">
      <c r="A54" s="693" t="s">
        <v>2768</v>
      </c>
      <c r="B54" s="262" t="e">
        <f t="shared" si="17"/>
        <v>#DIV/0!</v>
      </c>
      <c r="C54" s="200">
        <f t="shared" si="16"/>
        <v>0</v>
      </c>
      <c r="D54" s="1163">
        <v>0.25</v>
      </c>
      <c r="E54" s="694"/>
      <c r="F54" s="691" t="e">
        <f t="shared" si="15"/>
        <v>#DIV/0!</v>
      </c>
      <c r="G54" s="3172"/>
      <c r="H54" s="1103">
        <f>项目基本情况!B37</f>
        <v>0</v>
      </c>
      <c r="I54" s="941">
        <f>SUMIF(修正!A45:A56,H54,修正!D45:D56)</f>
        <v>0</v>
      </c>
      <c r="J54" s="942"/>
      <c r="K54" s="1143"/>
      <c r="L54" s="940"/>
      <c r="M54" s="940"/>
      <c r="N54" s="940"/>
      <c r="O54" s="940"/>
    </row>
    <row r="55" spans="1:17" s="692" customFormat="1">
      <c r="A55" s="693" t="s">
        <v>2769</v>
      </c>
      <c r="B55" s="262" t="e">
        <f t="shared" si="17"/>
        <v>#DIV/0!</v>
      </c>
      <c r="C55" s="200">
        <f t="shared" si="16"/>
        <v>0</v>
      </c>
      <c r="D55" s="1163">
        <v>0.25</v>
      </c>
      <c r="E55" s="694"/>
      <c r="F55" s="691" t="e">
        <f t="shared" si="15"/>
        <v>#DIV/0!</v>
      </c>
      <c r="G55" s="3172"/>
      <c r="H55" s="1103">
        <f>项目基本情况!B37</f>
        <v>0</v>
      </c>
      <c r="I55" s="941">
        <f>SUMIF(修正!A45:A56,H55,修正!E45:E56)</f>
        <v>0</v>
      </c>
      <c r="J55" s="942"/>
      <c r="K55" s="1144"/>
      <c r="L55" s="940"/>
      <c r="M55" s="940"/>
      <c r="N55" s="940"/>
      <c r="O55" s="940"/>
    </row>
    <row r="56" spans="1:17" s="692" customFormat="1">
      <c r="A56" s="693" t="s">
        <v>2770</v>
      </c>
      <c r="B56" s="262" t="e">
        <f t="shared" si="17"/>
        <v>#DIV/0!</v>
      </c>
      <c r="C56" s="200">
        <f t="shared" si="16"/>
        <v>0</v>
      </c>
      <c r="D56" s="1163">
        <v>0.25</v>
      </c>
      <c r="E56" s="261">
        <f>'数据-汇总表'!E11</f>
        <v>0</v>
      </c>
      <c r="F56" s="691" t="e">
        <f t="shared" si="15"/>
        <v>#DIV/0!</v>
      </c>
      <c r="G56" s="2707" t="s">
        <v>2771</v>
      </c>
      <c r="H56" s="1103">
        <f>项目基本情况!C37</f>
        <v>0</v>
      </c>
      <c r="I56" s="941">
        <f>SUMIF(修正!A45:A56,H56,修正!F45:F56)</f>
        <v>0</v>
      </c>
      <c r="J56" s="942"/>
      <c r="K56" s="1143"/>
      <c r="L56" s="940"/>
      <c r="M56" s="940"/>
      <c r="N56" s="940"/>
      <c r="O56" s="940"/>
    </row>
    <row r="57" spans="1:17" s="692" customFormat="1">
      <c r="A57" s="693" t="s">
        <v>2772</v>
      </c>
      <c r="B57" s="262" t="e">
        <f t="shared" si="17"/>
        <v>#DIV/0!</v>
      </c>
      <c r="C57" s="200">
        <f t="shared" si="16"/>
        <v>0</v>
      </c>
      <c r="D57" s="1163">
        <v>0.25</v>
      </c>
      <c r="E57" s="261">
        <f>'数据-汇总表'!E12</f>
        <v>0</v>
      </c>
      <c r="F57" s="691" t="e">
        <f t="shared" si="15"/>
        <v>#DIV/0!</v>
      </c>
      <c r="G57" s="1108" t="s">
        <v>2773</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2774</v>
      </c>
      <c r="B58" s="262" t="e">
        <f t="shared" si="17"/>
        <v>#DIV/0!</v>
      </c>
      <c r="C58" s="200">
        <f t="shared" si="16"/>
        <v>0</v>
      </c>
      <c r="D58" s="1163">
        <v>0.25</v>
      </c>
      <c r="E58" s="261">
        <f>'数据-汇总表'!E13</f>
        <v>0</v>
      </c>
      <c r="F58" s="691"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2776</v>
      </c>
      <c r="B59" s="262" t="e">
        <f t="shared" si="17"/>
        <v>#DIV/0!</v>
      </c>
      <c r="C59" s="200">
        <f t="shared" si="16"/>
        <v>0</v>
      </c>
      <c r="D59" s="1163">
        <v>0.25</v>
      </c>
      <c r="E59" s="261">
        <f>'数据-汇总表'!E14</f>
        <v>0</v>
      </c>
      <c r="F59" s="691" t="e">
        <f t="shared" si="15"/>
        <v>#DIV/0!</v>
      </c>
      <c r="G59" s="2707" t="s">
        <v>2766</v>
      </c>
      <c r="H59" s="1103">
        <f>项目基本情况!B37</f>
        <v>0</v>
      </c>
      <c r="I59" s="941">
        <f>SUMIF(修正!A45:A56,H59,修正!H45:H56)</f>
        <v>0</v>
      </c>
      <c r="J59" s="942"/>
      <c r="K59" s="1144"/>
      <c r="L59" s="940"/>
      <c r="M59" s="940"/>
      <c r="N59" s="940"/>
      <c r="O59" s="940"/>
    </row>
    <row r="60" spans="1:17" s="692" customFormat="1" ht="15" thickBot="1">
      <c r="A60" s="693" t="s">
        <v>2777</v>
      </c>
      <c r="B60" s="262" t="e">
        <f t="shared" si="17"/>
        <v>#DIV/0!</v>
      </c>
      <c r="C60" s="200">
        <f t="shared" si="16"/>
        <v>0</v>
      </c>
      <c r="D60" s="1163">
        <v>0.25</v>
      </c>
      <c r="E60" s="261">
        <f>'数据-汇总表'!E15</f>
        <v>0</v>
      </c>
      <c r="F60" s="691" t="e">
        <f t="shared" si="15"/>
        <v>#DIV/0!</v>
      </c>
      <c r="G60" s="2708" t="s">
        <v>2771</v>
      </c>
      <c r="H60" s="1113">
        <f>项目基本情况!C37</f>
        <v>0</v>
      </c>
      <c r="I60" s="941">
        <f>SUMIF(修正!A45:A56,H60,修正!H45:H56)</f>
        <v>0</v>
      </c>
      <c r="J60" s="942"/>
      <c r="K60" s="1143"/>
      <c r="L60" s="940"/>
      <c r="M60" s="940"/>
      <c r="N60" s="940"/>
      <c r="O60" s="940"/>
    </row>
    <row r="61" spans="1:17" s="692" customFormat="1" ht="15" thickBot="1">
      <c r="A61" s="695" t="s">
        <v>2778</v>
      </c>
      <c r="B61" s="696" t="s">
        <v>28</v>
      </c>
      <c r="C61" s="696" t="s">
        <v>29</v>
      </c>
      <c r="D61" s="696" t="s">
        <v>1029</v>
      </c>
      <c r="E61" s="696">
        <f>IF(B41="楼面地价",SUM(E51:E60),'数据-汇总表'!D3)</f>
        <v>12572.36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2673</v>
      </c>
      <c r="B64" s="759"/>
      <c r="C64" s="764"/>
      <c r="D64" s="764"/>
      <c r="E64" s="764"/>
      <c r="F64" s="765"/>
      <c r="G64" s="765"/>
      <c r="H64" s="764"/>
      <c r="I64" s="764"/>
      <c r="J64" s="764"/>
      <c r="K64" s="766"/>
      <c r="L64" s="767"/>
      <c r="M64" s="764"/>
      <c r="N64" s="764"/>
      <c r="O64" s="1158"/>
      <c r="P64" s="503"/>
      <c r="Q64" s="504"/>
    </row>
    <row r="65" spans="1:17" s="508" customFormat="1" ht="15">
      <c r="A65" s="2709" t="s">
        <v>2779</v>
      </c>
      <c r="B65" s="1358"/>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7" customFormat="1" ht="30.75" customHeight="1">
      <c r="A66" s="2714" t="s">
        <v>2798</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2587</v>
      </c>
      <c r="B70" s="528" t="s">
        <v>2553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2781</v>
      </c>
      <c r="C87" s="573" t="s">
        <v>2596</v>
      </c>
      <c r="D87" s="573" t="s">
        <v>2597</v>
      </c>
      <c r="E87" s="573" t="s">
        <v>2598</v>
      </c>
      <c r="F87" s="573" t="s">
        <v>2599</v>
      </c>
      <c r="G87" s="573" t="s">
        <v>2600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2782</v>
      </c>
      <c r="C89" s="573" t="s">
        <v>2596</v>
      </c>
      <c r="D89" s="573" t="s">
        <v>2597</v>
      </c>
      <c r="E89" s="573" t="s">
        <v>2598</v>
      </c>
      <c r="F89" s="573" t="s">
        <v>2599</v>
      </c>
      <c r="G89" s="573" t="s">
        <v>2600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2799</v>
      </c>
      <c r="C93" s="660" t="s">
        <v>2674</v>
      </c>
      <c r="D93" s="660" t="s">
        <v>2675</v>
      </c>
      <c r="E93" s="660" t="s">
        <v>2676</v>
      </c>
      <c r="F93" s="660" t="s">
        <v>2677</v>
      </c>
      <c r="G93" s="660" t="s">
        <v>2678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2562</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2788</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2790</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2800</v>
      </c>
      <c r="B1" s="241"/>
      <c r="C1" s="245" t="s">
        <v>2801</v>
      </c>
      <c r="D1" s="388">
        <f>SUM(D29:D30,D33:D39)</f>
        <v>0</v>
      </c>
      <c r="E1" s="2715"/>
      <c r="F1" s="2715"/>
      <c r="G1" s="2715"/>
      <c r="H1" s="2715"/>
      <c r="I1" s="2715"/>
      <c r="J1" s="2715"/>
      <c r="K1" s="1369"/>
      <c r="L1" s="2716" t="s">
        <v>2802</v>
      </c>
      <c r="M1" s="1079">
        <f>SUMPRODUCT((区片价!B5:B9=I2)*(区片价!C3:F3=E2)*(区片价!C5:F9))</f>
        <v>0</v>
      </c>
      <c r="N1" s="1082">
        <f>SUMPRODUCT((因素修正幅度!B5:B9=I2)*(因素修正幅度!C3:F3=E2)*(因素修正幅度!C5:F9))</f>
        <v>0</v>
      </c>
      <c r="O1" s="2717"/>
      <c r="P1" s="2717"/>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t="e">
        <f>C26</f>
        <v>#DIV/0!</v>
      </c>
      <c r="C2" s="2719" t="s">
        <v>2809</v>
      </c>
      <c r="D2" s="2720" t="s">
        <v>2810</v>
      </c>
      <c r="E2" s="2721"/>
      <c r="F2" s="2720" t="s">
        <v>2811</v>
      </c>
      <c r="G2" s="2722">
        <f>IF(E2="商业",项目基本情况!B37,IF(E2="办公",项目基本情况!C37,IF(E2="住宅",项目基本情况!D37,项目基本情况!E37)))</f>
        <v>0</v>
      </c>
      <c r="H2" s="2720" t="s">
        <v>2812</v>
      </c>
      <c r="I2" s="2722">
        <f>IF(E2="商业",项目基本情况!B38,IF(E2="办公",项目基本情况!C38,IF(E2="住宅",项目基本情况!D38,项目基本情况!E38)))</f>
        <v>0</v>
      </c>
      <c r="J2" s="2723"/>
      <c r="K2" s="1369"/>
      <c r="L2" s="2724" t="s">
        <v>2813</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2814</v>
      </c>
      <c r="B3" s="248" t="e">
        <f>ROUND(B2*10000/D1,0)</f>
        <v>#DIV/0!</v>
      </c>
      <c r="C3" s="2719" t="s">
        <v>2815</v>
      </c>
      <c r="D3" s="2720" t="s">
        <v>2816</v>
      </c>
      <c r="E3" s="2725"/>
      <c r="F3" s="2726" t="s">
        <v>2817</v>
      </c>
      <c r="G3" s="912">
        <f>IF(F3="宗地容积率",'数据-汇总表'!I4,IF(F3="估价对象容积率",'数据-汇总表'!I6,'数据-汇总表'!I7))</f>
        <v>2.09</v>
      </c>
      <c r="H3" s="198" t="s">
        <v>2818</v>
      </c>
      <c r="I3" s="943"/>
      <c r="J3" s="2723" t="s">
        <v>2819</v>
      </c>
      <c r="K3" s="1369"/>
      <c r="L3" s="2724" t="s">
        <v>2820</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9"/>
      <c r="B4" s="3260"/>
      <c r="C4" s="3260"/>
      <c r="D4" s="3261"/>
      <c r="E4" s="3261"/>
      <c r="F4" s="3261"/>
      <c r="G4" s="3261"/>
      <c r="H4" s="3261"/>
      <c r="I4" s="3261"/>
      <c r="J4" s="3262"/>
      <c r="K4" s="1369"/>
      <c r="L4" s="2724" t="s">
        <v>2821</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2822</v>
      </c>
      <c r="C5" s="913" t="e">
        <f>ROUND(IF(E2="商业",IF(F16="增加",C6*C7+C16,C6*C7-C16),IF(E2="住宅",IF(F16="增加",C6*C12+C16,C6*C12-C16),IF(F16="增加",C6+C16,C6-C16))),0)</f>
        <v>#DIV/0!</v>
      </c>
      <c r="D5" s="1786">
        <f>ROUND(IF(E2="商业",IF(F16="增加",C6+C16,C6-C16)),0)</f>
        <v>0</v>
      </c>
      <c r="E5" s="2729"/>
      <c r="F5" s="2729"/>
      <c r="G5" s="2730"/>
      <c r="H5" s="2730"/>
      <c r="I5" s="2730"/>
      <c r="J5" s="2731"/>
      <c r="K5" s="2732"/>
      <c r="L5" s="2724" t="s">
        <v>2823</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2824</v>
      </c>
      <c r="B6" s="2738" t="s">
        <v>2825</v>
      </c>
      <c r="C6" s="914">
        <f>SUMIF(L1:L12,G2,M1:M12)</f>
        <v>0</v>
      </c>
      <c r="D6" s="2739" t="s">
        <v>2826</v>
      </c>
      <c r="E6" s="2740"/>
      <c r="F6" s="2740"/>
      <c r="G6" s="2741"/>
      <c r="H6" s="2741"/>
      <c r="I6" s="2741"/>
      <c r="J6" s="2742"/>
      <c r="K6" s="1841"/>
      <c r="L6" s="2724" t="s">
        <v>2827</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63" t="str">
        <f>IF(E2="商业",IF(C8="不临58条商业街","",2),"")</f>
        <v/>
      </c>
      <c r="B7" s="2743" t="s">
        <v>2828</v>
      </c>
      <c r="C7" s="915" t="e">
        <f>IF(C8="不临58条商业街",1,ROUND(1+(1.6*E8+1.2*E9+0.8*E10+0.4*E11)*C9,4))</f>
        <v>#DIV/0!</v>
      </c>
      <c r="D7" s="2744" t="s">
        <v>2829</v>
      </c>
      <c r="E7" s="944"/>
      <c r="F7" s="2745"/>
      <c r="G7" s="2746"/>
      <c r="H7" s="2746"/>
      <c r="I7" s="2746"/>
      <c r="J7" s="2747"/>
      <c r="K7" s="1841"/>
      <c r="L7" s="2724" t="s">
        <v>2830</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2831</v>
      </c>
      <c r="X7" s="1603">
        <f>G2</f>
        <v>0</v>
      </c>
      <c r="Y7" s="1603" t="s">
        <v>2832</v>
      </c>
      <c r="Z7" s="1604">
        <f>G3</f>
        <v>2.09</v>
      </c>
      <c r="AA7" s="1605"/>
      <c r="AB7" s="1605"/>
      <c r="AC7" s="1606"/>
      <c r="AD7" s="1607"/>
      <c r="AE7" s="1607"/>
      <c r="AF7" s="1607"/>
      <c r="AG7" s="1607"/>
      <c r="AH7" s="1607"/>
      <c r="AI7" s="1607"/>
      <c r="AJ7" s="1608"/>
    </row>
    <row r="8" spans="1:36" ht="15">
      <c r="A8" s="3264"/>
      <c r="B8" s="198" t="s">
        <v>2833</v>
      </c>
      <c r="C8" s="2748"/>
      <c r="D8" s="916" t="s">
        <v>139</v>
      </c>
      <c r="E8" s="917" t="e">
        <f>ROUND(C11/E7,4)</f>
        <v>#DIV/0!</v>
      </c>
      <c r="F8" s="2749" t="s">
        <v>2834</v>
      </c>
      <c r="G8" s="2750"/>
      <c r="H8" s="2750"/>
      <c r="I8" s="2750"/>
      <c r="J8" s="2751"/>
      <c r="K8" s="1369"/>
      <c r="L8" s="2724"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56" t="s">
        <v>2836</v>
      </c>
      <c r="X8" s="3257"/>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264"/>
      <c r="B9" s="198" t="s">
        <v>2849</v>
      </c>
      <c r="C9" s="918">
        <f>SUMIF(修正!C59:C119,C8,修正!E59:E119)</f>
        <v>0</v>
      </c>
      <c r="D9" s="200" t="s">
        <v>140</v>
      </c>
      <c r="E9" s="200" t="e">
        <f>ROUND(C11/E7,4)</f>
        <v>#DIV/0!</v>
      </c>
      <c r="F9" s="2749" t="s">
        <v>2850</v>
      </c>
      <c r="G9" s="2750"/>
      <c r="H9" s="2750"/>
      <c r="I9" s="2750"/>
      <c r="J9" s="2751"/>
      <c r="K9" s="1369"/>
      <c r="L9" s="2724"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58"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4"/>
      <c r="B10" s="198" t="s">
        <v>2854</v>
      </c>
      <c r="C10" s="200">
        <f>SUMIF(修正!C59:C119,C8,修正!F59:F119)</f>
        <v>0</v>
      </c>
      <c r="D10" s="200" t="s">
        <v>141</v>
      </c>
      <c r="E10" s="200" t="e">
        <f>ROUND(C11/E7,4)</f>
        <v>#DIV/0!</v>
      </c>
      <c r="F10" s="2749" t="s">
        <v>2855</v>
      </c>
      <c r="G10" s="2750"/>
      <c r="H10" s="2750"/>
      <c r="I10" s="2750"/>
      <c r="J10" s="2751"/>
      <c r="K10" s="1369"/>
      <c r="L10" s="2724"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5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4"/>
      <c r="B11" s="2752" t="s">
        <v>2857</v>
      </c>
      <c r="C11" s="919">
        <f>C10/4</f>
        <v>0</v>
      </c>
      <c r="D11" s="919" t="s">
        <v>142</v>
      </c>
      <c r="E11" s="919" t="e">
        <f>ROUND(C11/E7,4)</f>
        <v>#DIV/0!</v>
      </c>
      <c r="F11" s="2753" t="s">
        <v>2858</v>
      </c>
      <c r="G11" s="2754"/>
      <c r="H11" s="2754"/>
      <c r="I11" s="2754"/>
      <c r="J11" s="2755"/>
      <c r="K11" s="1369"/>
      <c r="L11" s="2724"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58" t="s">
        <v>2860</v>
      </c>
      <c r="X11" s="1613" t="s">
        <v>2861</v>
      </c>
      <c r="Y11" s="1614">
        <f>$G$3</f>
        <v>2.09</v>
      </c>
      <c r="Z11" s="1614">
        <f t="shared" ref="Z11:AJ11" si="3">$G$3</f>
        <v>2.09</v>
      </c>
      <c r="AA11" s="1614">
        <f t="shared" si="3"/>
        <v>2.09</v>
      </c>
      <c r="AB11" s="1614">
        <f t="shared" si="3"/>
        <v>2.09</v>
      </c>
      <c r="AC11" s="1614">
        <f t="shared" si="3"/>
        <v>2.09</v>
      </c>
      <c r="AD11" s="1614">
        <f t="shared" si="3"/>
        <v>2.09</v>
      </c>
      <c r="AE11" s="1614">
        <f t="shared" si="3"/>
        <v>2.09</v>
      </c>
      <c r="AF11" s="1614">
        <f t="shared" si="3"/>
        <v>2.09</v>
      </c>
      <c r="AG11" s="1614">
        <f t="shared" si="3"/>
        <v>2.09</v>
      </c>
      <c r="AH11" s="1614">
        <f t="shared" si="3"/>
        <v>2.09</v>
      </c>
      <c r="AI11" s="1614">
        <f t="shared" si="3"/>
        <v>2.09</v>
      </c>
      <c r="AJ11" s="1614">
        <f t="shared" si="3"/>
        <v>2.09</v>
      </c>
    </row>
    <row r="12" spans="1:36" ht="25.5" thickBot="1">
      <c r="A12" s="3263" t="s">
        <v>2862</v>
      </c>
      <c r="B12" s="2756" t="s">
        <v>2863</v>
      </c>
      <c r="C12" s="915">
        <f>ROUND(C15*D15*E15*F15*G15*H15*I15*J15,4)</f>
        <v>1</v>
      </c>
      <c r="D12" s="2757" t="s">
        <v>2864</v>
      </c>
      <c r="E12" s="2758"/>
      <c r="F12" s="2758"/>
      <c r="G12" s="2759"/>
      <c r="H12" s="2759"/>
      <c r="I12" s="2759"/>
      <c r="J12" s="2760"/>
      <c r="K12" s="1369"/>
      <c r="L12" s="2761"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58"/>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5"/>
      <c r="B13" s="2762" t="s">
        <v>2867</v>
      </c>
      <c r="C13" s="2763" t="s">
        <v>2868</v>
      </c>
      <c r="D13" s="1807" t="s">
        <v>2869</v>
      </c>
      <c r="E13" s="1807" t="s">
        <v>2870</v>
      </c>
      <c r="F13" s="30" t="s">
        <v>2871</v>
      </c>
      <c r="G13" s="2764" t="s">
        <v>2872</v>
      </c>
      <c r="H13" s="2764" t="s">
        <v>2872</v>
      </c>
      <c r="I13" s="2764" t="s">
        <v>2872</v>
      </c>
      <c r="J13" s="2765" t="s">
        <v>2872</v>
      </c>
      <c r="K13" s="1369"/>
      <c r="L13" s="1369"/>
      <c r="M13" s="1369"/>
      <c r="N13" s="1369"/>
      <c r="O13" s="1369"/>
      <c r="P13" s="1369"/>
      <c r="Q13" s="1369"/>
      <c r="R13" s="1601">
        <v>12</v>
      </c>
      <c r="S13" s="1602"/>
      <c r="T13" s="1601" t="e">
        <f t="shared" si="0"/>
        <v>#DIV/0!</v>
      </c>
      <c r="U13" s="1602"/>
      <c r="V13" s="1601" t="e">
        <f t="shared" si="1"/>
        <v>#DIV/0!</v>
      </c>
      <c r="W13" s="3258"/>
      <c r="X13" s="1615"/>
      <c r="Y13" s="1612">
        <f>(-0.163*(Y12^2)-0.59*Y12+7617)*(10^(-4))/Y11</f>
        <v>0.3644497607655503</v>
      </c>
      <c r="Z13" s="1612">
        <f t="shared" ref="Z13:AJ13" si="5">(-0.163*(Z12^2)-0.59*Z12+7617)*(10^(-4))/Z11</f>
        <v>0.3644497607655503</v>
      </c>
      <c r="AA13" s="1612">
        <f t="shared" si="5"/>
        <v>0.3644497607655503</v>
      </c>
      <c r="AB13" s="1612">
        <f t="shared" si="5"/>
        <v>0.3644497607655503</v>
      </c>
      <c r="AC13" s="1612">
        <f t="shared" si="5"/>
        <v>0.3644497607655503</v>
      </c>
      <c r="AD13" s="1612">
        <f t="shared" si="5"/>
        <v>0.3644497607655503</v>
      </c>
      <c r="AE13" s="1612">
        <f t="shared" si="5"/>
        <v>0.3644497607655503</v>
      </c>
      <c r="AF13" s="1612">
        <f t="shared" si="5"/>
        <v>0.3644497607655503</v>
      </c>
      <c r="AG13" s="1612">
        <f t="shared" si="5"/>
        <v>0.3644497607655503</v>
      </c>
      <c r="AH13" s="1612">
        <f t="shared" si="5"/>
        <v>0.3644497607655503</v>
      </c>
      <c r="AI13" s="1612">
        <f t="shared" si="5"/>
        <v>0.3644497607655503</v>
      </c>
      <c r="AJ13" s="1612">
        <f t="shared" si="5"/>
        <v>0.3644497607655503</v>
      </c>
    </row>
    <row r="14" spans="1:36" ht="15">
      <c r="A14" s="3265"/>
      <c r="B14" s="2766"/>
      <c r="C14" s="2767"/>
      <c r="D14" s="2768"/>
      <c r="E14" s="2768"/>
      <c r="F14" s="2769"/>
      <c r="G14" s="2770" t="s">
        <v>2873</v>
      </c>
      <c r="H14" s="2771"/>
      <c r="I14" s="2772"/>
      <c r="J14" s="2773"/>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66"/>
      <c r="B15" s="2774" t="s">
        <v>2874</v>
      </c>
      <c r="C15" s="229">
        <f>IF(C14="有",1.1,1)</f>
        <v>1</v>
      </c>
      <c r="D15" s="229">
        <f>IF(D14="有",1.1,1)</f>
        <v>1</v>
      </c>
      <c r="E15" s="229">
        <f>IF(E14="有",1.1,1)</f>
        <v>1</v>
      </c>
      <c r="F15" s="229">
        <f>IF(F14="500米范围内",1.2,IF(F14="500-1000米",1.1,1))</f>
        <v>1</v>
      </c>
      <c r="G15" s="945">
        <v>1</v>
      </c>
      <c r="H15" s="945">
        <v>1</v>
      </c>
      <c r="I15" s="945">
        <v>1</v>
      </c>
      <c r="J15" s="946">
        <v>1</v>
      </c>
      <c r="K15" s="1369"/>
      <c r="L15" s="2775" t="s">
        <v>2810</v>
      </c>
      <c r="M15" s="916" t="s">
        <v>2875</v>
      </c>
      <c r="N15" s="916" t="s">
        <v>2876</v>
      </c>
      <c r="O15" s="916" t="s">
        <v>2877</v>
      </c>
      <c r="P15" s="2776" t="s">
        <v>2878</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63" t="s">
        <v>2879</v>
      </c>
      <c r="B16" s="2743" t="s">
        <v>2880</v>
      </c>
      <c r="C16" s="1800" t="e">
        <f>ROUND(SUM(G17:J17)/C17,0)</f>
        <v>#DIV/0!</v>
      </c>
      <c r="D16" s="2777" t="s">
        <v>2881</v>
      </c>
      <c r="E16" s="2778"/>
      <c r="F16" s="2779"/>
      <c r="G16" s="2780"/>
      <c r="H16" s="2780"/>
      <c r="I16" s="2780"/>
      <c r="J16" s="2781"/>
      <c r="K16" s="1369"/>
      <c r="L16" s="2782" t="s">
        <v>2882</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4"/>
      <c r="B17" s="2783" t="s">
        <v>2883</v>
      </c>
      <c r="C17" s="920">
        <f>SUMPRODUCT((修正!A2:A5=E2)*(修正!B1:M1=G2)*(修正!B2:M5))</f>
        <v>0</v>
      </c>
      <c r="D17" s="2784" t="s">
        <v>2884</v>
      </c>
      <c r="E17" s="919" t="str">
        <f>IF(OR(G2="八级",G2="九级",G2="十级",G2="十一级",G2="十二级"),"五通一平","七通一平")</f>
        <v>七通一平</v>
      </c>
      <c r="F17" s="920" t="s">
        <v>2885</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5" t="s">
        <v>2886</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2887</v>
      </c>
      <c r="C18" s="922">
        <f>SUMIF(修正!C18:C39,E3,修正!E18:E39)</f>
        <v>0</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7.75" thickBot="1">
      <c r="A19" s="2787" t="s">
        <v>809</v>
      </c>
      <c r="B19" s="2788" t="s">
        <v>2888</v>
      </c>
      <c r="C19" s="923" t="e">
        <f>ROUND(IF(H19="按公示增长率计算",SUMPRODUCT((地价!A3:A20=YEAR(G19)&amp;"-"&amp;ROUNDUP(MONTH(G19)/3,0))*(地价!X2:AB2=E2)*(地价!X3:AB20)),IF(H19="地价指数",M20/M19,(1+I19)^O19)),4)</f>
        <v>#DIV/0!</v>
      </c>
      <c r="D19" s="2795" t="s">
        <v>2889</v>
      </c>
      <c r="E19" s="924">
        <v>41640</v>
      </c>
      <c r="F19" s="2795" t="s">
        <v>2890</v>
      </c>
      <c r="G19" s="925">
        <f>'数据-取费表'!B2</f>
        <v>43076</v>
      </c>
      <c r="H19" s="2796" t="s">
        <v>2891</v>
      </c>
      <c r="I19" s="926" t="str">
        <f>IF(H19="季度增幅（自定义）",SUMIF(N21:N24,E2,O21:O24),"")</f>
        <v/>
      </c>
      <c r="J19" s="2793"/>
      <c r="K19" s="1376"/>
      <c r="L19" s="2797" t="s">
        <v>2892</v>
      </c>
      <c r="M19" s="1733">
        <f>ROUND(SUMIF(地价!B2:F2,E2,地价!B20:F20),0)</f>
        <v>0</v>
      </c>
      <c r="N19" s="2798" t="s">
        <v>2893</v>
      </c>
      <c r="O19" s="927">
        <f>ROUNDDOWN(DATEDIF(E19,G19,"M")/3,0)</f>
        <v>15</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2894</v>
      </c>
      <c r="C20" s="928" t="e">
        <f>ROUND(POWER(1+G20,J20-I20)*(POWER(1+G20,I20)-1)/(POWER(1+G20,J20)-1),4)</f>
        <v>#DIV/0!</v>
      </c>
      <c r="D20" s="2804" t="s">
        <v>2895</v>
      </c>
      <c r="E20" s="1767">
        <f ca="1">存贷款利率!D4/100</f>
        <v>4.3499999999999997E-2</v>
      </c>
      <c r="F20" s="2804" t="s">
        <v>2886</v>
      </c>
      <c r="G20" s="933">
        <f>SUMIF(M15:P15,E2,M17:P17)</f>
        <v>0</v>
      </c>
      <c r="H20" s="2804" t="s">
        <v>2896</v>
      </c>
      <c r="I20" s="934" t="e">
        <f>SUMIF('数据-取费表'!C6:C15,E2,'数据-取费表'!F6:F15)/COUNTIF('数据-取费表'!C6:C15,E2)</f>
        <v>#DIV/0!</v>
      </c>
      <c r="J20" s="935">
        <f>IF(E2="住宅",70,IF(E2="商业",40,50))</f>
        <v>50</v>
      </c>
      <c r="K20" s="1376"/>
      <c r="L20" s="2805" t="s">
        <v>2897</v>
      </c>
      <c r="M20" s="1734">
        <f>ROUND(SUMPRODUCT((地价!A5:A20=YEAR(G19)&amp;"-"&amp;ROUNDUP(MONTH(G19)/3,0))*(地价!B2:F2=E2)*(地价!B5:F20)),0)</f>
        <v>0</v>
      </c>
      <c r="N20" s="2806" t="s">
        <v>2898</v>
      </c>
      <c r="O20" s="2807" t="s">
        <v>2899</v>
      </c>
      <c r="P20" s="2808" t="s">
        <v>2900</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2901</v>
      </c>
      <c r="C21" s="936">
        <f>IF(B21="容积率修正",IF(G3&lt;=10,D22,J22),C23)</f>
        <v>0</v>
      </c>
      <c r="D21" s="2811"/>
      <c r="E21" s="2811"/>
      <c r="F21" s="2811"/>
      <c r="G21" s="2811"/>
      <c r="H21" s="2811"/>
      <c r="I21" s="2811"/>
      <c r="J21" s="2812"/>
      <c r="K21" s="1376"/>
      <c r="N21" s="2813" t="s">
        <v>2902</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6" customFormat="1" ht="14.25">
      <c r="A22" s="2662" t="s">
        <v>2903</v>
      </c>
      <c r="B22" s="2814" t="s">
        <v>2904</v>
      </c>
      <c r="C22" s="1809" t="s">
        <v>2905</v>
      </c>
      <c r="D22" s="1809">
        <f>IF(E22=G22,F22,IF(G3&lt;=10,ROUND(F22+(H22-F22)*(G3-E22)/(G22-E22),4),"——"))</f>
        <v>0</v>
      </c>
      <c r="E22" s="912">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13" t="s">
        <v>2906</v>
      </c>
      <c r="O22" s="1561"/>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2" t="s">
        <v>2907</v>
      </c>
      <c r="B23" s="2815" t="s">
        <v>2908</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2909</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2910</v>
      </c>
      <c r="C24" s="923">
        <f>SUMIF(A45:A88,E2,B45:B88)</f>
        <v>0</v>
      </c>
      <c r="D24" s="2791"/>
      <c r="E24" s="2821"/>
      <c r="F24" s="2821"/>
      <c r="G24" s="2821"/>
      <c r="H24" s="2821"/>
      <c r="I24" s="2821"/>
      <c r="J24" s="2822"/>
      <c r="K24" s="1376"/>
      <c r="N24" s="2823" t="s">
        <v>2911</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2912</v>
      </c>
      <c r="C25" s="929"/>
      <c r="D25" s="2746"/>
      <c r="E25" s="2746"/>
      <c r="F25" s="2825"/>
      <c r="G25" s="2746"/>
      <c r="H25" s="2746"/>
      <c r="I25" s="2746"/>
      <c r="J25" s="2747"/>
      <c r="K25" s="1369"/>
      <c r="N25" s="2826" t="s">
        <v>2913</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7"/>
      <c r="B26" s="2814" t="s">
        <v>2914</v>
      </c>
      <c r="C26" s="206" t="e">
        <f>E29+SUM(E33:E39)</f>
        <v>#DIV/0!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2915</v>
      </c>
      <c r="C27" s="930" t="e">
        <f>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2916</v>
      </c>
      <c r="C28" s="2838" t="s">
        <v>2917</v>
      </c>
      <c r="D28" s="2838" t="s">
        <v>2918</v>
      </c>
      <c r="E28" s="2839" t="s">
        <v>2919</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2920</v>
      </c>
      <c r="C29" s="206" t="e">
        <f>ROUND(C5*C18*C19*C20*C21*C24,0)</f>
        <v>#DIV/0!</v>
      </c>
      <c r="D29" s="2843"/>
      <c r="E29" s="941" t="e">
        <f>ROUND(C29*D29/10000,0)</f>
        <v>#DIV/0!</v>
      </c>
      <c r="F29" s="2844" t="s">
        <v>2921</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2922</v>
      </c>
      <c r="C30" s="229" t="e">
        <f>ROUND(IF(E2="工业",C29*M39,C29*M38),0)</f>
        <v>#DIV/0!</v>
      </c>
      <c r="D30" s="2849"/>
      <c r="E30" s="941" t="e">
        <f>ROUND(C30*D30/10000,0)</f>
        <v>#DIV/0!</v>
      </c>
      <c r="F30" s="2850" t="s">
        <v>2923</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2917</v>
      </c>
      <c r="D32" s="498" t="s">
        <v>2918</v>
      </c>
      <c r="E32" s="498" t="s">
        <v>2919</v>
      </c>
      <c r="F32" s="388" t="s">
        <v>2927</v>
      </c>
      <c r="G32" s="2858" t="s">
        <v>2917</v>
      </c>
      <c r="H32" s="2858" t="s">
        <v>2918</v>
      </c>
      <c r="I32" s="2858"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73" t="s">
        <v>2928</v>
      </c>
      <c r="B33" s="2859" t="s">
        <v>2929</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4"/>
      <c r="B34" s="2763" t="s">
        <v>2930</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4"/>
      <c r="B35" s="2763" t="s">
        <v>2931</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69"/>
      <c r="L35" s="1369"/>
      <c r="M35" s="1369"/>
      <c r="N35" s="1369"/>
      <c r="O35" s="1369"/>
      <c r="P35" s="1369"/>
      <c r="Q35" s="1369"/>
      <c r="R35" s="1369"/>
      <c r="S35" s="1369"/>
      <c r="T35" s="1369"/>
      <c r="U35" s="1369"/>
      <c r="V35" s="1369"/>
      <c r="W35" s="1369"/>
      <c r="X35" s="1369"/>
      <c r="Y35" s="1369"/>
      <c r="Z35" s="1370"/>
    </row>
    <row r="36" spans="1:37" ht="13.5" thickBot="1">
      <c r="A36" s="3275"/>
      <c r="B36" s="2763" t="s">
        <v>2932</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2933</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69"/>
      <c r="L37" s="2862" t="s">
        <v>2934</v>
      </c>
      <c r="M37" s="2863"/>
      <c r="N37" s="1369"/>
      <c r="O37" s="1369"/>
      <c r="P37" s="1369"/>
      <c r="Q37" s="1369"/>
      <c r="R37" s="1369"/>
      <c r="S37" s="1369"/>
      <c r="T37" s="1369"/>
      <c r="U37" s="1369"/>
      <c r="V37" s="1369"/>
      <c r="W37" s="1369"/>
      <c r="X37" s="1369"/>
      <c r="Y37" s="1369"/>
      <c r="Z37" s="1370"/>
    </row>
    <row r="38" spans="1:37">
      <c r="A38" s="2861"/>
      <c r="B38" s="2763" t="s">
        <v>2935</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69"/>
      <c r="L38" s="1886" t="s">
        <v>2936</v>
      </c>
      <c r="M38" s="2864">
        <v>0.25</v>
      </c>
      <c r="N38" s="1369"/>
      <c r="O38" s="1369"/>
      <c r="P38" s="1369"/>
      <c r="Q38" s="1369"/>
      <c r="R38" s="1369"/>
      <c r="S38" s="1369"/>
      <c r="T38" s="1369"/>
      <c r="U38" s="1369"/>
      <c r="V38" s="1369"/>
      <c r="W38" s="1369"/>
      <c r="X38" s="1369"/>
      <c r="Y38" s="1369"/>
      <c r="Z38" s="1370"/>
    </row>
    <row r="39" spans="1:37" ht="13.5" thickBot="1">
      <c r="A39" s="2847"/>
      <c r="B39" s="2865" t="s">
        <v>2937</v>
      </c>
      <c r="C39" s="229" t="e">
        <f>ROUND(C5*C19*C20*C24*F39,0)</f>
        <v>#DIV/0!</v>
      </c>
      <c r="D39" s="2849"/>
      <c r="E39" s="229" t="e">
        <f t="shared" si="7"/>
        <v>#DIV/0!</v>
      </c>
      <c r="F39" s="931">
        <f>SUMIF(修正!A45:A56,G2,修正!H45:H56)</f>
        <v>0</v>
      </c>
      <c r="G39" s="229" t="e">
        <f t="shared" si="6"/>
        <v>#DIV/0!</v>
      </c>
      <c r="H39" s="229">
        <f t="shared" si="8"/>
        <v>0</v>
      </c>
      <c r="I39" s="229" t="e">
        <f t="shared" si="9"/>
        <v>#DIV/0!</v>
      </c>
      <c r="J39" s="2866"/>
      <c r="K39" s="1369"/>
      <c r="L39" s="2867" t="s">
        <v>2878</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2938</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2939</v>
      </c>
      <c r="B46" s="2873">
        <f>1+E48</f>
        <v>1</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2940</v>
      </c>
      <c r="B47" s="1808" t="s">
        <v>2941</v>
      </c>
      <c r="C47" s="1808" t="s">
        <v>2942</v>
      </c>
      <c r="D47" s="1808" t="s">
        <v>2943</v>
      </c>
      <c r="E47" s="815" t="s">
        <v>2944</v>
      </c>
      <c r="F47" s="2877" t="s">
        <v>2945</v>
      </c>
      <c r="G47" s="1808" t="s">
        <v>754</v>
      </c>
      <c r="H47" s="2878" t="s">
        <v>2946</v>
      </c>
      <c r="I47" s="1808" t="s">
        <v>2947</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38.25">
      <c r="A48" s="2876" t="s">
        <v>2948</v>
      </c>
      <c r="B48" s="2879" t="str">
        <f>估价对象房地状况!C4</f>
        <v>估价对象位于XX商圈，周边商业氛围成熟，人流量大，商业繁华度好</v>
      </c>
      <c r="C48" s="2768"/>
      <c r="D48" s="1285">
        <f t="shared" ref="D48:D56" si="10">SUMIF($J$47:$N$47,C48,J48:N48)</f>
        <v>0</v>
      </c>
      <c r="E48" s="817">
        <f>ROUND(SUM(D48:D56),4)</f>
        <v>0</v>
      </c>
      <c r="F48" s="2499"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2949</v>
      </c>
      <c r="B49" s="2880" t="str">
        <f>估价对象房地状况!C18</f>
        <v>估价对象周边道路状况、公共交通通达情况、停车便捷程度，综合评价交通便捷度较好</v>
      </c>
      <c r="C49" s="2768"/>
      <c r="D49" s="1285">
        <f t="shared" si="10"/>
        <v>0</v>
      </c>
      <c r="E49" s="818"/>
      <c r="F49" s="2499"/>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2950</v>
      </c>
      <c r="B50" s="2880">
        <f>估价对象房地状况!C19</f>
        <v>0</v>
      </c>
      <c r="C50" s="2768"/>
      <c r="D50" s="1285">
        <f t="shared" si="10"/>
        <v>0</v>
      </c>
      <c r="E50" s="818"/>
      <c r="F50" s="2499"/>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2951</v>
      </c>
      <c r="B51" s="2881" t="s">
        <v>2952</v>
      </c>
      <c r="C51" s="2768"/>
      <c r="D51" s="1285">
        <f t="shared" si="10"/>
        <v>0</v>
      </c>
      <c r="E51" s="818"/>
      <c r="F51" s="2499"/>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2953</v>
      </c>
      <c r="B52" s="2880">
        <f>估价对象房地状况!C24</f>
        <v>0</v>
      </c>
      <c r="C52" s="2768"/>
      <c r="D52" s="1285">
        <f t="shared" si="10"/>
        <v>0</v>
      </c>
      <c r="E52" s="818"/>
      <c r="F52" s="2499"/>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2954</v>
      </c>
      <c r="B53" s="2882" t="s">
        <v>2955</v>
      </c>
      <c r="C53" s="2768"/>
      <c r="D53" s="1285">
        <f t="shared" si="10"/>
        <v>0</v>
      </c>
      <c r="E53" s="818"/>
      <c r="F53" s="2499"/>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2956</v>
      </c>
      <c r="B54" s="1724" t="str">
        <f>估价对象房地状况!C21</f>
        <v>估价对象所在区域公共配套设施齐备情况</v>
      </c>
      <c r="C54" s="2768"/>
      <c r="D54" s="1285">
        <f t="shared" si="10"/>
        <v>0</v>
      </c>
      <c r="E54" s="818"/>
      <c r="F54" s="2499"/>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2957</v>
      </c>
      <c r="B55" s="2880" t="str">
        <f>估价对象房地状况!C22</f>
        <v>估价对象所在区域基础设施水平</v>
      </c>
      <c r="C55" s="2768"/>
      <c r="D55" s="1285">
        <f t="shared" si="10"/>
        <v>0</v>
      </c>
      <c r="E55" s="818"/>
      <c r="F55" s="2499"/>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2958</v>
      </c>
      <c r="B56" s="2885" t="str">
        <f>估价对象房地状况!C20</f>
        <v>区域自然环境：；人文环境；综合评价环境状况一般</v>
      </c>
      <c r="C56" s="2768"/>
      <c r="D56" s="1285">
        <f t="shared" si="10"/>
        <v>0</v>
      </c>
      <c r="E56" s="821"/>
      <c r="F56" s="2499"/>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2959</v>
      </c>
      <c r="B57" s="2873">
        <f>1+E59</f>
        <v>1</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2940</v>
      </c>
      <c r="B58" s="1808"/>
      <c r="C58" s="1808" t="s">
        <v>2942</v>
      </c>
      <c r="D58" s="1808" t="s">
        <v>2943</v>
      </c>
      <c r="E58" s="815" t="s">
        <v>2944</v>
      </c>
      <c r="F58" s="2877" t="s">
        <v>2960</v>
      </c>
      <c r="G58" s="1808" t="s">
        <v>754</v>
      </c>
      <c r="H58" s="2878" t="s">
        <v>2946</v>
      </c>
      <c r="I58" s="1808" t="s">
        <v>2947</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38.25">
      <c r="A59" s="2876" t="s">
        <v>2961</v>
      </c>
      <c r="B59" s="2879" t="str">
        <f>估价对象房地状况!C17</f>
        <v>估价对象位于XX商圈，周边办公楼项目较多，入驻率高，办公集聚程度较好</v>
      </c>
      <c r="C59" s="2768"/>
      <c r="D59" s="1285">
        <f t="shared" ref="D59:D67" si="15">SUMIF($J$58:$N$58,C59,J59:N59)</f>
        <v>0</v>
      </c>
      <c r="E59" s="817">
        <f>ROUND(SUM(D59:D67),4)</f>
        <v>0</v>
      </c>
      <c r="F59" s="2499"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6" t="s">
        <v>2949</v>
      </c>
      <c r="B60" s="2880" t="str">
        <f>估价对象房地状况!C18</f>
        <v>估价对象周边道路状况、公共交通通达情况、停车便捷程度，综合评价交通便捷度较好</v>
      </c>
      <c r="C60" s="2768"/>
      <c r="D60" s="1285">
        <f t="shared" si="15"/>
        <v>0</v>
      </c>
      <c r="E60" s="818"/>
      <c r="F60" s="2499"/>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2950</v>
      </c>
      <c r="B61" s="2880">
        <f>估价对象房地状况!C19</f>
        <v>0</v>
      </c>
      <c r="C61" s="2768"/>
      <c r="D61" s="1285">
        <f t="shared" si="15"/>
        <v>0</v>
      </c>
      <c r="E61" s="818"/>
      <c r="F61" s="2499"/>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2951</v>
      </c>
      <c r="B62" s="2881" t="s">
        <v>2952</v>
      </c>
      <c r="C62" s="2768"/>
      <c r="D62" s="1285">
        <f t="shared" si="15"/>
        <v>0</v>
      </c>
      <c r="E62" s="818"/>
      <c r="F62" s="2499"/>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2953</v>
      </c>
      <c r="B63" s="2880">
        <f>估价对象房地状况!C24</f>
        <v>0</v>
      </c>
      <c r="C63" s="2768"/>
      <c r="D63" s="1285">
        <f t="shared" si="15"/>
        <v>0</v>
      </c>
      <c r="E63" s="818"/>
      <c r="F63" s="2499"/>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2954</v>
      </c>
      <c r="B64" s="2882" t="s">
        <v>2955</v>
      </c>
      <c r="C64" s="2768"/>
      <c r="D64" s="1285">
        <f t="shared" si="15"/>
        <v>0</v>
      </c>
      <c r="E64" s="818"/>
      <c r="F64" s="2499"/>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6" t="s">
        <v>2956</v>
      </c>
      <c r="B65" s="1724" t="str">
        <f>估价对象房地状况!C21</f>
        <v>估价对象所在区域公共配套设施齐备情况</v>
      </c>
      <c r="C65" s="2768"/>
      <c r="D65" s="1285">
        <f t="shared" si="15"/>
        <v>0</v>
      </c>
      <c r="E65" s="818"/>
      <c r="F65" s="2499"/>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2957</v>
      </c>
      <c r="B66" s="1724" t="str">
        <f>估价对象房地状况!C22</f>
        <v>估价对象所在区域基础设施水平</v>
      </c>
      <c r="C66" s="2768"/>
      <c r="D66" s="1285">
        <f t="shared" si="15"/>
        <v>0</v>
      </c>
      <c r="E66" s="818"/>
      <c r="F66" s="2499"/>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2958</v>
      </c>
      <c r="B67" s="2886" t="str">
        <f>估价对象房地状况!C20</f>
        <v>区域自然环境：；人文环境；综合评价环境状况一般</v>
      </c>
      <c r="C67" s="2768"/>
      <c r="D67" s="1285">
        <f t="shared" si="15"/>
        <v>0</v>
      </c>
      <c r="E67" s="821"/>
      <c r="F67" s="2499"/>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2962</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2940</v>
      </c>
      <c r="B69" s="1808"/>
      <c r="C69" s="1808" t="s">
        <v>2942</v>
      </c>
      <c r="D69" s="1808" t="s">
        <v>2943</v>
      </c>
      <c r="E69" s="815" t="s">
        <v>2944</v>
      </c>
      <c r="F69" s="2877" t="s">
        <v>2960</v>
      </c>
      <c r="G69" s="1808" t="s">
        <v>754</v>
      </c>
      <c r="H69" s="2878" t="s">
        <v>2946</v>
      </c>
      <c r="I69" s="1808" t="s">
        <v>2947</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51">
      <c r="A70" s="2876" t="s">
        <v>2963</v>
      </c>
      <c r="B70" s="2879" t="str">
        <f>估价对象房地状况!C15</f>
        <v>估价对象周边居住用地比例、居住小区规模和社区发展完善程度，综合评价居住社区成熟度一般</v>
      </c>
      <c r="C70" s="2768"/>
      <c r="D70" s="1285">
        <f t="shared" ref="D70:D78" si="20">SUMIF($J$69:$N$69,C70,J70:N70)</f>
        <v>0</v>
      </c>
      <c r="E70" s="817">
        <f>ROUND(SUM(D70:D78),4)</f>
        <v>0</v>
      </c>
      <c r="F70" s="2499"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2949</v>
      </c>
      <c r="B71" s="2880" t="str">
        <f>估价对象房地状况!C18</f>
        <v>估价对象周边道路状况、公共交通通达情况、停车便捷程度，综合评价交通便捷度较好</v>
      </c>
      <c r="C71" s="2768"/>
      <c r="D71" s="1285">
        <f t="shared" si="20"/>
        <v>0</v>
      </c>
      <c r="E71" s="822"/>
      <c r="F71" s="2499"/>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2950</v>
      </c>
      <c r="B72" s="2880">
        <f>估价对象房地状况!C19</f>
        <v>0</v>
      </c>
      <c r="C72" s="2768"/>
      <c r="D72" s="1285">
        <f t="shared" si="20"/>
        <v>0</v>
      </c>
      <c r="E72" s="822"/>
      <c r="F72" s="2499"/>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2964</v>
      </c>
      <c r="B73" s="2880">
        <f>估价对象房地状况!C24</f>
        <v>0</v>
      </c>
      <c r="C73" s="2768"/>
      <c r="D73" s="1285">
        <f t="shared" si="20"/>
        <v>0</v>
      </c>
      <c r="E73" s="822"/>
      <c r="F73" s="2499"/>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2956</v>
      </c>
      <c r="B74" s="1724" t="str">
        <f>估价对象房地状况!C21</f>
        <v>估价对象所在区域公共配套设施齐备情况</v>
      </c>
      <c r="C74" s="2768"/>
      <c r="D74" s="1285">
        <f t="shared" si="20"/>
        <v>0</v>
      </c>
      <c r="E74" s="822"/>
      <c r="F74" s="2499"/>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2957</v>
      </c>
      <c r="B75" s="1724" t="str">
        <f>估价对象房地状况!C22</f>
        <v>估价对象所在区域基础设施水平</v>
      </c>
      <c r="C75" s="2768"/>
      <c r="D75" s="1285">
        <f t="shared" si="20"/>
        <v>0</v>
      </c>
      <c r="E75" s="822"/>
      <c r="F75" s="2499"/>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2954</v>
      </c>
      <c r="B76" s="2882" t="s">
        <v>2955</v>
      </c>
      <c r="C76" s="2768"/>
      <c r="D76" s="1285">
        <f t="shared" si="20"/>
        <v>0</v>
      </c>
      <c r="E76" s="822"/>
      <c r="F76" s="2499"/>
      <c r="G76" s="1283"/>
      <c r="H76" s="1287" t="str">
        <f t="shared" si="21"/>
        <v>——</v>
      </c>
      <c r="I76" s="816">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2958</v>
      </c>
      <c r="B77" s="2879" t="str">
        <f>估价对象房地状况!C20</f>
        <v>区域自然环境：；人文环境；综合评价环境状况一般</v>
      </c>
      <c r="C77" s="2768"/>
      <c r="D77" s="1285">
        <f t="shared" si="20"/>
        <v>0</v>
      </c>
      <c r="E77" s="822"/>
      <c r="F77" s="2499"/>
      <c r="G77" s="1283"/>
      <c r="H77" s="1287" t="str">
        <f t="shared" si="21"/>
        <v>——</v>
      </c>
      <c r="I77" s="816">
        <v>0.15</v>
      </c>
      <c r="J77" s="1284">
        <f t="shared" si="22"/>
        <v>0</v>
      </c>
      <c r="K77" s="1284">
        <f t="shared" si="23"/>
        <v>0</v>
      </c>
      <c r="L77" s="1284">
        <v>0</v>
      </c>
      <c r="M77" s="1284">
        <f t="shared" si="24"/>
        <v>0</v>
      </c>
      <c r="N77" s="1284">
        <f t="shared" si="24"/>
        <v>0</v>
      </c>
      <c r="Z77" s="2718"/>
      <c r="AA77" s="2794"/>
      <c r="AG77" s="1371"/>
      <c r="AK77" s="2794"/>
    </row>
    <row r="78" spans="1:37" ht="24.75" thickBot="1">
      <c r="A78" s="2884" t="s">
        <v>2965</v>
      </c>
      <c r="B78" s="2888"/>
      <c r="C78" s="2768"/>
      <c r="D78" s="1285">
        <f t="shared" si="20"/>
        <v>0</v>
      </c>
      <c r="E78" s="823"/>
      <c r="F78" s="2499"/>
      <c r="G78" s="1283"/>
      <c r="H78" s="1287" t="str">
        <f t="shared" si="21"/>
        <v>——</v>
      </c>
      <c r="I78" s="820">
        <v>0.04</v>
      </c>
      <c r="J78" s="1284">
        <f t="shared" si="22"/>
        <v>0</v>
      </c>
      <c r="K78" s="1284">
        <f t="shared" si="23"/>
        <v>0</v>
      </c>
      <c r="L78" s="1284">
        <v>0</v>
      </c>
      <c r="M78" s="1284">
        <f t="shared" si="24"/>
        <v>0</v>
      </c>
      <c r="N78" s="1284">
        <f t="shared" si="24"/>
        <v>0</v>
      </c>
      <c r="Z78" s="2718"/>
      <c r="AA78" s="2794"/>
      <c r="AG78" s="1371"/>
      <c r="AK78" s="2794"/>
    </row>
    <row r="79" spans="1:37" ht="15">
      <c r="A79" s="2872" t="s">
        <v>2966</v>
      </c>
      <c r="B79" s="2873">
        <f>1+E81</f>
        <v>1</v>
      </c>
      <c r="C79" s="810"/>
      <c r="D79" s="810"/>
      <c r="E79" s="811"/>
      <c r="F79" s="2875"/>
      <c r="G79" s="6"/>
      <c r="H79" s="6"/>
      <c r="I79" s="6"/>
      <c r="J79" s="7"/>
      <c r="K79" s="7"/>
      <c r="L79" s="7"/>
      <c r="M79" s="7"/>
      <c r="N79" s="7"/>
      <c r="Z79" s="2718"/>
      <c r="AA79" s="2794"/>
      <c r="AG79" s="1371"/>
      <c r="AK79" s="2794"/>
    </row>
    <row r="80" spans="1:37" ht="24.75">
      <c r="A80" s="2876" t="s">
        <v>2940</v>
      </c>
      <c r="B80" s="1808"/>
      <c r="C80" s="1808" t="s">
        <v>2942</v>
      </c>
      <c r="D80" s="1808" t="s">
        <v>2943</v>
      </c>
      <c r="E80" s="815" t="s">
        <v>2944</v>
      </c>
      <c r="F80" s="2877" t="s">
        <v>2960</v>
      </c>
      <c r="G80" s="1808" t="s">
        <v>754</v>
      </c>
      <c r="H80" s="2878" t="s">
        <v>2946</v>
      </c>
      <c r="I80" s="1808" t="s">
        <v>2947</v>
      </c>
      <c r="J80" s="603" t="s">
        <v>2596</v>
      </c>
      <c r="K80" s="603" t="s">
        <v>2597</v>
      </c>
      <c r="L80" s="603" t="s">
        <v>2598</v>
      </c>
      <c r="M80" s="603" t="s">
        <v>2599</v>
      </c>
      <c r="N80" s="603" t="s">
        <v>2600</v>
      </c>
      <c r="Z80" s="2718"/>
      <c r="AA80" s="2794"/>
      <c r="AG80" s="1371"/>
      <c r="AK80" s="2794"/>
    </row>
    <row r="81" spans="1:37" ht="38.25">
      <c r="A81" s="2876" t="s">
        <v>2967</v>
      </c>
      <c r="B81" s="2880" t="str">
        <f>估价对象房地状况!G15</f>
        <v>估价对象位于XX开发区，园区建设成熟度XX，产业集聚程度XX</v>
      </c>
      <c r="C81" s="2768"/>
      <c r="D81" s="1285">
        <f t="shared" ref="D81:D88" si="25">SUMIF($J$80:$N$80,C81,J81:N81)</f>
        <v>0</v>
      </c>
      <c r="E81" s="817">
        <f>ROUND(SUM(D81:D88),4)</f>
        <v>0</v>
      </c>
      <c r="F81" s="2499"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2949</v>
      </c>
      <c r="B82" s="2880" t="str">
        <f>估价对象房地状况!G16</f>
        <v>估价对象周边道路状况、公共交通通达情况、停车便捷程度，综合评价交通便捷度较好</v>
      </c>
      <c r="C82" s="2768"/>
      <c r="D82" s="1285">
        <f t="shared" si="25"/>
        <v>0</v>
      </c>
      <c r="E82" s="822"/>
      <c r="F82" s="2499"/>
      <c r="G82" s="1283"/>
      <c r="H82" s="1287" t="str">
        <f t="shared" si="26"/>
        <v>——</v>
      </c>
      <c r="I82" s="816">
        <v>0.33</v>
      </c>
      <c r="J82" s="1284">
        <f t="shared" si="27"/>
        <v>0</v>
      </c>
      <c r="K82" s="1284">
        <f t="shared" si="28"/>
        <v>0</v>
      </c>
      <c r="L82" s="1284">
        <v>0</v>
      </c>
      <c r="M82" s="1284">
        <f t="shared" si="29"/>
        <v>0</v>
      </c>
      <c r="N82" s="1284">
        <f t="shared" si="29"/>
        <v>0</v>
      </c>
      <c r="Z82" s="2718"/>
      <c r="AA82" s="2794"/>
      <c r="AG82" s="1371"/>
      <c r="AK82" s="2794"/>
    </row>
    <row r="83" spans="1:37" ht="24">
      <c r="A83" s="2876" t="s">
        <v>2950</v>
      </c>
      <c r="B83" s="2880">
        <f>估价对象房地状况!G17</f>
        <v>0</v>
      </c>
      <c r="C83" s="2768"/>
      <c r="D83" s="1285">
        <f t="shared" si="25"/>
        <v>0</v>
      </c>
      <c r="E83" s="822"/>
      <c r="F83" s="2499"/>
      <c r="G83" s="1283"/>
      <c r="H83" s="1287" t="str">
        <f t="shared" si="26"/>
        <v>——</v>
      </c>
      <c r="I83" s="816">
        <v>0.05</v>
      </c>
      <c r="J83" s="1284">
        <f t="shared" si="27"/>
        <v>0</v>
      </c>
      <c r="K83" s="1284">
        <f t="shared" si="28"/>
        <v>0</v>
      </c>
      <c r="L83" s="1284">
        <v>0</v>
      </c>
      <c r="M83" s="1284">
        <f t="shared" si="29"/>
        <v>0</v>
      </c>
      <c r="N83" s="1284">
        <f t="shared" si="29"/>
        <v>0</v>
      </c>
      <c r="Z83" s="2718"/>
      <c r="AA83" s="2794"/>
      <c r="AG83" s="1371"/>
      <c r="AK83" s="2794"/>
    </row>
    <row r="84" spans="1:37" ht="14.25">
      <c r="A84" s="2876" t="s">
        <v>2964</v>
      </c>
      <c r="B84" s="2880">
        <f>估价对象房地状况!G22</f>
        <v>0</v>
      </c>
      <c r="C84" s="2768"/>
      <c r="D84" s="1285">
        <f t="shared" si="25"/>
        <v>0</v>
      </c>
      <c r="E84" s="822"/>
      <c r="F84" s="2499"/>
      <c r="G84" s="1283"/>
      <c r="H84" s="1287" t="str">
        <f t="shared" si="26"/>
        <v>——</v>
      </c>
      <c r="I84" s="816">
        <v>0.04</v>
      </c>
      <c r="J84" s="1284">
        <f t="shared" si="27"/>
        <v>0</v>
      </c>
      <c r="K84" s="1284">
        <f t="shared" si="28"/>
        <v>0</v>
      </c>
      <c r="L84" s="1284">
        <v>0</v>
      </c>
      <c r="M84" s="1284">
        <f t="shared" si="29"/>
        <v>0</v>
      </c>
      <c r="N84" s="1284">
        <f t="shared" si="29"/>
        <v>0</v>
      </c>
      <c r="Z84" s="2718"/>
      <c r="AA84" s="2794"/>
      <c r="AG84" s="1371"/>
      <c r="AK84" s="2794"/>
    </row>
    <row r="85" spans="1:37" ht="25.5">
      <c r="A85" s="2876" t="s">
        <v>2956</v>
      </c>
      <c r="B85" s="1724" t="str">
        <f>估价对象房地状况!G19</f>
        <v>估价对象所在区域公共配套设施齐备情况</v>
      </c>
      <c r="C85" s="2768"/>
      <c r="D85" s="1285">
        <f t="shared" si="25"/>
        <v>0</v>
      </c>
      <c r="E85" s="822"/>
      <c r="F85" s="2499"/>
      <c r="G85" s="1283"/>
      <c r="H85" s="1287" t="str">
        <f t="shared" si="26"/>
        <v>——</v>
      </c>
      <c r="I85" s="816">
        <v>0.06</v>
      </c>
      <c r="J85" s="1284">
        <f t="shared" si="27"/>
        <v>0</v>
      </c>
      <c r="K85" s="1284">
        <f t="shared" si="28"/>
        <v>0</v>
      </c>
      <c r="L85" s="1284">
        <v>0</v>
      </c>
      <c r="M85" s="1284">
        <f t="shared" si="29"/>
        <v>0</v>
      </c>
      <c r="N85" s="1284">
        <f t="shared" si="29"/>
        <v>0</v>
      </c>
      <c r="Z85" s="2718"/>
      <c r="AA85" s="2794"/>
      <c r="AG85" s="1371"/>
      <c r="AK85" s="2794"/>
    </row>
    <row r="86" spans="1:37" ht="25.5">
      <c r="A86" s="2876" t="s">
        <v>2957</v>
      </c>
      <c r="B86" s="1724" t="str">
        <f>估价对象房地状况!G20</f>
        <v>估价对象所在区域基础设施水平</v>
      </c>
      <c r="C86" s="2768"/>
      <c r="D86" s="1285">
        <f t="shared" si="25"/>
        <v>0</v>
      </c>
      <c r="E86" s="822"/>
      <c r="F86" s="2499"/>
      <c r="G86" s="1283"/>
      <c r="H86" s="1287" t="str">
        <f t="shared" si="26"/>
        <v>——</v>
      </c>
      <c r="I86" s="816">
        <v>0.15</v>
      </c>
      <c r="J86" s="1284">
        <f t="shared" si="27"/>
        <v>0</v>
      </c>
      <c r="K86" s="1284">
        <f t="shared" si="28"/>
        <v>0</v>
      </c>
      <c r="L86" s="1284">
        <v>0</v>
      </c>
      <c r="M86" s="1284">
        <f t="shared" si="29"/>
        <v>0</v>
      </c>
      <c r="N86" s="1284">
        <f t="shared" si="29"/>
        <v>0</v>
      </c>
      <c r="Z86" s="2718"/>
      <c r="AA86" s="2794"/>
      <c r="AG86" s="1371"/>
      <c r="AK86" s="2794"/>
    </row>
    <row r="87" spans="1:37" ht="24">
      <c r="A87" s="2876" t="s">
        <v>2954</v>
      </c>
      <c r="B87" s="2882" t="s">
        <v>2968</v>
      </c>
      <c r="C87" s="2768"/>
      <c r="D87" s="1285">
        <f t="shared" si="25"/>
        <v>0</v>
      </c>
      <c r="E87" s="822"/>
      <c r="F87" s="2499"/>
      <c r="G87" s="1283"/>
      <c r="H87" s="1287" t="str">
        <f t="shared" si="26"/>
        <v>——</v>
      </c>
      <c r="I87" s="816">
        <v>0.05</v>
      </c>
      <c r="J87" s="1284">
        <f t="shared" si="27"/>
        <v>0</v>
      </c>
      <c r="K87" s="1284">
        <f t="shared" si="28"/>
        <v>0</v>
      </c>
      <c r="L87" s="1284">
        <v>0</v>
      </c>
      <c r="M87" s="1284">
        <f t="shared" si="29"/>
        <v>0</v>
      </c>
      <c r="N87" s="1284">
        <f t="shared" si="29"/>
        <v>0</v>
      </c>
      <c r="Z87" s="2718"/>
      <c r="AA87" s="2794"/>
      <c r="AG87" s="1371"/>
      <c r="AK87" s="2794"/>
    </row>
    <row r="88" spans="1:37" ht="39" thickBot="1">
      <c r="A88" s="2884" t="s">
        <v>2969</v>
      </c>
      <c r="B88" s="2889" t="str">
        <f>估价对象房地状况!G18</f>
        <v>该园区内是否有污染型企业，绿化情况，卫生条件，整体环境状况判断</v>
      </c>
      <c r="C88" s="2768"/>
      <c r="D88" s="1285">
        <f t="shared" si="25"/>
        <v>0</v>
      </c>
      <c r="E88" s="823"/>
      <c r="F88" s="2499"/>
      <c r="G88" s="1283"/>
      <c r="H88" s="1287" t="str">
        <f t="shared" si="26"/>
        <v>——</v>
      </c>
      <c r="I88" s="820">
        <v>0.06</v>
      </c>
      <c r="J88" s="1284">
        <f t="shared" si="27"/>
        <v>0</v>
      </c>
      <c r="K88" s="1284">
        <f t="shared" si="28"/>
        <v>0</v>
      </c>
      <c r="L88" s="1284">
        <v>0</v>
      </c>
      <c r="M88" s="1284">
        <f t="shared" si="29"/>
        <v>0</v>
      </c>
      <c r="N88" s="1284">
        <f t="shared" si="29"/>
        <v>0</v>
      </c>
      <c r="Z88" s="2718"/>
      <c r="AA88" s="2794"/>
      <c r="AG88" s="1371"/>
      <c r="AK88" s="2794"/>
    </row>
    <row r="90" spans="1:37">
      <c r="A90" s="3267" t="s">
        <v>2970</v>
      </c>
      <c r="B90" s="3267"/>
      <c r="C90" s="3267"/>
      <c r="D90" s="3267"/>
      <c r="E90" s="3267"/>
      <c r="F90" s="3267"/>
      <c r="G90" s="3267"/>
      <c r="H90" s="3267"/>
      <c r="I90" s="3267"/>
      <c r="J90" s="3267"/>
      <c r="K90" s="2890"/>
      <c r="L90" s="2890"/>
      <c r="M90" s="2890"/>
      <c r="N90" s="2890"/>
    </row>
    <row r="91" spans="1:37">
      <c r="A91" s="3269" t="s">
        <v>2971</v>
      </c>
      <c r="B91" s="3269" t="s">
        <v>2972</v>
      </c>
      <c r="C91" s="2844" t="s">
        <v>2973</v>
      </c>
      <c r="D91" s="2845"/>
      <c r="E91" s="2845"/>
      <c r="F91" s="2845"/>
      <c r="G91" s="2845"/>
      <c r="H91" s="2845"/>
      <c r="I91" s="2845"/>
      <c r="J91" s="2891"/>
      <c r="K91" s="2892"/>
      <c r="L91" s="2892"/>
      <c r="M91" s="2892"/>
      <c r="N91" s="2892"/>
    </row>
    <row r="92" spans="1:37">
      <c r="A92" s="3269"/>
      <c r="B92" s="3269"/>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270" t="s">
        <v>2974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1"/>
      <c r="B99" s="2893" t="s">
        <v>2853</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0" t="s">
        <v>2975</v>
      </c>
      <c r="B101" s="2897" t="s">
        <v>2976</v>
      </c>
      <c r="C101" s="2898">
        <f>$G$3</f>
        <v>2.09</v>
      </c>
      <c r="D101" s="2898">
        <f t="shared" ref="D101:N101" si="31">$G$3</f>
        <v>2.09</v>
      </c>
      <c r="E101" s="2898">
        <f t="shared" si="31"/>
        <v>2.09</v>
      </c>
      <c r="F101" s="2898">
        <f t="shared" si="31"/>
        <v>2.09</v>
      </c>
      <c r="G101" s="2898">
        <f t="shared" si="31"/>
        <v>2.09</v>
      </c>
      <c r="H101" s="2898">
        <f t="shared" si="31"/>
        <v>2.09</v>
      </c>
      <c r="I101" s="2898">
        <f t="shared" si="31"/>
        <v>2.09</v>
      </c>
      <c r="J101" s="2898">
        <f t="shared" si="31"/>
        <v>2.09</v>
      </c>
      <c r="K101" s="2898">
        <f t="shared" si="31"/>
        <v>2.09</v>
      </c>
      <c r="L101" s="2898">
        <f t="shared" si="31"/>
        <v>2.09</v>
      </c>
      <c r="M101" s="2898">
        <f t="shared" si="31"/>
        <v>2.09</v>
      </c>
      <c r="N101" s="2898">
        <f t="shared" si="31"/>
        <v>2.09</v>
      </c>
    </row>
    <row r="102" spans="1:14">
      <c r="A102" s="3271"/>
      <c r="B102" s="2893">
        <v>1</v>
      </c>
      <c r="C102" s="2894">
        <f>1.9362/C101</f>
        <v>0.92641148325358857</v>
      </c>
      <c r="D102" s="2894">
        <f>1.9362/D101</f>
        <v>0.92641148325358857</v>
      </c>
      <c r="E102" s="2894">
        <f>1.8629/E101</f>
        <v>0.89133971291866032</v>
      </c>
      <c r="F102" s="2894">
        <f>1.8629/F101</f>
        <v>0.89133971291866032</v>
      </c>
      <c r="G102" s="2894">
        <f>1.8629/G101</f>
        <v>0.89133971291866032</v>
      </c>
      <c r="H102" s="2894">
        <f>1.8629/H101</f>
        <v>0.89133971291866032</v>
      </c>
      <c r="I102" s="2894">
        <f>1.8629/I101</f>
        <v>0.89133971291866032</v>
      </c>
      <c r="J102" s="2894">
        <f>1.942/J101</f>
        <v>0.92918660287081345</v>
      </c>
      <c r="K102" s="2894">
        <f>1.942/K101</f>
        <v>0.92918660287081345</v>
      </c>
      <c r="L102" s="2894">
        <f>1.942/L101</f>
        <v>0.92918660287081345</v>
      </c>
      <c r="M102" s="2894">
        <f>1.942/M101</f>
        <v>0.92918660287081345</v>
      </c>
      <c r="N102" s="2894">
        <f>1.942/N101</f>
        <v>0.92918660287081345</v>
      </c>
    </row>
    <row r="103" spans="1:14">
      <c r="A103" s="3271"/>
      <c r="B103" s="2893">
        <v>2</v>
      </c>
      <c r="C103" s="2894">
        <f>1.4198/C101</f>
        <v>0.6793301435406699</v>
      </c>
      <c r="D103" s="2894">
        <f>1.4198/D101</f>
        <v>0.6793301435406699</v>
      </c>
      <c r="E103" s="2894">
        <f>1.3372/E101</f>
        <v>0.63980861244019138</v>
      </c>
      <c r="F103" s="2894">
        <f>1.3372/F101</f>
        <v>0.63980861244019138</v>
      </c>
      <c r="G103" s="2894">
        <f>1.3372/G101</f>
        <v>0.63980861244019138</v>
      </c>
      <c r="H103" s="2894">
        <f>1.3372/H101</f>
        <v>0.63980861244019138</v>
      </c>
      <c r="I103" s="2894">
        <f>1.3372/I101</f>
        <v>0.63980861244019138</v>
      </c>
      <c r="J103" s="2894">
        <f>1.2799/J101</f>
        <v>0.61239234449760771</v>
      </c>
      <c r="K103" s="2894">
        <f>1.2799/K101</f>
        <v>0.61239234449760771</v>
      </c>
      <c r="L103" s="2894">
        <f>1.2799/L101</f>
        <v>0.61239234449760771</v>
      </c>
      <c r="M103" s="2894">
        <f>1.2799/M101</f>
        <v>0.61239234449760771</v>
      </c>
      <c r="N103" s="2894">
        <f>1.2799/N101</f>
        <v>0.61239234449760771</v>
      </c>
    </row>
    <row r="104" spans="1:14">
      <c r="A104" s="3271"/>
      <c r="B104" s="2893">
        <v>3</v>
      </c>
      <c r="C104" s="2894">
        <f>1.1594/C101</f>
        <v>0.55473684210526319</v>
      </c>
      <c r="D104" s="2894">
        <f>1.1594/D101</f>
        <v>0.55473684210526319</v>
      </c>
      <c r="E104" s="2894">
        <f>1.0788/E101</f>
        <v>0.51617224880382773</v>
      </c>
      <c r="F104" s="2894">
        <f>1.0788/F101</f>
        <v>0.51617224880382773</v>
      </c>
      <c r="G104" s="2894">
        <f>1.0788/G101</f>
        <v>0.51617224880382773</v>
      </c>
      <c r="H104" s="2894">
        <f>1.0788/H101</f>
        <v>0.51617224880382773</v>
      </c>
      <c r="I104" s="2894">
        <f>1.0788/I101</f>
        <v>0.51617224880382773</v>
      </c>
      <c r="J104" s="2894">
        <f>1.0072/J101</f>
        <v>0.48191387559808618</v>
      </c>
      <c r="K104" s="2894">
        <f>1.0072/K101</f>
        <v>0.48191387559808618</v>
      </c>
      <c r="L104" s="2894">
        <f>1.0072/L101</f>
        <v>0.48191387559808618</v>
      </c>
      <c r="M104" s="2894">
        <f>1.0072/M101</f>
        <v>0.48191387559808618</v>
      </c>
      <c r="N104" s="2894">
        <f>1.0072/N101</f>
        <v>0.48191387559808618</v>
      </c>
    </row>
    <row r="105" spans="1:14">
      <c r="A105" s="3271"/>
      <c r="B105" s="2893">
        <v>4</v>
      </c>
      <c r="C105" s="2894">
        <f>0.9622/C101</f>
        <v>0.46038277511961728</v>
      </c>
      <c r="D105" s="2894">
        <f>0.9622/D101</f>
        <v>0.46038277511961728</v>
      </c>
      <c r="E105" s="2894">
        <f>0.8656/E101</f>
        <v>0.41416267942583734</v>
      </c>
      <c r="F105" s="2894">
        <f>0.8656/F101</f>
        <v>0.41416267942583734</v>
      </c>
      <c r="G105" s="2894">
        <f>0.8656/G101</f>
        <v>0.41416267942583734</v>
      </c>
      <c r="H105" s="2894">
        <f>0.8656/H101</f>
        <v>0.41416267942583734</v>
      </c>
      <c r="I105" s="2894">
        <f>0.8656/I101</f>
        <v>0.41416267942583734</v>
      </c>
      <c r="J105" s="2894">
        <f>0.7525/J101</f>
        <v>0.36004784688995217</v>
      </c>
      <c r="K105" s="2894">
        <f>0.7525/K101</f>
        <v>0.36004784688995217</v>
      </c>
      <c r="L105" s="2894">
        <f>0.7525/L101</f>
        <v>0.36004784688995217</v>
      </c>
      <c r="M105" s="2894">
        <f>0.7525/M101</f>
        <v>0.36004784688995217</v>
      </c>
      <c r="N105" s="2894">
        <f>0.7525/N101</f>
        <v>0.36004784688995217</v>
      </c>
    </row>
    <row r="106" spans="1:14">
      <c r="A106" s="3271"/>
      <c r="B106" s="2893">
        <v>5</v>
      </c>
      <c r="C106" s="2894">
        <f>0.8417/C101</f>
        <v>0.40272727272727277</v>
      </c>
      <c r="D106" s="2894">
        <f>0.8417/D101</f>
        <v>0.40272727272727277</v>
      </c>
      <c r="E106" s="2894">
        <f>0.7371/E101</f>
        <v>0.35267942583732059</v>
      </c>
      <c r="F106" s="2894">
        <f>0.7371/F101</f>
        <v>0.35267942583732059</v>
      </c>
      <c r="G106" s="2894">
        <f>0.7371/G101</f>
        <v>0.35267942583732059</v>
      </c>
      <c r="H106" s="2894">
        <f>0.7371/H101</f>
        <v>0.35267942583732059</v>
      </c>
      <c r="I106" s="2894">
        <f>0.7371/I101</f>
        <v>0.35267942583732059</v>
      </c>
      <c r="J106" s="2894">
        <f>0.5659/J101</f>
        <v>0.27076555023923443</v>
      </c>
      <c r="K106" s="2894">
        <f>0.5659/K101</f>
        <v>0.27076555023923443</v>
      </c>
      <c r="L106" s="2894">
        <f>0.5659/L101</f>
        <v>0.27076555023923443</v>
      </c>
      <c r="M106" s="2894">
        <f>0.5659/M101</f>
        <v>0.27076555023923443</v>
      </c>
      <c r="N106" s="2894">
        <f>0.5659/N101</f>
        <v>0.27076555023923443</v>
      </c>
    </row>
    <row r="107" spans="1:14">
      <c r="A107" s="3271"/>
      <c r="B107" s="2893">
        <v>6</v>
      </c>
      <c r="C107" s="2894">
        <f>0.7608/C101</f>
        <v>0.36401913875598091</v>
      </c>
      <c r="D107" s="2894">
        <f>0.7608/D101</f>
        <v>0.36401913875598091</v>
      </c>
      <c r="E107" s="2894">
        <f>0.6482/E101</f>
        <v>0.3101435406698565</v>
      </c>
      <c r="F107" s="2894">
        <f>0.6482/F101</f>
        <v>0.3101435406698565</v>
      </c>
      <c r="G107" s="2894">
        <f>0.6482/G101</f>
        <v>0.3101435406698565</v>
      </c>
      <c r="H107" s="2894">
        <f>0.6482/H101</f>
        <v>0.3101435406698565</v>
      </c>
      <c r="I107" s="2894">
        <f>0.6482/I101</f>
        <v>0.3101435406698565</v>
      </c>
      <c r="J107" s="2894">
        <f>0.4525/J101</f>
        <v>0.21650717703349284</v>
      </c>
      <c r="K107" s="2894">
        <f>0.4525/K101</f>
        <v>0.21650717703349284</v>
      </c>
      <c r="L107" s="2894">
        <f>0.4525/L101</f>
        <v>0.21650717703349284</v>
      </c>
      <c r="M107" s="2894">
        <f>0.4525/M101</f>
        <v>0.21650717703349284</v>
      </c>
      <c r="N107" s="2894">
        <f>0.4525/N101</f>
        <v>0.21650717703349284</v>
      </c>
    </row>
    <row r="108" spans="1:14">
      <c r="A108" s="3271"/>
      <c r="B108" s="3129" t="s">
        <v>2977</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2"/>
      <c r="B109" s="3130"/>
      <c r="C109" s="2896">
        <f>(-0.163*(C108^2)-0.59*C108+7617)*(10^(-4))/C101</f>
        <v>0.3644497607655503</v>
      </c>
      <c r="D109" s="2896">
        <f>(-0.163*(D108^2)-0.59*D108+7617)*(10^(-4))/D101</f>
        <v>0.3644497607655503</v>
      </c>
      <c r="E109" s="2896">
        <f>(-0.161*(E108^2)-7.509*E108+6533)*(10^(-4))/E101</f>
        <v>0.3125837320574163</v>
      </c>
      <c r="F109" s="2896">
        <f>(-0.161*(F108^2)-7.509*F108+6533)*(10^(-4))/F101</f>
        <v>0.3125837320574163</v>
      </c>
      <c r="G109" s="2896">
        <f>(-0.161*(G108^2)-7.509*G108+6533)*(10^(-4))/G101</f>
        <v>0.3125837320574163</v>
      </c>
      <c r="H109" s="2896">
        <f>(-0.161*(H108^2)-7.509*H108+6533)*(10^(-4))/H101</f>
        <v>0.3125837320574163</v>
      </c>
      <c r="I109" s="2896">
        <f>(-0.161*(I108^2)-7.509*I108+6533)*(10^(-4))/I101</f>
        <v>0.3125837320574163</v>
      </c>
      <c r="J109" s="2896">
        <f>(-0.214*(J108^2)-21.991*J108+4665)*(10^(-4))/J101</f>
        <v>0.2232057416267943</v>
      </c>
      <c r="K109" s="2896">
        <f>(-0.214*(K108^2)-21.991*K108+4665)*(10^(-4))/K101</f>
        <v>0.2232057416267943</v>
      </c>
      <c r="L109" s="2896">
        <f>(-0.214*(L108^2)-21.991*L108+4665)*(10^(-4))/L101</f>
        <v>0.2232057416267943</v>
      </c>
      <c r="M109" s="2896">
        <f>(-0.214*(M108^2)-21.991*M108+4665)*(10^(-4))/M101</f>
        <v>0.2232057416267943</v>
      </c>
      <c r="N109" s="2896">
        <f>(-0.214*(N108^2)-21.991*N108+4665)*(10^(-4))/N101</f>
        <v>0.2232057416267943</v>
      </c>
    </row>
    <row r="110" spans="1:14">
      <c r="A110" s="3268" t="s">
        <v>2978</v>
      </c>
      <c r="B110" s="3268"/>
      <c r="C110" s="3268"/>
      <c r="D110" s="3268"/>
      <c r="E110" s="3268"/>
      <c r="F110" s="3268"/>
      <c r="G110" s="3268"/>
      <c r="H110" s="3268"/>
      <c r="I110" s="3268"/>
      <c r="J110" s="3268"/>
      <c r="K110" s="2899"/>
      <c r="L110" s="2899"/>
      <c r="M110" s="2899"/>
      <c r="N110" s="2899"/>
    </row>
    <row r="112" spans="1:14" ht="13.5" thickBot="1"/>
    <row r="113" spans="1:13" ht="25.5" thickBot="1">
      <c r="A113" s="899" t="s">
        <v>2979</v>
      </c>
      <c r="B113" s="1286">
        <f>G3</f>
        <v>2.09</v>
      </c>
      <c r="C113" s="900" t="s">
        <v>2980</v>
      </c>
      <c r="D113" s="901">
        <f>SUMPRODUCT((A115:A118=F113)*(B114:M114=H113)*B115:M118)</f>
        <v>0</v>
      </c>
      <c r="E113" s="2722" t="s">
        <v>2810</v>
      </c>
      <c r="F113" s="2901">
        <f>E2</f>
        <v>0</v>
      </c>
      <c r="G113" s="2722" t="s">
        <v>2811</v>
      </c>
      <c r="H113" s="2901">
        <f>G2</f>
        <v>0</v>
      </c>
      <c r="I113" s="2722"/>
      <c r="J113" s="2902"/>
      <c r="K113" s="2902"/>
      <c r="L113" s="2902"/>
      <c r="M113" s="2902"/>
    </row>
    <row r="114" spans="1:13">
      <c r="A114" s="904"/>
      <c r="B114" s="2903" t="s">
        <v>2981</v>
      </c>
      <c r="C114" s="2903" t="s">
        <v>2982</v>
      </c>
      <c r="D114" s="2903" t="s">
        <v>2983</v>
      </c>
      <c r="E114" s="2904" t="s">
        <v>2984</v>
      </c>
      <c r="F114" s="2904" t="s">
        <v>2985</v>
      </c>
      <c r="G114" s="2904" t="s">
        <v>2986</v>
      </c>
      <c r="H114" s="2905" t="s">
        <v>2987</v>
      </c>
      <c r="I114" s="2905" t="s">
        <v>2988</v>
      </c>
      <c r="J114" s="2906" t="s">
        <v>2989</v>
      </c>
      <c r="K114" s="2906" t="s">
        <v>2990</v>
      </c>
      <c r="L114" s="2906" t="s">
        <v>2991</v>
      </c>
      <c r="M114" s="2907" t="s">
        <v>2992</v>
      </c>
    </row>
    <row r="115" spans="1:13">
      <c r="A115" s="905" t="s">
        <v>2875</v>
      </c>
      <c r="B115" s="906">
        <f>ROUND(0.9335-0.0094*B113,4)</f>
        <v>0.91390000000000005</v>
      </c>
      <c r="C115" s="906">
        <f>B115</f>
        <v>0.91390000000000005</v>
      </c>
      <c r="D115" s="906">
        <f>ROUND(0.8331-0.0109*B113,4)</f>
        <v>0.81030000000000002</v>
      </c>
      <c r="E115" s="906">
        <f>D115</f>
        <v>0.81030000000000002</v>
      </c>
      <c r="F115" s="906">
        <f>E115</f>
        <v>0.81030000000000002</v>
      </c>
      <c r="G115" s="906">
        <f>F115</f>
        <v>0.81030000000000002</v>
      </c>
      <c r="H115" s="906">
        <f>G115</f>
        <v>0.81030000000000002</v>
      </c>
      <c r="I115" s="906">
        <f>ROUND(0.689-0.0155*B113,4)</f>
        <v>0.65659999999999996</v>
      </c>
      <c r="J115" s="906">
        <f t="shared" ref="J115:M118" si="33">I115</f>
        <v>0.65659999999999996</v>
      </c>
      <c r="K115" s="906">
        <f t="shared" si="33"/>
        <v>0.65659999999999996</v>
      </c>
      <c r="L115" s="906">
        <f t="shared" si="33"/>
        <v>0.65659999999999996</v>
      </c>
      <c r="M115" s="907">
        <f t="shared" si="33"/>
        <v>0.65659999999999996</v>
      </c>
    </row>
    <row r="116" spans="1:13">
      <c r="A116" s="905" t="s">
        <v>2876</v>
      </c>
      <c r="B116" s="906">
        <f>ROUND(0.949-0.012*B113,4)</f>
        <v>0.92390000000000005</v>
      </c>
      <c r="C116" s="906">
        <f>B116</f>
        <v>0.92390000000000005</v>
      </c>
      <c r="D116" s="906">
        <f>ROUND(0.8567-0.013*B113,4)</f>
        <v>0.82950000000000002</v>
      </c>
      <c r="E116" s="906">
        <f t="shared" ref="E116:H117" si="34">D116</f>
        <v>0.82950000000000002</v>
      </c>
      <c r="F116" s="906">
        <f t="shared" si="34"/>
        <v>0.82950000000000002</v>
      </c>
      <c r="G116" s="906">
        <f t="shared" si="34"/>
        <v>0.82950000000000002</v>
      </c>
      <c r="H116" s="906">
        <f t="shared" si="34"/>
        <v>0.82950000000000002</v>
      </c>
      <c r="I116" s="906">
        <f>ROUND(0.7694-0.014*B113,4)</f>
        <v>0.74009999999999998</v>
      </c>
      <c r="J116" s="906">
        <f t="shared" si="33"/>
        <v>0.74009999999999998</v>
      </c>
      <c r="K116" s="906">
        <f t="shared" si="33"/>
        <v>0.74009999999999998</v>
      </c>
      <c r="L116" s="906">
        <f t="shared" si="33"/>
        <v>0.74009999999999998</v>
      </c>
      <c r="M116" s="907">
        <f t="shared" si="33"/>
        <v>0.74009999999999998</v>
      </c>
    </row>
    <row r="117" spans="1:13">
      <c r="A117" s="905" t="s">
        <v>2877</v>
      </c>
      <c r="B117" s="906">
        <f>ROUND(0.8808-0.006*B113,4)</f>
        <v>0.86829999999999996</v>
      </c>
      <c r="C117" s="906">
        <f>B117</f>
        <v>0.86829999999999996</v>
      </c>
      <c r="D117" s="906">
        <f>ROUND(0.8748-0.008*B113,4)</f>
        <v>0.85809999999999997</v>
      </c>
      <c r="E117" s="906">
        <f t="shared" si="34"/>
        <v>0.85809999999999997</v>
      </c>
      <c r="F117" s="906">
        <f t="shared" si="34"/>
        <v>0.85809999999999997</v>
      </c>
      <c r="G117" s="906">
        <f t="shared" si="34"/>
        <v>0.85809999999999997</v>
      </c>
      <c r="H117" s="906">
        <f t="shared" si="34"/>
        <v>0.85809999999999997</v>
      </c>
      <c r="I117" s="906">
        <f>ROUND(0.7412-0.0095*B113,4)</f>
        <v>0.72130000000000005</v>
      </c>
      <c r="J117" s="906">
        <f t="shared" si="33"/>
        <v>0.72130000000000005</v>
      </c>
      <c r="K117" s="906">
        <f t="shared" si="33"/>
        <v>0.72130000000000005</v>
      </c>
      <c r="L117" s="906">
        <f t="shared" si="33"/>
        <v>0.72130000000000005</v>
      </c>
      <c r="M117" s="907">
        <f t="shared" si="33"/>
        <v>0.72130000000000005</v>
      </c>
    </row>
    <row r="118" spans="1:13" ht="13.5" thickBot="1">
      <c r="A118" s="714" t="s">
        <v>2878</v>
      </c>
      <c r="B118" s="908">
        <f>ROUND(0.7275-0.01*B113,4)</f>
        <v>0.70660000000000001</v>
      </c>
      <c r="C118" s="908">
        <f>B118</f>
        <v>0.70660000000000001</v>
      </c>
      <c r="D118" s="908">
        <f>ROUND(0.7043-0.012*B113,4)</f>
        <v>0.67920000000000003</v>
      </c>
      <c r="E118" s="908">
        <f>D118</f>
        <v>0.67920000000000003</v>
      </c>
      <c r="F118" s="908">
        <f>E118</f>
        <v>0.67920000000000003</v>
      </c>
      <c r="G118" s="908">
        <f>ROUND(0.6299-0.0122*B113,4)</f>
        <v>0.60440000000000005</v>
      </c>
      <c r="H118" s="908">
        <f>G118</f>
        <v>0.60440000000000005</v>
      </c>
      <c r="I118" s="908">
        <f>ROUND(0.5667-0.0136*B113,4)</f>
        <v>0.5383</v>
      </c>
      <c r="J118" s="908">
        <f t="shared" si="33"/>
        <v>0.5383</v>
      </c>
      <c r="K118" s="908">
        <f t="shared" si="33"/>
        <v>0.5383</v>
      </c>
      <c r="L118" s="908">
        <f t="shared" si="33"/>
        <v>0.5383</v>
      </c>
      <c r="M118" s="909">
        <f t="shared" si="33"/>
        <v>0.5383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76" t="s">
        <v>183</v>
      </c>
      <c r="B18" s="878" t="s">
        <v>560</v>
      </c>
      <c r="C18" s="879" t="s">
        <v>561</v>
      </c>
      <c r="D18" s="880"/>
      <c r="E18" s="878">
        <v>1</v>
      </c>
      <c r="F18" s="881" t="s">
        <v>562</v>
      </c>
      <c r="G18" s="882"/>
      <c r="H18" s="874"/>
      <c r="I18" s="874"/>
    </row>
    <row r="19" spans="1:9" s="883" customFormat="1" ht="19.5" customHeight="1">
      <c r="A19" s="3276"/>
      <c r="B19" s="3276" t="s">
        <v>563</v>
      </c>
      <c r="C19" s="879" t="s">
        <v>564</v>
      </c>
      <c r="D19" s="880"/>
      <c r="E19" s="878">
        <v>0.9</v>
      </c>
      <c r="F19" s="881" t="s">
        <v>565</v>
      </c>
      <c r="G19" s="882"/>
      <c r="H19" s="874"/>
      <c r="I19" s="874"/>
    </row>
    <row r="20" spans="1:9" s="883" customFormat="1" ht="19.5" customHeight="1">
      <c r="A20" s="3276"/>
      <c r="B20" s="3276"/>
      <c r="C20" s="879" t="s">
        <v>566</v>
      </c>
      <c r="D20" s="880"/>
      <c r="E20" s="878">
        <v>1.1000000000000001</v>
      </c>
      <c r="F20" s="881" t="s">
        <v>567</v>
      </c>
      <c r="G20" s="882"/>
      <c r="H20" s="874"/>
      <c r="I20" s="874"/>
    </row>
    <row r="21" spans="1:9" s="883" customFormat="1" ht="19.5" customHeight="1">
      <c r="A21" s="3276"/>
      <c r="B21" s="3276"/>
      <c r="C21" s="879" t="s">
        <v>568</v>
      </c>
      <c r="D21" s="880"/>
      <c r="E21" s="878">
        <v>0.8</v>
      </c>
      <c r="F21" s="881" t="s">
        <v>569</v>
      </c>
      <c r="G21" s="882"/>
      <c r="H21" s="874"/>
      <c r="I21" s="874"/>
    </row>
    <row r="22" spans="1:9" s="883" customFormat="1" ht="19.5" customHeight="1">
      <c r="A22" s="3276"/>
      <c r="B22" s="3276"/>
      <c r="C22" s="879" t="s">
        <v>570</v>
      </c>
      <c r="D22" s="880"/>
      <c r="E22" s="878">
        <v>0.5</v>
      </c>
      <c r="F22" s="881"/>
      <c r="G22" s="882"/>
      <c r="H22" s="874"/>
      <c r="I22" s="874"/>
    </row>
    <row r="23" spans="1:9" s="883" customFormat="1" ht="19.5" customHeight="1">
      <c r="A23" s="3276" t="s">
        <v>184</v>
      </c>
      <c r="B23" s="878" t="s">
        <v>560</v>
      </c>
      <c r="C23" s="879" t="s">
        <v>571</v>
      </c>
      <c r="D23" s="880"/>
      <c r="E23" s="878">
        <v>1</v>
      </c>
      <c r="F23" s="881" t="s">
        <v>572</v>
      </c>
      <c r="G23" s="882"/>
      <c r="H23" s="874"/>
      <c r="I23" s="874"/>
    </row>
    <row r="24" spans="1:9" s="883" customFormat="1" ht="19.5" customHeight="1">
      <c r="A24" s="3276"/>
      <c r="B24" s="3276" t="s">
        <v>563</v>
      </c>
      <c r="C24" s="879" t="s">
        <v>573</v>
      </c>
      <c r="D24" s="880"/>
      <c r="E24" s="878">
        <v>0.5</v>
      </c>
      <c r="F24" s="881"/>
      <c r="G24" s="882"/>
      <c r="H24" s="874"/>
      <c r="I24" s="874"/>
    </row>
    <row r="25" spans="1:9" s="883" customFormat="1" ht="19.5" customHeight="1">
      <c r="A25" s="3276"/>
      <c r="B25" s="3276"/>
      <c r="C25" s="879" t="s">
        <v>574</v>
      </c>
      <c r="D25" s="880"/>
      <c r="E25" s="878">
        <v>1.1000000000000001</v>
      </c>
      <c r="F25" s="881"/>
      <c r="G25" s="882"/>
      <c r="H25" s="874"/>
      <c r="I25" s="874"/>
    </row>
    <row r="26" spans="1:9" s="883" customFormat="1" ht="19.5" customHeight="1">
      <c r="A26" s="3276"/>
      <c r="B26" s="3276"/>
      <c r="C26" s="879" t="s">
        <v>575</v>
      </c>
      <c r="D26" s="880"/>
      <c r="E26" s="878">
        <v>1.1000000000000001</v>
      </c>
      <c r="F26" s="881"/>
      <c r="G26" s="882"/>
      <c r="H26" s="874"/>
      <c r="I26" s="874"/>
    </row>
    <row r="27" spans="1:9" s="883" customFormat="1" ht="19.5" customHeight="1">
      <c r="A27" s="3276"/>
      <c r="B27" s="3276"/>
      <c r="C27" s="879" t="s">
        <v>576</v>
      </c>
      <c r="D27" s="880"/>
      <c r="E27" s="878">
        <v>0.9</v>
      </c>
      <c r="F27" s="881" t="s">
        <v>577</v>
      </c>
      <c r="G27" s="882"/>
      <c r="H27" s="874"/>
      <c r="I27" s="874"/>
    </row>
    <row r="28" spans="1:9" s="883" customFormat="1" ht="19.5" customHeight="1">
      <c r="A28" s="3276"/>
      <c r="B28" s="3276"/>
      <c r="C28" s="879" t="s">
        <v>578</v>
      </c>
      <c r="D28" s="880"/>
      <c r="E28" s="878">
        <v>0.9</v>
      </c>
      <c r="F28" s="881" t="s">
        <v>579</v>
      </c>
      <c r="G28" s="882"/>
      <c r="H28" s="874"/>
      <c r="I28" s="874"/>
    </row>
    <row r="29" spans="1:9" s="883" customFormat="1" ht="19.5" customHeight="1">
      <c r="A29" s="3276"/>
      <c r="B29" s="3276"/>
      <c r="C29" s="879" t="s">
        <v>580</v>
      </c>
      <c r="D29" s="880"/>
      <c r="E29" s="878">
        <v>0.9</v>
      </c>
      <c r="F29" s="881" t="s">
        <v>581</v>
      </c>
      <c r="G29" s="882"/>
      <c r="H29" s="874"/>
      <c r="I29" s="874"/>
    </row>
    <row r="30" spans="1:9" s="883" customFormat="1" ht="19.5" customHeight="1">
      <c r="A30" s="3276"/>
      <c r="B30" s="3276"/>
      <c r="C30" s="879" t="s">
        <v>582</v>
      </c>
      <c r="D30" s="880"/>
      <c r="E30" s="878">
        <v>0.9</v>
      </c>
      <c r="F30" s="881" t="s">
        <v>583</v>
      </c>
      <c r="G30" s="882"/>
      <c r="H30" s="874"/>
      <c r="I30" s="874"/>
    </row>
    <row r="31" spans="1:9" s="883" customFormat="1" ht="19.5" customHeight="1">
      <c r="A31" s="3276"/>
      <c r="B31" s="3276"/>
      <c r="C31" s="879" t="s">
        <v>584</v>
      </c>
      <c r="D31" s="880"/>
      <c r="E31" s="878">
        <v>0.8</v>
      </c>
      <c r="F31" s="881" t="s">
        <v>585</v>
      </c>
      <c r="G31" s="882"/>
      <c r="H31" s="874"/>
      <c r="I31" s="874"/>
    </row>
    <row r="32" spans="1:9" s="883" customFormat="1" ht="19.5" customHeight="1">
      <c r="A32" s="3276"/>
      <c r="B32" s="3276"/>
      <c r="C32" s="879" t="s">
        <v>586</v>
      </c>
      <c r="D32" s="880"/>
      <c r="E32" s="878">
        <v>0.8</v>
      </c>
      <c r="F32" s="881" t="s">
        <v>587</v>
      </c>
      <c r="G32" s="882"/>
      <c r="H32" s="874"/>
      <c r="I32" s="874"/>
    </row>
    <row r="33" spans="1:9" s="883" customFormat="1" ht="19.5" customHeight="1">
      <c r="A33" s="3276" t="s">
        <v>185</v>
      </c>
      <c r="B33" s="878" t="s">
        <v>560</v>
      </c>
      <c r="C33" s="879" t="s">
        <v>588</v>
      </c>
      <c r="D33" s="880"/>
      <c r="E33" s="878">
        <v>1</v>
      </c>
      <c r="F33" s="881" t="s">
        <v>589</v>
      </c>
      <c r="G33" s="882"/>
      <c r="H33" s="874"/>
      <c r="I33" s="874"/>
    </row>
    <row r="34" spans="1:9" s="883" customFormat="1" ht="19.5" customHeight="1">
      <c r="A34" s="3276"/>
      <c r="B34" s="878" t="s">
        <v>563</v>
      </c>
      <c r="C34" s="879" t="s">
        <v>590</v>
      </c>
      <c r="D34" s="880"/>
      <c r="E34" s="878">
        <v>1.5</v>
      </c>
      <c r="F34" s="881" t="s">
        <v>591</v>
      </c>
      <c r="G34" s="882"/>
      <c r="H34" s="874"/>
      <c r="I34" s="874"/>
    </row>
    <row r="35" spans="1:9" s="883" customFormat="1" ht="19.5" customHeight="1">
      <c r="A35" s="3276" t="s">
        <v>186</v>
      </c>
      <c r="B35" s="878" t="s">
        <v>560</v>
      </c>
      <c r="C35" s="879" t="s">
        <v>592</v>
      </c>
      <c r="D35" s="880"/>
      <c r="E35" s="878">
        <v>1</v>
      </c>
      <c r="F35" s="881" t="s">
        <v>593</v>
      </c>
      <c r="G35" s="882"/>
      <c r="H35" s="874"/>
      <c r="I35" s="874"/>
    </row>
    <row r="36" spans="1:9" s="883" customFormat="1" ht="19.5" customHeight="1">
      <c r="A36" s="3276"/>
      <c r="B36" s="3276" t="s">
        <v>563</v>
      </c>
      <c r="C36" s="879" t="s">
        <v>594</v>
      </c>
      <c r="D36" s="880"/>
      <c r="E36" s="878">
        <v>1</v>
      </c>
      <c r="F36" s="881" t="s">
        <v>595</v>
      </c>
      <c r="G36" s="882"/>
      <c r="H36" s="874"/>
      <c r="I36" s="874"/>
    </row>
    <row r="37" spans="1:9" s="883" customFormat="1" ht="19.5" customHeight="1">
      <c r="A37" s="3276"/>
      <c r="B37" s="3276"/>
      <c r="C37" s="879" t="s">
        <v>596</v>
      </c>
      <c r="D37" s="880"/>
      <c r="E37" s="878">
        <v>1.5</v>
      </c>
      <c r="F37" s="881" t="s">
        <v>597</v>
      </c>
      <c r="G37" s="882"/>
      <c r="H37" s="874"/>
      <c r="I37" s="874"/>
    </row>
    <row r="38" spans="1:9" s="883" customFormat="1" ht="19.5" customHeight="1">
      <c r="A38" s="3276"/>
      <c r="B38" s="3276"/>
      <c r="C38" s="879" t="s">
        <v>598</v>
      </c>
      <c r="D38" s="880"/>
      <c r="E38" s="878">
        <v>1</v>
      </c>
      <c r="F38" s="881" t="s">
        <v>599</v>
      </c>
      <c r="G38" s="882"/>
      <c r="H38" s="874"/>
      <c r="I38" s="874"/>
    </row>
    <row r="39" spans="1:9" s="883" customFormat="1" ht="19.5" customHeight="1">
      <c r="A39" s="3276"/>
      <c r="B39" s="327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76" t="s">
        <v>614</v>
      </c>
      <c r="C61" s="814" t="s">
        <v>615</v>
      </c>
      <c r="D61" s="814" t="s">
        <v>616</v>
      </c>
      <c r="E61" s="891">
        <v>0.5</v>
      </c>
      <c r="F61" s="878">
        <v>80</v>
      </c>
    </row>
    <row r="62" spans="1:8" s="874" customFormat="1" ht="24">
      <c r="A62" s="878">
        <v>2</v>
      </c>
      <c r="B62" s="3276"/>
      <c r="C62" s="814" t="s">
        <v>617</v>
      </c>
      <c r="D62" s="814" t="s">
        <v>618</v>
      </c>
      <c r="E62" s="891">
        <v>0.5</v>
      </c>
      <c r="F62" s="878">
        <v>80</v>
      </c>
    </row>
    <row r="63" spans="1:8" s="874" customFormat="1" ht="36">
      <c r="A63" s="878">
        <v>3</v>
      </c>
      <c r="B63" s="3276"/>
      <c r="C63" s="814" t="s">
        <v>619</v>
      </c>
      <c r="D63" s="814" t="s">
        <v>620</v>
      </c>
      <c r="E63" s="891">
        <v>0.5</v>
      </c>
      <c r="F63" s="878">
        <v>80</v>
      </c>
    </row>
    <row r="64" spans="1:8" s="874" customFormat="1" ht="36">
      <c r="A64" s="878">
        <v>4</v>
      </c>
      <c r="B64" s="3276"/>
      <c r="C64" s="814" t="s">
        <v>621</v>
      </c>
      <c r="D64" s="814" t="s">
        <v>622</v>
      </c>
      <c r="E64" s="891">
        <v>0.4</v>
      </c>
      <c r="F64" s="878">
        <v>60</v>
      </c>
    </row>
    <row r="65" spans="1:6" s="874" customFormat="1" ht="36">
      <c r="A65" s="878">
        <v>5</v>
      </c>
      <c r="B65" s="3276"/>
      <c r="C65" s="814" t="s">
        <v>623</v>
      </c>
      <c r="D65" s="814" t="s">
        <v>624</v>
      </c>
      <c r="E65" s="891">
        <v>0.2</v>
      </c>
      <c r="F65" s="878">
        <v>30</v>
      </c>
    </row>
    <row r="66" spans="1:6" s="874" customFormat="1" ht="36">
      <c r="A66" s="878">
        <v>6</v>
      </c>
      <c r="B66" s="3276"/>
      <c r="C66" s="814" t="s">
        <v>625</v>
      </c>
      <c r="D66" s="814" t="s">
        <v>626</v>
      </c>
      <c r="E66" s="891">
        <v>0.3</v>
      </c>
      <c r="F66" s="878">
        <v>50</v>
      </c>
    </row>
    <row r="67" spans="1:6" s="874" customFormat="1" ht="36">
      <c r="A67" s="878">
        <v>7</v>
      </c>
      <c r="B67" s="3276"/>
      <c r="C67" s="814" t="s">
        <v>627</v>
      </c>
      <c r="D67" s="814" t="s">
        <v>628</v>
      </c>
      <c r="E67" s="891">
        <v>0.2</v>
      </c>
      <c r="F67" s="878">
        <v>30</v>
      </c>
    </row>
    <row r="68" spans="1:6" s="874" customFormat="1" ht="36">
      <c r="A68" s="878">
        <v>8</v>
      </c>
      <c r="B68" s="3276"/>
      <c r="C68" s="814" t="s">
        <v>629</v>
      </c>
      <c r="D68" s="814" t="s">
        <v>630</v>
      </c>
      <c r="E68" s="891">
        <v>0.2</v>
      </c>
      <c r="F68" s="878">
        <v>30</v>
      </c>
    </row>
    <row r="69" spans="1:6" s="874" customFormat="1" ht="36">
      <c r="A69" s="878">
        <v>9</v>
      </c>
      <c r="B69" s="3276"/>
      <c r="C69" s="814" t="s">
        <v>631</v>
      </c>
      <c r="D69" s="814" t="s">
        <v>632</v>
      </c>
      <c r="E69" s="891">
        <v>0.2</v>
      </c>
      <c r="F69" s="878">
        <v>30</v>
      </c>
    </row>
    <row r="70" spans="1:6" s="874" customFormat="1" ht="48">
      <c r="A70" s="878">
        <v>10</v>
      </c>
      <c r="B70" s="3276"/>
      <c r="C70" s="814" t="s">
        <v>633</v>
      </c>
      <c r="D70" s="814" t="s">
        <v>634</v>
      </c>
      <c r="E70" s="891">
        <v>0.2</v>
      </c>
      <c r="F70" s="878">
        <v>30</v>
      </c>
    </row>
    <row r="71" spans="1:6" s="874" customFormat="1" ht="48">
      <c r="A71" s="878">
        <v>11</v>
      </c>
      <c r="B71" s="3276"/>
      <c r="C71" s="814" t="s">
        <v>635</v>
      </c>
      <c r="D71" s="814" t="s">
        <v>636</v>
      </c>
      <c r="E71" s="891">
        <v>0.2</v>
      </c>
      <c r="F71" s="878">
        <v>30</v>
      </c>
    </row>
    <row r="72" spans="1:6" s="874" customFormat="1" ht="36">
      <c r="A72" s="878">
        <v>12</v>
      </c>
      <c r="B72" s="3276"/>
      <c r="C72" s="814" t="s">
        <v>637</v>
      </c>
      <c r="D72" s="814" t="s">
        <v>638</v>
      </c>
      <c r="E72" s="891">
        <v>0.5</v>
      </c>
      <c r="F72" s="878">
        <v>80</v>
      </c>
    </row>
    <row r="73" spans="1:6" s="874" customFormat="1" ht="24">
      <c r="A73" s="878">
        <v>13</v>
      </c>
      <c r="B73" s="3276"/>
      <c r="C73" s="814" t="s">
        <v>639</v>
      </c>
      <c r="D73" s="814" t="s">
        <v>640</v>
      </c>
      <c r="E73" s="891">
        <v>0.4</v>
      </c>
      <c r="F73" s="878">
        <v>60</v>
      </c>
    </row>
    <row r="74" spans="1:6" s="874" customFormat="1" ht="24">
      <c r="A74" s="878">
        <v>14</v>
      </c>
      <c r="B74" s="3276"/>
      <c r="C74" s="814" t="s">
        <v>641</v>
      </c>
      <c r="D74" s="814" t="s">
        <v>642</v>
      </c>
      <c r="E74" s="891">
        <v>0.2</v>
      </c>
      <c r="F74" s="878">
        <v>30</v>
      </c>
    </row>
    <row r="75" spans="1:6" s="874" customFormat="1" ht="24">
      <c r="A75" s="878">
        <v>15</v>
      </c>
      <c r="B75" s="3276"/>
      <c r="C75" s="814" t="s">
        <v>643</v>
      </c>
      <c r="D75" s="814" t="s">
        <v>644</v>
      </c>
      <c r="E75" s="891">
        <v>0.2</v>
      </c>
      <c r="F75" s="878">
        <v>30</v>
      </c>
    </row>
    <row r="76" spans="1:6" s="874" customFormat="1" ht="24">
      <c r="A76" s="878">
        <v>16</v>
      </c>
      <c r="B76" s="3276" t="s">
        <v>645</v>
      </c>
      <c r="C76" s="814" t="s">
        <v>646</v>
      </c>
      <c r="D76" s="814" t="s">
        <v>647</v>
      </c>
      <c r="E76" s="891">
        <v>0.5</v>
      </c>
      <c r="F76" s="878">
        <v>80</v>
      </c>
    </row>
    <row r="77" spans="1:6" s="874" customFormat="1" ht="24">
      <c r="A77" s="878">
        <v>17</v>
      </c>
      <c r="B77" s="3276"/>
      <c r="C77" s="814" t="s">
        <v>648</v>
      </c>
      <c r="D77" s="814" t="s">
        <v>649</v>
      </c>
      <c r="E77" s="891">
        <v>0.5</v>
      </c>
      <c r="F77" s="878">
        <v>80</v>
      </c>
    </row>
    <row r="78" spans="1:6" s="874" customFormat="1" ht="24">
      <c r="A78" s="878">
        <v>18</v>
      </c>
      <c r="B78" s="3276"/>
      <c r="C78" s="814" t="s">
        <v>650</v>
      </c>
      <c r="D78" s="814" t="s">
        <v>651</v>
      </c>
      <c r="E78" s="891">
        <v>0.2</v>
      </c>
      <c r="F78" s="878">
        <v>30</v>
      </c>
    </row>
    <row r="79" spans="1:6" s="874" customFormat="1" ht="24">
      <c r="A79" s="878">
        <v>19</v>
      </c>
      <c r="B79" s="3276"/>
      <c r="C79" s="814" t="s">
        <v>652</v>
      </c>
      <c r="D79" s="814" t="s">
        <v>653</v>
      </c>
      <c r="E79" s="891">
        <v>0.5</v>
      </c>
      <c r="F79" s="878">
        <v>80</v>
      </c>
    </row>
    <row r="80" spans="1:6" s="874" customFormat="1" ht="36">
      <c r="A80" s="878">
        <v>20</v>
      </c>
      <c r="B80" s="3276"/>
      <c r="C80" s="814" t="s">
        <v>654</v>
      </c>
      <c r="D80" s="814" t="s">
        <v>655</v>
      </c>
      <c r="E80" s="891">
        <v>0.2</v>
      </c>
      <c r="F80" s="878">
        <v>30</v>
      </c>
    </row>
    <row r="81" spans="1:6" s="874" customFormat="1" ht="36">
      <c r="A81" s="878">
        <v>21</v>
      </c>
      <c r="B81" s="3276"/>
      <c r="C81" s="814" t="s">
        <v>656</v>
      </c>
      <c r="D81" s="814" t="s">
        <v>657</v>
      </c>
      <c r="E81" s="891">
        <v>0.2</v>
      </c>
      <c r="F81" s="878">
        <v>30</v>
      </c>
    </row>
    <row r="82" spans="1:6" s="874" customFormat="1" ht="48">
      <c r="A82" s="878">
        <v>22</v>
      </c>
      <c r="B82" s="3276"/>
      <c r="C82" s="814" t="s">
        <v>658</v>
      </c>
      <c r="D82" s="814" t="s">
        <v>659</v>
      </c>
      <c r="E82" s="891">
        <v>0.2</v>
      </c>
      <c r="F82" s="878">
        <v>30</v>
      </c>
    </row>
    <row r="83" spans="1:6" s="874" customFormat="1" ht="48">
      <c r="A83" s="878">
        <v>23</v>
      </c>
      <c r="B83" s="3276"/>
      <c r="C83" s="814" t="s">
        <v>660</v>
      </c>
      <c r="D83" s="814" t="s">
        <v>661</v>
      </c>
      <c r="E83" s="891">
        <v>0.2</v>
      </c>
      <c r="F83" s="878">
        <v>30</v>
      </c>
    </row>
    <row r="84" spans="1:6" s="874" customFormat="1" ht="36">
      <c r="A84" s="878">
        <v>24</v>
      </c>
      <c r="B84" s="3276"/>
      <c r="C84" s="814" t="s">
        <v>662</v>
      </c>
      <c r="D84" s="814" t="s">
        <v>663</v>
      </c>
      <c r="E84" s="891">
        <v>0.2</v>
      </c>
      <c r="F84" s="878">
        <v>30</v>
      </c>
    </row>
    <row r="85" spans="1:6" s="874" customFormat="1" ht="36">
      <c r="A85" s="878">
        <v>25</v>
      </c>
      <c r="B85" s="3276"/>
      <c r="C85" s="814" t="s">
        <v>664</v>
      </c>
      <c r="D85" s="814" t="s">
        <v>665</v>
      </c>
      <c r="E85" s="891">
        <v>0.5</v>
      </c>
      <c r="F85" s="878">
        <v>80</v>
      </c>
    </row>
    <row r="86" spans="1:6" s="874" customFormat="1" ht="36">
      <c r="A86" s="878">
        <v>26</v>
      </c>
      <c r="B86" s="3276"/>
      <c r="C86" s="814" t="s">
        <v>666</v>
      </c>
      <c r="D86" s="814" t="s">
        <v>667</v>
      </c>
      <c r="E86" s="891">
        <v>0.2</v>
      </c>
      <c r="F86" s="878">
        <v>30</v>
      </c>
    </row>
    <row r="87" spans="1:6" s="874" customFormat="1" ht="36">
      <c r="A87" s="878">
        <v>27</v>
      </c>
      <c r="B87" s="3276"/>
      <c r="C87" s="814" t="s">
        <v>668</v>
      </c>
      <c r="D87" s="814" t="s">
        <v>669</v>
      </c>
      <c r="E87" s="891">
        <v>0.2</v>
      </c>
      <c r="F87" s="878">
        <v>30</v>
      </c>
    </row>
    <row r="88" spans="1:6" s="874" customFormat="1" ht="36">
      <c r="A88" s="878">
        <v>28</v>
      </c>
      <c r="B88" s="3276"/>
      <c r="C88" s="814" t="s">
        <v>670</v>
      </c>
      <c r="D88" s="814" t="s">
        <v>671</v>
      </c>
      <c r="E88" s="891">
        <v>0.2</v>
      </c>
      <c r="F88" s="878">
        <v>30</v>
      </c>
    </row>
    <row r="89" spans="1:6" s="874" customFormat="1" ht="24">
      <c r="A89" s="878">
        <v>29</v>
      </c>
      <c r="B89" s="3276"/>
      <c r="C89" s="814" t="s">
        <v>672</v>
      </c>
      <c r="D89" s="814" t="s">
        <v>673</v>
      </c>
      <c r="E89" s="891">
        <v>0.2</v>
      </c>
      <c r="F89" s="878">
        <v>30</v>
      </c>
    </row>
    <row r="90" spans="1:6" s="874" customFormat="1" ht="24">
      <c r="A90" s="878">
        <v>30</v>
      </c>
      <c r="B90" s="3276"/>
      <c r="C90" s="814" t="s">
        <v>674</v>
      </c>
      <c r="D90" s="814" t="s">
        <v>675</v>
      </c>
      <c r="E90" s="891">
        <v>0.2</v>
      </c>
      <c r="F90" s="878">
        <v>30</v>
      </c>
    </row>
    <row r="91" spans="1:6" s="874" customFormat="1" ht="36">
      <c r="A91" s="878">
        <v>31</v>
      </c>
      <c r="B91" s="3276"/>
      <c r="C91" s="814" t="s">
        <v>676</v>
      </c>
      <c r="D91" s="814" t="s">
        <v>677</v>
      </c>
      <c r="E91" s="891">
        <v>0.2</v>
      </c>
      <c r="F91" s="878">
        <v>30</v>
      </c>
    </row>
    <row r="92" spans="1:6" s="874" customFormat="1" ht="24">
      <c r="A92" s="878">
        <v>32</v>
      </c>
      <c r="B92" s="3276" t="s">
        <v>678</v>
      </c>
      <c r="C92" s="878" t="s">
        <v>679</v>
      </c>
      <c r="D92" s="814" t="s">
        <v>680</v>
      </c>
      <c r="E92" s="891">
        <v>0.2</v>
      </c>
      <c r="F92" s="878">
        <v>30</v>
      </c>
    </row>
    <row r="93" spans="1:6" s="874" customFormat="1" ht="36">
      <c r="A93" s="878">
        <v>33</v>
      </c>
      <c r="B93" s="3276"/>
      <c r="C93" s="878" t="s">
        <v>681</v>
      </c>
      <c r="D93" s="814" t="s">
        <v>682</v>
      </c>
      <c r="E93" s="891">
        <v>0.2</v>
      </c>
      <c r="F93" s="878">
        <v>30</v>
      </c>
    </row>
    <row r="94" spans="1:6" s="874" customFormat="1" ht="48">
      <c r="A94" s="878">
        <v>34</v>
      </c>
      <c r="B94" s="3276"/>
      <c r="C94" s="878" t="s">
        <v>683</v>
      </c>
      <c r="D94" s="814" t="s">
        <v>684</v>
      </c>
      <c r="E94" s="891">
        <v>0.2</v>
      </c>
      <c r="F94" s="878">
        <v>30</v>
      </c>
    </row>
    <row r="95" spans="1:6" s="874" customFormat="1" ht="36">
      <c r="A95" s="878">
        <v>35</v>
      </c>
      <c r="B95" s="3276"/>
      <c r="C95" s="878" t="s">
        <v>685</v>
      </c>
      <c r="D95" s="814" t="s">
        <v>686</v>
      </c>
      <c r="E95" s="891">
        <v>0.2</v>
      </c>
      <c r="F95" s="878">
        <v>30</v>
      </c>
    </row>
    <row r="96" spans="1:6" s="874" customFormat="1" ht="48">
      <c r="A96" s="878">
        <v>36</v>
      </c>
      <c r="B96" s="3276"/>
      <c r="C96" s="814" t="s">
        <v>687</v>
      </c>
      <c r="D96" s="814" t="s">
        <v>688</v>
      </c>
      <c r="E96" s="891">
        <v>0.2</v>
      </c>
      <c r="F96" s="878">
        <v>30</v>
      </c>
    </row>
    <row r="97" spans="1:6" s="874" customFormat="1" ht="36">
      <c r="A97" s="878">
        <v>37</v>
      </c>
      <c r="B97" s="3276"/>
      <c r="C97" s="878" t="s">
        <v>689</v>
      </c>
      <c r="D97" s="814" t="s">
        <v>690</v>
      </c>
      <c r="E97" s="891">
        <v>0.2</v>
      </c>
      <c r="F97" s="878">
        <v>30</v>
      </c>
    </row>
    <row r="98" spans="1:6" s="874" customFormat="1" ht="36">
      <c r="A98" s="878">
        <v>38</v>
      </c>
      <c r="B98" s="3276"/>
      <c r="C98" s="878" t="s">
        <v>691</v>
      </c>
      <c r="D98" s="814" t="s">
        <v>692</v>
      </c>
      <c r="E98" s="891">
        <v>0.2</v>
      </c>
      <c r="F98" s="878">
        <v>30</v>
      </c>
    </row>
    <row r="99" spans="1:6" s="874" customFormat="1" ht="36">
      <c r="A99" s="878">
        <v>39</v>
      </c>
      <c r="B99" s="3276" t="s">
        <v>693</v>
      </c>
      <c r="C99" s="878" t="s">
        <v>694</v>
      </c>
      <c r="D99" s="814" t="s">
        <v>695</v>
      </c>
      <c r="E99" s="891">
        <v>0.3</v>
      </c>
      <c r="F99" s="878">
        <v>50</v>
      </c>
    </row>
    <row r="100" spans="1:6" s="874" customFormat="1" ht="24">
      <c r="A100" s="878">
        <v>40</v>
      </c>
      <c r="B100" s="3276"/>
      <c r="C100" s="878" t="s">
        <v>696</v>
      </c>
      <c r="D100" s="814" t="s">
        <v>697</v>
      </c>
      <c r="E100" s="891">
        <v>0.2</v>
      </c>
      <c r="F100" s="878">
        <v>30</v>
      </c>
    </row>
    <row r="101" spans="1:6" s="874" customFormat="1" ht="36">
      <c r="A101" s="878">
        <v>41</v>
      </c>
      <c r="B101" s="327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6" t="s">
        <v>708</v>
      </c>
      <c r="C105" s="878" t="s">
        <v>709</v>
      </c>
      <c r="D105" s="814" t="s">
        <v>710</v>
      </c>
      <c r="E105" s="891">
        <v>0.2</v>
      </c>
      <c r="F105" s="878">
        <v>30</v>
      </c>
    </row>
    <row r="106" spans="1:6" s="874" customFormat="1" ht="36">
      <c r="A106" s="878">
        <v>46</v>
      </c>
      <c r="B106" s="3276"/>
      <c r="C106" s="878" t="s">
        <v>711</v>
      </c>
      <c r="D106" s="814" t="s">
        <v>712</v>
      </c>
      <c r="E106" s="891">
        <v>0.2</v>
      </c>
      <c r="F106" s="878">
        <v>30</v>
      </c>
    </row>
    <row r="107" spans="1:6" s="874" customFormat="1" ht="36">
      <c r="A107" s="878">
        <v>47</v>
      </c>
      <c r="B107" s="3276" t="s">
        <v>713</v>
      </c>
      <c r="C107" s="878" t="s">
        <v>714</v>
      </c>
      <c r="D107" s="814" t="s">
        <v>715</v>
      </c>
      <c r="E107" s="891">
        <v>0.3</v>
      </c>
      <c r="F107" s="878">
        <v>50</v>
      </c>
    </row>
    <row r="108" spans="1:6" s="874" customFormat="1" ht="36">
      <c r="A108" s="878">
        <v>48</v>
      </c>
      <c r="B108" s="327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6" t="s">
        <v>724</v>
      </c>
      <c r="C111" s="878" t="s">
        <v>725</v>
      </c>
      <c r="D111" s="814" t="s">
        <v>726</v>
      </c>
      <c r="E111" s="891">
        <v>0.2</v>
      </c>
      <c r="F111" s="878">
        <v>30</v>
      </c>
    </row>
    <row r="112" spans="1:6" s="874" customFormat="1" ht="24">
      <c r="A112" s="878">
        <v>52</v>
      </c>
      <c r="B112" s="3276"/>
      <c r="C112" s="878" t="s">
        <v>727</v>
      </c>
      <c r="D112" s="814" t="s">
        <v>728</v>
      </c>
      <c r="E112" s="891">
        <v>0.2</v>
      </c>
      <c r="F112" s="878">
        <v>30</v>
      </c>
    </row>
    <row r="113" spans="1:6" s="874" customFormat="1" ht="24">
      <c r="A113" s="878">
        <v>53</v>
      </c>
      <c r="B113" s="327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6" t="s">
        <v>737</v>
      </c>
      <c r="C116" s="878" t="s">
        <v>738</v>
      </c>
      <c r="D116" s="814" t="s">
        <v>739</v>
      </c>
      <c r="E116" s="891">
        <v>0.2</v>
      </c>
      <c r="F116" s="878">
        <v>30</v>
      </c>
    </row>
    <row r="117" spans="1:6" ht="36">
      <c r="A117" s="878">
        <v>57</v>
      </c>
      <c r="B117" s="327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0"/>
      <c r="B4" s="2974" t="s">
        <v>1632</v>
      </c>
      <c r="C4" s="2974"/>
      <c r="D4" s="2974"/>
      <c r="E4" s="1960"/>
    </row>
    <row r="5" spans="1:5" ht="16.5" thickTop="1">
      <c r="A5" s="1958"/>
      <c r="B5" s="2972" t="s">
        <v>1624</v>
      </c>
      <c r="C5" s="1961" t="s">
        <v>1625</v>
      </c>
      <c r="D5" s="1039">
        <f ca="1">结果表!H101</f>
        <v>15037</v>
      </c>
      <c r="E5" s="1958"/>
    </row>
    <row r="6" spans="1:5" ht="15.75">
      <c r="A6" s="1958"/>
      <c r="B6" s="2972"/>
      <c r="C6" s="1961" t="s">
        <v>1626</v>
      </c>
      <c r="D6" s="1039" t="str">
        <f ca="1">NUMBERSTRING(INT(D5*10000),2)&amp;"元整"</f>
        <v>壹亿伍仟零叁拾柒万元整</v>
      </c>
      <c r="E6" s="1958"/>
    </row>
    <row r="7" spans="1:5" ht="15.75">
      <c r="A7" s="1958"/>
      <c r="B7" s="2977"/>
      <c r="C7" s="1962" t="s">
        <v>1627</v>
      </c>
      <c r="D7" s="1040">
        <f ca="1">结果表!H102</f>
        <v>5736</v>
      </c>
      <c r="E7" s="1958"/>
    </row>
    <row r="8" spans="1:5" ht="15.75">
      <c r="A8" s="1958"/>
      <c r="B8" s="2978" t="str">
        <f>结果表!E103</f>
        <v>2.估价师知悉的法定优先受偿款</v>
      </c>
      <c r="C8" s="1963" t="s">
        <v>1628</v>
      </c>
      <c r="D8" s="1040">
        <f>结果表!H103</f>
        <v>0</v>
      </c>
      <c r="E8" s="1958"/>
    </row>
    <row r="9" spans="1:5" ht="15.75">
      <c r="A9" s="1958"/>
      <c r="B9" s="2980"/>
      <c r="C9" s="1961" t="s">
        <v>1626</v>
      </c>
      <c r="D9" s="1039" t="str">
        <f>NUMBERSTRING(INT(D8*10000),2)&amp;"元整"</f>
        <v>零元整</v>
      </c>
      <c r="E9" s="1958"/>
    </row>
    <row r="10" spans="1:5" ht="15">
      <c r="A10" s="1958"/>
      <c r="B10" s="1964" t="s">
        <v>1631</v>
      </c>
      <c r="C10" s="1965" t="s">
        <v>1629</v>
      </c>
      <c r="D10" s="1041">
        <f>结果表!H104</f>
        <v>0</v>
      </c>
      <c r="E10" s="1958"/>
    </row>
    <row r="11" spans="1:5" ht="15">
      <c r="A11" s="1958"/>
      <c r="B11" s="1964" t="s">
        <v>1633</v>
      </c>
      <c r="C11" s="1965" t="s">
        <v>1634</v>
      </c>
      <c r="D11" s="1041">
        <f>结果表!H105</f>
        <v>0</v>
      </c>
      <c r="E11" s="1958"/>
    </row>
    <row r="12" spans="1:5" ht="15">
      <c r="A12" s="1958"/>
      <c r="B12" s="1964" t="s">
        <v>1635</v>
      </c>
      <c r="C12" s="1965" t="s">
        <v>1634</v>
      </c>
      <c r="D12" s="1041">
        <f>结果表!H106</f>
        <v>0</v>
      </c>
      <c r="E12" s="1958"/>
    </row>
    <row r="13" spans="1:5" ht="15.75">
      <c r="A13" s="1958"/>
      <c r="B13" s="2971" t="str">
        <f>结果表!E107</f>
        <v>3.房地产抵押价值</v>
      </c>
      <c r="C13" s="1966" t="s">
        <v>1625</v>
      </c>
      <c r="D13" s="1042">
        <f ca="1">结果表!H107</f>
        <v>15037</v>
      </c>
      <c r="E13" s="1958"/>
    </row>
    <row r="14" spans="1:5" ht="15.75">
      <c r="A14" s="1958"/>
      <c r="B14" s="2972"/>
      <c r="C14" s="1961" t="s">
        <v>1626</v>
      </c>
      <c r="D14" s="1039" t="str">
        <f ca="1">NUMBERSTRING(INT(D13*10000),2)&amp;"元整"</f>
        <v>壹亿伍仟零叁拾柒万元整</v>
      </c>
      <c r="E14" s="1958"/>
    </row>
    <row r="15" spans="1:5" ht="15">
      <c r="A15" s="1958"/>
      <c r="B15" s="2977"/>
      <c r="C15" s="1962" t="s">
        <v>1636</v>
      </c>
      <c r="D15" s="1051">
        <f ca="1">结果表!H108</f>
        <v>5736</v>
      </c>
      <c r="E15" s="1958"/>
    </row>
    <row r="16" spans="1:5" ht="15">
      <c r="A16" s="1958"/>
      <c r="B16" s="2978" t="str">
        <f>结果表!E109</f>
        <v>——</v>
      </c>
      <c r="C16" s="1966" t="s">
        <v>1637</v>
      </c>
      <c r="D16" s="1967" t="str">
        <f>结果表!H109</f>
        <v>——</v>
      </c>
      <c r="E16" s="1958"/>
    </row>
    <row r="17" spans="1:5" ht="15.75">
      <c r="A17" s="1958"/>
      <c r="B17" s="2979"/>
      <c r="C17" s="1961" t="s">
        <v>1638</v>
      </c>
      <c r="D17" s="1039" t="e">
        <f>NUMBERSTRING(INT(D16*10000),2)&amp;"元整"</f>
        <v>#VALUE!</v>
      </c>
      <c r="E17" s="1958"/>
    </row>
    <row r="18" spans="1:5" ht="15">
      <c r="A18" s="1958"/>
      <c r="B18" s="2980"/>
      <c r="C18" s="1962" t="s">
        <v>1627</v>
      </c>
      <c r="D18" s="1051" t="str">
        <f>结果表!H110</f>
        <v>——</v>
      </c>
      <c r="E18" s="1958"/>
    </row>
    <row r="19" spans="1:5" ht="15.75">
      <c r="A19" s="1958"/>
      <c r="B19" s="2971" t="str">
        <f>结果表!E111</f>
        <v>——</v>
      </c>
      <c r="C19" s="1966" t="s">
        <v>1625</v>
      </c>
      <c r="D19" s="1040" t="str">
        <f>结果表!H111</f>
        <v>——</v>
      </c>
      <c r="E19" s="1958"/>
    </row>
    <row r="20" spans="1:5" ht="15.75">
      <c r="A20" s="1958"/>
      <c r="B20" s="2972"/>
      <c r="C20" s="1961" t="s">
        <v>1638</v>
      </c>
      <c r="D20" s="1039" t="e">
        <f>NUMBERSTRING(INT(D19*10000),2)&amp;"元整"</f>
        <v>#VALUE!</v>
      </c>
      <c r="E20" s="1958"/>
    </row>
    <row r="21" spans="1:5" ht="15.75" thickBot="1">
      <c r="A21" s="1958"/>
      <c r="B21" s="2973"/>
      <c r="C21" s="1968" t="s">
        <v>1636</v>
      </c>
      <c r="D21" s="1052"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3001</v>
      </c>
    </row>
    <row r="2" spans="1:5" ht="15.75">
      <c r="A2" s="2908" t="s">
        <v>2993</v>
      </c>
      <c r="B2" s="2909" t="e">
        <f ca="1">SUMIF(B6:B13,"&lt;&gt;#ref!",B6:B13)</f>
        <v>#DIV/0!</v>
      </c>
      <c r="C2" s="2908" t="s">
        <v>2994</v>
      </c>
      <c r="D2" s="2908" t="s">
        <v>2995</v>
      </c>
      <c r="E2" s="2909" t="e">
        <f ca="1">SUM(E6:E13)</f>
        <v>#REF!</v>
      </c>
    </row>
    <row r="3" spans="1:5" ht="15.75">
      <c r="A3" s="2908" t="s">
        <v>2996</v>
      </c>
      <c r="B3" s="2909" t="e">
        <f ca="1">ROUND(B2*10000/E2,0)</f>
        <v>#DIV/0!</v>
      </c>
      <c r="C3" s="2908" t="s">
        <v>3002</v>
      </c>
      <c r="D3" s="2910"/>
      <c r="E3" s="2910"/>
    </row>
    <row r="4" spans="1:5" ht="15.75">
      <c r="A4" s="2911"/>
      <c r="B4" s="2910"/>
      <c r="C4" s="2910"/>
      <c r="D4" s="2910"/>
      <c r="E4" s="2910"/>
    </row>
    <row r="5" spans="1:5" ht="28.5">
      <c r="A5" s="2912" t="s">
        <v>2997</v>
      </c>
      <c r="B5" s="2908" t="s">
        <v>2998</v>
      </c>
      <c r="C5" s="2909"/>
      <c r="D5" s="2910"/>
      <c r="E5" s="2908" t="s">
        <v>2999</v>
      </c>
    </row>
    <row r="6" spans="1:5" ht="15.75">
      <c r="A6" s="2913" t="s">
        <v>3000</v>
      </c>
      <c r="B6" s="2909" t="e">
        <f ca="1">SUMIF(INDIRECT("'"&amp;A6&amp;"'"&amp;"!A:A"),"总价",INDIRECT("'"&amp;A6&amp;"'"&amp;"!B:B"))</f>
        <v>#DIV/0!</v>
      </c>
      <c r="C6" s="2908" t="s">
        <v>2994</v>
      </c>
      <c r="D6" s="2910"/>
      <c r="E6" s="2573">
        <f ca="1">SUMIF(INDIRECT("'"&amp;A6&amp;"'"&amp;"!C:C"),"建筑面积",INDIRECT("'"&amp;A6&amp;"'"&amp;"!D:D"))</f>
        <v>0</v>
      </c>
    </row>
    <row r="7" spans="1:5" ht="15.75">
      <c r="A7" s="2913"/>
      <c r="B7" s="2909" t="e">
        <f ca="1">SUMIF(INDIRECT("'"&amp;A7&amp;"'"&amp;"!A:A"),"总价",INDIRECT("'"&amp;A7&amp;"'"&amp;"!B:B"))</f>
        <v>#REF!</v>
      </c>
      <c r="C7" s="2908" t="s">
        <v>2994</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2994</v>
      </c>
      <c r="D8" s="2910"/>
      <c r="E8" s="2573" t="e">
        <f t="shared" ca="1" si="0"/>
        <v>#REF!</v>
      </c>
    </row>
    <row r="9" spans="1:5" ht="15.75">
      <c r="A9" s="2913"/>
      <c r="B9" s="2909" t="e">
        <f t="shared" ca="1" si="1"/>
        <v>#REF!</v>
      </c>
      <c r="C9" s="2908" t="s">
        <v>2994</v>
      </c>
      <c r="D9" s="2910"/>
      <c r="E9" s="2573" t="e">
        <f t="shared" ca="1" si="0"/>
        <v>#REF!</v>
      </c>
    </row>
    <row r="10" spans="1:5" ht="15.75">
      <c r="A10" s="2913"/>
      <c r="B10" s="2909" t="e">
        <f t="shared" ca="1" si="1"/>
        <v>#REF!</v>
      </c>
      <c r="C10" s="2908" t="s">
        <v>2994</v>
      </c>
      <c r="D10" s="2910"/>
      <c r="E10" s="2573" t="e">
        <f t="shared" ca="1" si="0"/>
        <v>#REF!</v>
      </c>
    </row>
    <row r="11" spans="1:5" ht="15.75">
      <c r="A11" s="2913"/>
      <c r="B11" s="2909" t="e">
        <f t="shared" ca="1" si="1"/>
        <v>#REF!</v>
      </c>
      <c r="C11" s="2908" t="s">
        <v>2994</v>
      </c>
      <c r="D11" s="2910"/>
      <c r="E11" s="2573" t="e">
        <f t="shared" ca="1" si="0"/>
        <v>#REF!</v>
      </c>
    </row>
    <row r="12" spans="1:5" ht="15.75">
      <c r="A12" s="2913"/>
      <c r="B12" s="2909" t="e">
        <f t="shared" ca="1" si="1"/>
        <v>#REF!</v>
      </c>
      <c r="C12" s="2908" t="s">
        <v>2994</v>
      </c>
      <c r="D12" s="2910"/>
      <c r="E12" s="2573" t="e">
        <f t="shared" ca="1" si="0"/>
        <v>#REF!</v>
      </c>
    </row>
    <row r="13" spans="1:5" ht="15.75">
      <c r="A13" s="2913"/>
      <c r="B13" s="2909" t="e">
        <f t="shared" ca="1" si="1"/>
        <v>#REF!</v>
      </c>
      <c r="C13" s="2908" t="s">
        <v>2994</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R43" sqref="R43:W4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282" t="s">
        <v>1150</v>
      </c>
      <c r="C1" s="3282"/>
      <c r="D1" s="3282"/>
      <c r="E1" s="3282"/>
      <c r="F1" s="3282"/>
      <c r="G1" s="3281" t="s">
        <v>1151</v>
      </c>
      <c r="H1" s="3281"/>
      <c r="I1" s="3281"/>
      <c r="J1" s="3281"/>
      <c r="K1" s="3281"/>
      <c r="L1" s="3281"/>
      <c r="N1" s="3281" t="s">
        <v>1152</v>
      </c>
      <c r="O1" s="3281"/>
      <c r="P1" s="3281"/>
      <c r="Q1" s="3281"/>
      <c r="R1" s="1445"/>
      <c r="S1" s="3281" t="s">
        <v>1153</v>
      </c>
      <c r="T1" s="3281"/>
      <c r="U1" s="3281"/>
      <c r="V1" s="3281"/>
      <c r="X1" s="3280" t="s">
        <v>1154</v>
      </c>
      <c r="Y1" s="3281"/>
      <c r="Z1" s="3281"/>
      <c r="AA1" s="3281"/>
      <c r="AB1" s="3281"/>
      <c r="AD1" s="3280" t="s">
        <v>1155</v>
      </c>
      <c r="AE1" s="3281"/>
      <c r="AF1" s="3281"/>
      <c r="AG1" s="3281"/>
      <c r="AH1" s="3281"/>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31"/>
      <c r="J3" s="2931"/>
      <c r="K3" s="2931"/>
      <c r="L3" s="2931"/>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3038</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31">
        <f>ROUND(AVERAGE(I5:I20),2)</f>
        <v>2.4900000000000002</v>
      </c>
      <c r="J4" s="2931">
        <f t="shared" ref="J4:L4" si="7">ROUND(AVERAGE(J5:J20),2)</f>
        <v>1.64</v>
      </c>
      <c r="K4" s="2931">
        <f t="shared" si="7"/>
        <v>2.78</v>
      </c>
      <c r="L4" s="2931">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3036</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9">
        <v>2017</v>
      </c>
      <c r="H5" s="1729">
        <v>4</v>
      </c>
      <c r="I5" s="2932">
        <f>ROUND(AVERAGE(I6:I20),2)</f>
        <v>2.4900000000000002</v>
      </c>
      <c r="J5" s="2932">
        <f>ROUND(AVERAGE(J6:J20),2)</f>
        <v>1.64</v>
      </c>
      <c r="K5" s="2932">
        <f>ROUND(AVERAGE(K6:K20),2)</f>
        <v>2.78</v>
      </c>
      <c r="L5" s="2932">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3037</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1"/>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0"/>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1"/>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283">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278"/>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278"/>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279"/>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277">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278"/>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278"/>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279"/>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277">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278"/>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278"/>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279"/>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284">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285"/>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285"/>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286"/>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277">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278"/>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278"/>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279"/>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277">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278">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278">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279">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277">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278">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278">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279">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277">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278">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278">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279">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277">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278">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278">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279">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277">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278">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278">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279">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277">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278">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278">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279">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277">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278">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278">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279">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277">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278">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278">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279">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277">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278">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278">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279">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277">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278">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278">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279">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3" t="s">
        <v>3003</v>
      </c>
      <c r="C1" s="3288" t="s">
        <v>3004</v>
      </c>
      <c r="D1" s="3289"/>
      <c r="E1" s="3289"/>
      <c r="F1" s="3289"/>
      <c r="G1" s="3289"/>
      <c r="H1" s="3289"/>
      <c r="I1" s="3289"/>
      <c r="J1" s="3289"/>
      <c r="K1" s="3289"/>
      <c r="L1" s="3289"/>
      <c r="M1" s="3289"/>
      <c r="N1" s="3289"/>
      <c r="O1" s="3289"/>
      <c r="P1" s="3289"/>
      <c r="Q1" s="3289"/>
      <c r="R1" s="3289"/>
      <c r="S1" s="3290"/>
      <c r="T1" s="1203" t="s">
        <v>3005</v>
      </c>
    </row>
    <row r="2" spans="1:45" s="707" customFormat="1">
      <c r="A2" s="1204"/>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3007</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3008</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3009</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3013</v>
      </c>
      <c r="B17" s="2915"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7"/>
      <c r="B19" s="168"/>
      <c r="C19" s="168"/>
      <c r="D19" s="2916" t="s">
        <v>3015</v>
      </c>
      <c r="E19" s="1791"/>
      <c r="F19" s="1791"/>
      <c r="G19" s="1791"/>
      <c r="H19" s="1279"/>
      <c r="I19" s="168"/>
      <c r="J19" s="168"/>
      <c r="K19" s="168"/>
      <c r="L19" s="168"/>
      <c r="M19" s="168"/>
      <c r="N19" s="168"/>
      <c r="O19" s="168"/>
      <c r="P19" s="168"/>
      <c r="Q19" s="168"/>
      <c r="R19" s="788"/>
      <c r="S19" s="137"/>
    </row>
    <row r="20" spans="1:45" ht="16.5" thickBot="1">
      <c r="A20" s="715" t="s">
        <v>3016</v>
      </c>
      <c r="B20" s="338" t="e">
        <f ca="1">IF(D20="——",S22,S22-F20)</f>
        <v>#REF!</v>
      </c>
      <c r="C20" s="168"/>
      <c r="D20" s="2917" t="s">
        <v>3017</v>
      </c>
      <c r="E20" s="1792"/>
      <c r="F20" s="1203" t="e">
        <f ca="1">SUMIF(INDIRECT("'"&amp;H20&amp;"'"&amp;"!A:A"),"承租人权益价值",INDIRECT("'"&amp;H20&amp;"'"&amp;"!c:c"))</f>
        <v>#REF!</v>
      </c>
      <c r="G20" s="1203" t="s">
        <v>3018</v>
      </c>
      <c r="H20" s="2918"/>
      <c r="I20" s="168"/>
      <c r="J20" s="168"/>
      <c r="K20" s="168"/>
      <c r="L20" s="168"/>
      <c r="M20" s="168"/>
      <c r="N20" s="168"/>
      <c r="O20" s="168"/>
      <c r="P20" s="168"/>
      <c r="Q20" s="168"/>
      <c r="R20" s="788"/>
      <c r="S20" s="137"/>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7"/>
    </row>
    <row r="22" spans="1:45">
      <c r="A22" s="361" t="s">
        <v>3020</v>
      </c>
      <c r="B22" s="24">
        <f>SUM(B24:B10000)</f>
        <v>100</v>
      </c>
      <c r="C22" s="3151" t="s">
        <v>33</v>
      </c>
      <c r="D22" s="3152"/>
      <c r="E22" s="3152"/>
      <c r="F22" s="3152"/>
      <c r="G22" s="3152"/>
      <c r="H22" s="3152"/>
      <c r="I22" s="3152"/>
      <c r="J22" s="3152"/>
      <c r="K22" s="3152"/>
      <c r="L22" s="3152"/>
      <c r="M22" s="3152"/>
      <c r="N22" s="3152"/>
      <c r="O22" s="3152"/>
      <c r="P22" s="3152"/>
      <c r="Q22" s="328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41727</v>
      </c>
      <c r="C2" s="2" t="s">
        <v>133</v>
      </c>
      <c r="D2" s="243"/>
      <c r="E2" s="243"/>
      <c r="F2" s="243"/>
      <c r="G2" s="243"/>
    </row>
    <row r="3" spans="1:7" s="244" customFormat="1" ht="18" customHeight="1" thickBot="1">
      <c r="A3" s="247" t="s">
        <v>85</v>
      </c>
      <c r="B3" s="248">
        <f ca="1">ROUND(B2*10000/'数据-汇总表'!E3,0)</f>
        <v>15917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810</v>
      </c>
      <c r="D7" s="264"/>
      <c r="E7" s="262"/>
      <c r="F7" s="265">
        <f>'数据-取费表'!B48+'数据-取费表'!B49</f>
        <v>4.0500000000000001E-2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150</v>
      </c>
      <c r="F9" s="265"/>
      <c r="G9" s="270"/>
    </row>
    <row r="10" spans="1:7" s="258" customFormat="1" ht="13.5" customHeight="1">
      <c r="A10" s="949" t="s">
        <v>801</v>
      </c>
      <c r="B10" s="268" t="s">
        <v>94</v>
      </c>
      <c r="C10" s="269">
        <f>ROUND(D10*E10/10000,0)</f>
        <v>393</v>
      </c>
      <c r="D10" s="1031">
        <f>'数据-汇总表'!E6</f>
        <v>26215.040000000001</v>
      </c>
      <c r="E10" s="269">
        <f>'数据-取费表'!B28</f>
        <v>150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524</v>
      </c>
      <c r="D19" s="1035">
        <f>'数据-汇总表'!E3</f>
        <v>26215.040000000001</v>
      </c>
      <c r="E19" s="255">
        <f>'数据-取费表'!B31</f>
        <v>200</v>
      </c>
      <c r="F19" s="275"/>
      <c r="G19" s="1" t="s">
        <v>1074</v>
      </c>
    </row>
    <row r="20" spans="1:7" s="258" customFormat="1" ht="13.5" customHeight="1">
      <c r="A20" s="947" t="s">
        <v>1057</v>
      </c>
      <c r="B20" s="254" t="s">
        <v>104</v>
      </c>
      <c r="C20" s="276">
        <f>ROUND((C5+C19)*F20,0)</f>
        <v>533</v>
      </c>
      <c r="D20" s="276"/>
      <c r="E20" s="276"/>
      <c r="F20" s="277">
        <f>'数据-取费表'!B37</f>
        <v>2.5000000000000001E-2</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2100</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2024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51</v>
      </c>
      <c r="D24" s="282"/>
      <c r="E24" s="282"/>
      <c r="F24" s="283"/>
      <c r="G24" s="284" t="s">
        <v>109</v>
      </c>
    </row>
    <row r="25" spans="1:7" s="258" customFormat="1" ht="24">
      <c r="A25" s="950" t="s">
        <v>793</v>
      </c>
      <c r="B25" s="259" t="s">
        <v>1058</v>
      </c>
      <c r="C25" s="1354">
        <f ca="1">ROUND(IF('数据-取费表'!B22&lt;=1,C20*F22*'数据-取费表'!B23/2,C20*(POWER((1+F22),'数据-取费表'!B23/2)-1)),0)</f>
        <v>25</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3280</v>
      </c>
      <c r="D27" s="279">
        <f>C29</f>
        <v>4.4999999999999997E-3</v>
      </c>
      <c r="E27" s="280" t="s">
        <v>126</v>
      </c>
      <c r="F27" s="290">
        <f>'数据-取费表'!Q16</f>
        <v>0.15</v>
      </c>
      <c r="G27" s="291" t="s">
        <v>1069</v>
      </c>
    </row>
    <row r="28" spans="1:7" s="258" customFormat="1" ht="13.5" customHeight="1">
      <c r="A28" s="950" t="s">
        <v>794</v>
      </c>
      <c r="B28" s="292" t="s">
        <v>1062</v>
      </c>
      <c r="C28" s="293">
        <f>ROUND((C5+C19+C20)*F27*'数据-取费表'!B21/'数据-取费表'!B20,0)</f>
        <v>3280</v>
      </c>
      <c r="D28" s="279"/>
      <c r="E28" s="280"/>
      <c r="F28" s="290"/>
      <c r="G28" s="291"/>
    </row>
    <row r="29" spans="1:7" s="258" customFormat="1" ht="13.5" customHeight="1">
      <c r="A29" s="950" t="s">
        <v>792</v>
      </c>
      <c r="B29" s="292" t="s">
        <v>1063</v>
      </c>
      <c r="C29" s="282">
        <f>ROUND(C21*F27*'数据-取费表'!B21/'数据-取费表'!B20,4)</f>
        <v>4.4999999999999997E-3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29917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8772</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7745</v>
      </c>
      <c r="D34" s="261"/>
      <c r="E34" s="264"/>
      <c r="F34" s="301">
        <f>IF('数据-取费表'!B24=0,1,'数据-取费表'!N16)</f>
        <v>1</v>
      </c>
      <c r="G34" s="263" t="s">
        <v>116</v>
      </c>
    </row>
    <row r="35" spans="1:7" ht="13.5" customHeight="1">
      <c r="A35" s="950" t="s">
        <v>796</v>
      </c>
      <c r="B35" s="259" t="s">
        <v>60</v>
      </c>
      <c r="C35" s="264">
        <f>ROUND(C34*F35,0)</f>
        <v>387</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524</v>
      </c>
      <c r="D37" s="261">
        <f>'数据-汇总表'!E3</f>
        <v>26215.040000000001</v>
      </c>
      <c r="E37" s="293">
        <f>'数据-取费表'!B35</f>
        <v>200</v>
      </c>
      <c r="F37" s="303"/>
      <c r="G37" s="305" t="s">
        <v>119</v>
      </c>
    </row>
    <row r="38" spans="1:7" ht="13.5" customHeight="1">
      <c r="A38" s="950" t="s">
        <v>799</v>
      </c>
      <c r="B38" s="259" t="s">
        <v>63</v>
      </c>
      <c r="C38" s="264">
        <f>ROUND(C34*F38,0)</f>
        <v>116</v>
      </c>
      <c r="D38" s="264"/>
      <c r="E38" s="264"/>
      <c r="F38" s="303">
        <f>'数据-取费表'!B36</f>
        <v>1.4999999999999999E-2</v>
      </c>
      <c r="G38" s="263" t="s">
        <v>117</v>
      </c>
    </row>
    <row r="39" spans="1:7" s="258" customFormat="1" ht="13.5" customHeight="1">
      <c r="A39" s="947" t="s">
        <v>783</v>
      </c>
      <c r="B39" s="254" t="s">
        <v>104</v>
      </c>
      <c r="C39" s="276">
        <f>ROUND(C33*F20,0)</f>
        <v>219</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427</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417</v>
      </c>
      <c r="D42" s="282"/>
      <c r="E42" s="282"/>
      <c r="F42" s="283"/>
      <c r="G42" s="3156" t="s">
        <v>121</v>
      </c>
    </row>
    <row r="43" spans="1:7" ht="13.5" customHeight="1">
      <c r="A43" s="950" t="s">
        <v>792</v>
      </c>
      <c r="B43" s="259" t="s">
        <v>1064</v>
      </c>
      <c r="C43" s="282">
        <f ca="1">ROUND(IF('数据-取费表'!B22&lt;=1,C39*F22*'数据-取费表'!B21/2,C39*(POWER((1+F22),'数据-取费表'!B21/2)-1)),0)</f>
        <v>10</v>
      </c>
      <c r="D43" s="282"/>
      <c r="E43" s="282"/>
      <c r="F43" s="283"/>
      <c r="G43" s="3157"/>
    </row>
    <row r="44" spans="1:7" ht="13.5" customHeight="1">
      <c r="A44" s="950" t="s">
        <v>793</v>
      </c>
      <c r="B44" s="259" t="s">
        <v>1066</v>
      </c>
      <c r="C44" s="282">
        <f ca="1">ROUND(IF('数据-取费表'!B22&lt;=1,C40*F22*'数据-取费表'!B21/2,C40*(POWER((1+F22),'数据-取费表'!B21/2)-1)),4)</f>
        <v>1.4E-3</v>
      </c>
      <c r="D44" s="282"/>
      <c r="E44" s="282"/>
      <c r="F44" s="283"/>
      <c r="G44" s="3158"/>
    </row>
    <row r="45" spans="1:7" s="258" customFormat="1" ht="13.5" customHeight="1">
      <c r="A45" s="947" t="s">
        <v>786</v>
      </c>
      <c r="B45" s="288" t="s">
        <v>112</v>
      </c>
      <c r="C45" s="289">
        <f>C46</f>
        <v>1349</v>
      </c>
      <c r="D45" s="279">
        <f>C47</f>
        <v>4.4999999999999997E-3</v>
      </c>
      <c r="E45" s="280" t="s">
        <v>129</v>
      </c>
      <c r="F45" s="290"/>
      <c r="G45" s="291" t="s">
        <v>1072</v>
      </c>
    </row>
    <row r="46" spans="1:7" s="258" customFormat="1" ht="13.5" customHeight="1">
      <c r="A46" s="950" t="s">
        <v>794</v>
      </c>
      <c r="B46" s="292" t="s">
        <v>1065</v>
      </c>
      <c r="C46" s="293">
        <f>ROUND((C33+C39)*F27,0)</f>
        <v>1349</v>
      </c>
      <c r="D46" s="307"/>
      <c r="E46" s="280"/>
      <c r="F46" s="290"/>
      <c r="G46" s="291"/>
    </row>
    <row r="47" spans="1:7" s="258" customFormat="1" ht="13.5" customHeight="1">
      <c r="A47" s="950" t="s">
        <v>792</v>
      </c>
      <c r="B47" s="292" t="s">
        <v>1067</v>
      </c>
      <c r="C47" s="282">
        <f>ROUND(C40*F27,4)</f>
        <v>4.4999999999999997E-3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11822</v>
      </c>
      <c r="D49" s="276"/>
      <c r="E49" s="276"/>
      <c r="F49" s="308"/>
      <c r="G49" s="278" t="s">
        <v>1073</v>
      </c>
    </row>
    <row r="50" spans="1:7" s="302" customFormat="1" ht="24">
      <c r="A50" s="947" t="s">
        <v>789</v>
      </c>
      <c r="B50" s="254" t="s">
        <v>124</v>
      </c>
      <c r="C50" s="276"/>
      <c r="D50" s="276"/>
      <c r="E50" s="276"/>
      <c r="F50" s="308">
        <f>IF('数据-取费表'!B24=0,'数据-取费表'!N16,1)</f>
        <v>0.999</v>
      </c>
      <c r="G50" s="291" t="s">
        <v>125</v>
      </c>
    </row>
    <row r="51" spans="1:7" ht="16.5" customHeight="1">
      <c r="A51" s="947" t="s">
        <v>790</v>
      </c>
      <c r="B51" s="254" t="s">
        <v>132</v>
      </c>
      <c r="C51" s="276">
        <f ca="1">ROUND(C49*F50,0)</f>
        <v>11810</v>
      </c>
      <c r="D51" s="276"/>
      <c r="E51" s="276"/>
      <c r="F51" s="308"/>
      <c r="G51" s="278" t="s">
        <v>64</v>
      </c>
    </row>
    <row r="52" spans="1:7" s="252" customFormat="1" ht="16.5" thickBot="1">
      <c r="A52" s="309" t="s">
        <v>65</v>
      </c>
      <c r="B52" s="310"/>
      <c r="C52" s="311">
        <f ca="1">C31+C51</f>
        <v>41727</v>
      </c>
      <c r="D52" s="310"/>
      <c r="E52" s="310"/>
      <c r="F52" s="310"/>
      <c r="G52" s="312"/>
    </row>
    <row r="55" spans="1:7" ht="15">
      <c r="B55" s="314" t="s">
        <v>66</v>
      </c>
      <c r="C55" s="315"/>
    </row>
    <row r="56" spans="1:7">
      <c r="B56" s="317" t="s">
        <v>67</v>
      </c>
      <c r="C56" s="318">
        <f ca="1">ROUND(C51/C52,3)</f>
        <v>0.28299999999999997</v>
      </c>
    </row>
    <row r="57" spans="1:7">
      <c r="B57" s="317" t="s">
        <v>68</v>
      </c>
      <c r="C57" s="319">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91" t="s">
        <v>156</v>
      </c>
      <c r="B1" s="3291"/>
      <c r="C1" s="3291"/>
      <c r="D1" s="3291"/>
      <c r="E1" s="3291"/>
      <c r="F1" s="329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2" t="s">
        <v>169</v>
      </c>
      <c r="B2" s="3292"/>
      <c r="C2" s="3292"/>
      <c r="D2" s="3292"/>
      <c r="E2" s="3292"/>
      <c r="F2" s="329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1" t="s">
        <v>871</v>
      </c>
      <c r="B1" s="329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43076</v>
      </c>
      <c r="D1" s="1699" t="s">
        <v>1302</v>
      </c>
      <c r="E1" s="1694">
        <f>'数据-取费表'!B22</f>
        <v>2</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1643</v>
      </c>
      <c r="B2" s="2991" t="s">
        <v>1644</v>
      </c>
      <c r="C2" s="2991" t="s">
        <v>1645</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3" t="s">
        <v>1640</v>
      </c>
      <c r="E3" s="1043" t="s">
        <v>1646</v>
      </c>
      <c r="F3" s="1043" t="s">
        <v>1640</v>
      </c>
      <c r="G3" s="1043" t="s">
        <v>1641</v>
      </c>
      <c r="H3" s="1043" t="s">
        <v>1640</v>
      </c>
      <c r="I3" s="1043" t="s">
        <v>1641</v>
      </c>
    </row>
    <row r="4" spans="1:9" ht="30">
      <c r="A4" s="1972" t="str">
        <f>项目基本情况!S2</f>
        <v>江苏省南京市溧水区经济开发区驿府街68号房地产</v>
      </c>
      <c r="B4" s="1043">
        <f>项目基本情况!C17</f>
        <v>26215.040000000001</v>
      </c>
      <c r="C4" s="1043">
        <f>项目基本情况!C18</f>
        <v>12572.36</v>
      </c>
      <c r="D4" s="1043">
        <f ca="1">结果表!D118</f>
        <v>4195</v>
      </c>
      <c r="E4" s="1043">
        <f ca="1">结果表!E118</f>
        <v>1600</v>
      </c>
      <c r="F4" s="1043">
        <f ca="1">结果表!F118</f>
        <v>10842</v>
      </c>
      <c r="G4" s="1043">
        <f ca="1">结果表!G118</f>
        <v>4136</v>
      </c>
      <c r="H4" s="1043">
        <f ca="1">结果表!H118</f>
        <v>15037</v>
      </c>
      <c r="I4" s="1043">
        <f ca="1">结果表!I118</f>
        <v>5736</v>
      </c>
    </row>
    <row r="5" spans="1:9" ht="30" customHeight="1">
      <c r="A5" s="2985" t="s">
        <v>1642</v>
      </c>
      <c r="B5" s="2985"/>
      <c r="C5" s="2985"/>
      <c r="D5" s="2986" t="str">
        <f ca="1">结果表!D119</f>
        <v>肆仟壹佰玖拾伍万元整</v>
      </c>
      <c r="E5" s="2986"/>
      <c r="F5" s="2986" t="str">
        <f ca="1">结果表!F119</f>
        <v>壹亿零捌佰肆拾贰万元整</v>
      </c>
      <c r="G5" s="2986"/>
      <c r="H5" s="2986" t="str">
        <f ca="1">结果表!H119</f>
        <v>壹亿伍仟零叁拾柒万元整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1642</v>
      </c>
      <c r="B7" s="2985"/>
      <c r="C7" s="2985"/>
      <c r="D7" s="2987" t="str">
        <f>结果表!D121</f>
        <v>零元整</v>
      </c>
      <c r="E7" s="2988"/>
      <c r="F7" s="2988"/>
      <c r="G7" s="2988"/>
      <c r="H7" s="2988"/>
      <c r="I7" s="2989"/>
    </row>
    <row r="8" spans="1:9" ht="15.75">
      <c r="A8" s="2984" t="str">
        <f>结果表!A122</f>
        <v>房地产抵押价值</v>
      </c>
      <c r="B8" s="2984"/>
      <c r="C8" s="2984"/>
      <c r="D8" s="2984">
        <f ca="1">结果表!D122</f>
        <v>15037</v>
      </c>
      <c r="E8" s="2984"/>
      <c r="F8" s="2984"/>
      <c r="G8" s="2984"/>
      <c r="H8" s="2984"/>
      <c r="I8" s="2984"/>
    </row>
    <row r="9" spans="1:9" ht="15">
      <c r="A9" s="2985" t="s">
        <v>1642</v>
      </c>
      <c r="B9" s="2985"/>
      <c r="C9" s="2985"/>
      <c r="D9" s="2986" t="str">
        <f ca="1">结果表!D123</f>
        <v>壹亿伍仟零叁拾柒万元整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1642</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1642</v>
      </c>
      <c r="B13" s="2981"/>
      <c r="C13" s="2981"/>
      <c r="D13" s="2982" t="e">
        <f>结果表!D127</f>
        <v>#VALUE!</v>
      </c>
      <c r="E13" s="2982"/>
      <c r="F13" s="2982"/>
      <c r="G13" s="2982"/>
      <c r="H13" s="2982"/>
      <c r="I13" s="2982"/>
    </row>
    <row r="14" spans="1:9" ht="15" thickTop="1">
      <c r="A14" s="2983" t="s">
        <v>1647</v>
      </c>
      <c r="B14" s="2983"/>
      <c r="C14" s="2983"/>
      <c r="D14" s="2983"/>
      <c r="E14" s="2983"/>
      <c r="F14" s="2983"/>
      <c r="G14" s="2983"/>
      <c r="H14" s="2983"/>
      <c r="I14" s="2983"/>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2998" t="s">
        <v>1664</v>
      </c>
      <c r="B1" s="2998"/>
      <c r="C1" s="2998"/>
      <c r="D1" s="2998"/>
    </row>
    <row r="2" spans="1:4" ht="18">
      <c r="A2" s="2999" t="s">
        <v>1648</v>
      </c>
      <c r="B2" s="2999"/>
      <c r="C2" s="2999"/>
      <c r="D2" s="2999"/>
    </row>
    <row r="3" spans="1:4" ht="18.75">
      <c r="A3" s="1976" t="s">
        <v>1649</v>
      </c>
      <c r="B3" s="1976" t="s">
        <v>1650</v>
      </c>
      <c r="C3" s="1976" t="s">
        <v>1651</v>
      </c>
      <c r="D3" s="1976" t="s">
        <v>1652</v>
      </c>
    </row>
    <row r="4" spans="1:4" ht="56.25" customHeight="1">
      <c r="A4" s="1977" t="str">
        <f>项目基本情况!B4</f>
        <v>郑燚</v>
      </c>
      <c r="B4" s="1978">
        <f ca="1">项目基本情况!C4</f>
        <v>1120070131</v>
      </c>
      <c r="C4" s="1979"/>
      <c r="D4" s="1980" t="s">
        <v>1653</v>
      </c>
    </row>
    <row r="5" spans="1:4" ht="56.25" customHeight="1">
      <c r="A5" s="1977" t="str">
        <f>项目基本情况!D4</f>
        <v>王鹏</v>
      </c>
      <c r="B5" s="1978">
        <f ca="1">项目基本情况!E4</f>
        <v>1120050019</v>
      </c>
      <c r="C5" s="1981"/>
      <c r="D5" s="1980" t="s">
        <v>1653</v>
      </c>
    </row>
    <row r="6" spans="1:4" ht="18">
      <c r="A6" s="2999" t="s">
        <v>1654</v>
      </c>
      <c r="B6" s="2999"/>
      <c r="C6" s="2999"/>
      <c r="D6" s="2999"/>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00" t="s">
        <v>1657</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（1）根据估价对象《不动产权证书》原件、，截至价值时点，估价对象抵押权未见登记。</v>
      </c>
      <c r="B15" s="2992"/>
      <c r="C15" s="2992"/>
      <c r="D15" s="2992"/>
    </row>
    <row r="16" spans="1:4" ht="30" customHeight="1">
      <c r="A16" s="2994" t="s">
        <v>1658</v>
      </c>
      <c r="B16" s="2994"/>
      <c r="C16" s="2994"/>
      <c r="D16" s="2994"/>
    </row>
    <row r="17" spans="1:4" ht="144" customHeight="1">
      <c r="A17" s="2994" t="s">
        <v>1659</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1660</v>
      </c>
      <c r="B22" s="2996"/>
      <c r="C22" s="2996"/>
      <c r="D22" s="2996"/>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06" t="s">
        <v>1671</v>
      </c>
      <c r="B15" s="3001" t="s">
        <v>136</v>
      </c>
      <c r="C15" s="3002"/>
    </row>
    <row r="16" spans="1:7" ht="13.5">
      <c r="A16" s="3007"/>
      <c r="B16" s="3001" t="s">
        <v>69</v>
      </c>
      <c r="C16" s="3002"/>
    </row>
    <row r="17" spans="1:3" ht="13.5">
      <c r="A17" s="3007"/>
      <c r="B17" s="3004" t="s">
        <v>1672</v>
      </c>
      <c r="C17" s="1999" t="s">
        <v>1671</v>
      </c>
    </row>
    <row r="18" spans="1:3" ht="13.5">
      <c r="A18" s="3007"/>
      <c r="B18" s="3004"/>
      <c r="C18" s="1999" t="s">
        <v>1673</v>
      </c>
    </row>
    <row r="19" spans="1:3" ht="13.5">
      <c r="A19" s="3007"/>
      <c r="B19" s="3004"/>
      <c r="C19" s="1999" t="s">
        <v>1674</v>
      </c>
    </row>
    <row r="20" spans="1:3" ht="13.5">
      <c r="A20" s="3008"/>
      <c r="B20" s="3003" t="s">
        <v>1675</v>
      </c>
      <c r="C20" s="3002"/>
    </row>
    <row r="21" spans="1:3" ht="13.5">
      <c r="A21" s="2000" t="s">
        <v>1676</v>
      </c>
      <c r="B21" s="2001"/>
      <c r="C21" s="2002"/>
    </row>
    <row r="22" spans="1:3" ht="13.5">
      <c r="A22" s="3005" t="s">
        <v>1677</v>
      </c>
      <c r="B22" s="3003" t="s">
        <v>1678</v>
      </c>
      <c r="C22" s="3002"/>
    </row>
    <row r="23" spans="1:3" ht="13.5">
      <c r="A23" s="3005"/>
      <c r="B23" s="3003" t="s">
        <v>1679</v>
      </c>
      <c r="C23" s="3002"/>
    </row>
    <row r="24" spans="1:3" ht="13.5">
      <c r="A24" s="3005"/>
      <c r="B24" s="3003" t="s">
        <v>1680</v>
      </c>
      <c r="C24" s="3002"/>
    </row>
    <row r="25" spans="1:3" ht="13.5">
      <c r="A25" s="3005"/>
      <c r="B25" s="3004" t="s">
        <v>1681</v>
      </c>
      <c r="C25" s="1999" t="s">
        <v>1682</v>
      </c>
    </row>
    <row r="26" spans="1:3" ht="13.5">
      <c r="A26" s="3005"/>
      <c r="B26" s="3004"/>
      <c r="C26" s="1999" t="s">
        <v>1683</v>
      </c>
    </row>
    <row r="27" spans="1:3" ht="13.5">
      <c r="A27" s="3005"/>
      <c r="B27" s="3004"/>
      <c r="C27" s="1999" t="s">
        <v>1684</v>
      </c>
    </row>
    <row r="28" spans="1:3" ht="13.5">
      <c r="A28" s="3005"/>
      <c r="B28" s="3004"/>
      <c r="C28" s="1999" t="s">
        <v>1685</v>
      </c>
    </row>
    <row r="29" spans="1:3" ht="13.5">
      <c r="A29" s="3005"/>
      <c r="B29" s="3004"/>
      <c r="C29" s="1999" t="s">
        <v>1686</v>
      </c>
    </row>
    <row r="30" spans="1:3" ht="13.5">
      <c r="A30" s="3005"/>
      <c r="B30" s="3004"/>
      <c r="C30" s="1999" t="s">
        <v>1687</v>
      </c>
    </row>
    <row r="31" spans="1:3" ht="13.5">
      <c r="A31" s="3005"/>
      <c r="B31" s="3004"/>
      <c r="C31" s="1999" t="s">
        <v>1688</v>
      </c>
    </row>
    <row r="32" spans="1:3" ht="13.5">
      <c r="A32" s="3005"/>
      <c r="B32" s="3004"/>
      <c r="C32" s="1999" t="s">
        <v>1689</v>
      </c>
    </row>
    <row r="33" spans="1:3" ht="13.5">
      <c r="A33" s="3005"/>
      <c r="B33" s="3004"/>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43077</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43359</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43483</v>
      </c>
      <c r="D10" s="2346" t="s">
        <v>838</v>
      </c>
      <c r="E10" s="1021">
        <f ca="1">IF(F10&lt;B2,"已过期",2004110096)</f>
        <v>2004110096</v>
      </c>
      <c r="F10" s="1029">
        <v>47118</v>
      </c>
    </row>
    <row r="11" spans="1:6" ht="24" customHeight="1">
      <c r="A11" s="1701" t="s">
        <v>839</v>
      </c>
      <c r="B11" s="1021">
        <f ca="1">IF(C11&lt;B2,"已过期",1120100036)</f>
        <v>1120100036</v>
      </c>
      <c r="C11" s="2343">
        <v>43622</v>
      </c>
      <c r="D11" s="2346" t="s">
        <v>839</v>
      </c>
      <c r="E11" s="1021">
        <f ca="1">IF(F11&lt;B2,"已过期",2010110070)</f>
        <v>2010110070</v>
      </c>
      <c r="F11" s="1029">
        <v>47907</v>
      </c>
    </row>
    <row r="12" spans="1:6" ht="24" customHeight="1">
      <c r="A12" s="1701"/>
      <c r="B12" s="1021"/>
      <c r="C12" s="2343"/>
      <c r="D12" s="2346"/>
      <c r="E12" s="1021"/>
      <c r="F12" s="1021"/>
    </row>
    <row r="13" spans="1:6" ht="24" customHeight="1">
      <c r="A13" s="1701" t="s">
        <v>840</v>
      </c>
      <c r="B13" s="1021">
        <f ca="1">IF(C13&lt;B2,"已过期",1120070131)</f>
        <v>1120070131</v>
      </c>
      <c r="C13" s="2343">
        <v>43814</v>
      </c>
      <c r="D13" s="2346" t="s">
        <v>840</v>
      </c>
      <c r="E13" s="1021">
        <v>2014110011</v>
      </c>
      <c r="F13" s="1029">
        <v>49302</v>
      </c>
    </row>
    <row r="14" spans="1:6" ht="24" customHeight="1">
      <c r="A14" s="1701" t="s">
        <v>841</v>
      </c>
      <c r="B14" s="1021">
        <f ca="1">IF(C14&lt;B2,"已过期",1120130020)</f>
        <v>1120130020</v>
      </c>
      <c r="C14" s="2343">
        <v>43622</v>
      </c>
      <c r="D14" s="2346"/>
      <c r="E14" s="1021"/>
      <c r="F14" s="1021"/>
    </row>
    <row r="15" spans="1:6" ht="24" customHeight="1">
      <c r="A15" s="1702" t="s">
        <v>1149</v>
      </c>
      <c r="B15" s="1021">
        <v>1120070085</v>
      </c>
      <c r="C15" s="2343">
        <v>43814</v>
      </c>
      <c r="D15" s="2347" t="s">
        <v>1149</v>
      </c>
      <c r="E15" s="1021">
        <v>2004110128</v>
      </c>
      <c r="F15" s="1022">
        <v>47118</v>
      </c>
    </row>
    <row r="16" spans="1:6" ht="24" customHeight="1">
      <c r="A16" s="1701" t="s">
        <v>842</v>
      </c>
      <c r="B16" s="1021">
        <f ca="1">IF(C16&lt;B2,"已过期",1120140022)</f>
        <v>1120140022</v>
      </c>
      <c r="C16" s="2343">
        <v>44029</v>
      </c>
      <c r="D16" s="2346" t="s">
        <v>842</v>
      </c>
      <c r="E16" s="1021">
        <f ca="1">IF(F16&lt;B2,"已过期",2008110059)</f>
        <v>2008110059</v>
      </c>
      <c r="F16" s="1029">
        <v>47177</v>
      </c>
    </row>
    <row r="17" spans="1:7" ht="24" customHeight="1">
      <c r="A17" s="1701"/>
      <c r="B17" s="1021"/>
      <c r="C17" s="2343"/>
      <c r="D17" s="2346"/>
      <c r="E17" s="1021"/>
      <c r="F17" s="1029"/>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843</v>
      </c>
      <c r="E21" s="1021">
        <f ca="1">IF(F21&lt;B2,"已过期",2011110090)</f>
        <v>2011110090</v>
      </c>
      <c r="F21" s="1029">
        <v>48302</v>
      </c>
    </row>
    <row r="22" spans="1:7" ht="24" customHeight="1">
      <c r="A22" s="1701" t="s">
        <v>844</v>
      </c>
      <c r="B22" s="1021">
        <f ca="1">IF(C22&lt;B2,"已过期",1120020033)</f>
        <v>1120020033</v>
      </c>
      <c r="C22" s="2343">
        <v>43304</v>
      </c>
      <c r="D22" s="2346" t="s">
        <v>844</v>
      </c>
      <c r="E22" s="1021">
        <f ca="1">IF(F22&lt;B2,"已过期",2000110137)</f>
        <v>2000110137</v>
      </c>
      <c r="F22" s="1029">
        <v>46387</v>
      </c>
    </row>
    <row r="23" spans="1:7" ht="24" customHeight="1">
      <c r="A23" s="1701" t="s">
        <v>845</v>
      </c>
      <c r="B23" s="1021">
        <f ca="1">IF(C23&lt;B2,"已过期",1120130048)</f>
        <v>1120130048</v>
      </c>
      <c r="C23" s="2343">
        <v>43686</v>
      </c>
      <c r="D23" s="2346"/>
      <c r="E23" s="1021"/>
      <c r="F23" s="1021"/>
    </row>
    <row r="24" spans="1:7" s="1023" customFormat="1" ht="24" customHeight="1">
      <c r="A24" s="1702" t="s">
        <v>1334</v>
      </c>
      <c r="B24" s="1702" t="s">
        <v>1334</v>
      </c>
      <c r="C24" s="2344" t="s">
        <v>1334</v>
      </c>
      <c r="D24" s="2347" t="s">
        <v>1334</v>
      </c>
      <c r="E24" s="1702" t="s">
        <v>1334</v>
      </c>
      <c r="F24" s="1702" t="s">
        <v>1334</v>
      </c>
    </row>
    <row r="25" spans="1:7" ht="24" customHeight="1">
      <c r="A25" s="3009" t="s">
        <v>846</v>
      </c>
      <c r="B25" s="3009"/>
      <c r="C25" s="3009"/>
      <c r="D25" s="3009"/>
      <c r="E25" s="3009"/>
      <c r="F25" s="3009"/>
      <c r="G25" s="3009"/>
    </row>
    <row r="26" spans="1:7" s="1024" customFormat="1" ht="24" customHeight="1">
      <c r="A26" s="3010" t="s">
        <v>847</v>
      </c>
      <c r="B26" s="3010"/>
      <c r="C26" s="3011"/>
      <c r="D26" s="3012" t="s">
        <v>848</v>
      </c>
      <c r="E26" s="3010"/>
      <c r="F26" s="3010"/>
    </row>
    <row r="27" spans="1:7" s="1026" customFormat="1" ht="24" customHeight="1">
      <c r="A27" s="1025" t="s">
        <v>849</v>
      </c>
      <c r="B27" s="1020" t="s">
        <v>850</v>
      </c>
      <c r="C27" s="2342" t="s">
        <v>851</v>
      </c>
      <c r="D27" s="2350" t="s">
        <v>849</v>
      </c>
      <c r="E27" s="1020" t="s">
        <v>850</v>
      </c>
      <c r="F27" s="1020" t="s">
        <v>851</v>
      </c>
    </row>
    <row r="28" spans="1:7" s="1026" customFormat="1" ht="24" customHeight="1">
      <c r="A28" s="1027" t="s">
        <v>852</v>
      </c>
      <c r="B28" s="1028" t="s">
        <v>853</v>
      </c>
      <c r="C28" s="2348">
        <v>43725</v>
      </c>
      <c r="D28" s="2351" t="s">
        <v>854</v>
      </c>
      <c r="E28" s="1027" t="s">
        <v>855</v>
      </c>
      <c r="F28" s="1057">
        <v>44377</v>
      </c>
    </row>
    <row r="29" spans="1:7" s="1026" customFormat="1" ht="24" customHeight="1">
      <c r="A29" s="1027"/>
      <c r="B29" s="1027"/>
      <c r="C29" s="2349"/>
      <c r="D29" s="2351"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土地比较法-住宅、综合</vt:lpstr>
      <vt:lpstr>土地案例</vt:lpstr>
      <vt:lpstr>Sheet4</vt:lpstr>
      <vt:lpstr>收益法（汇总）</vt:lpstr>
      <vt:lpstr>收益法（2幢）</vt:lpstr>
      <vt:lpstr>收益法（12幢）</vt:lpstr>
      <vt:lpstr>收益法（13幢）</vt:lpstr>
      <vt:lpstr>比较法-商业</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'收益法（12幢）'!Print_Area</vt:lpstr>
      <vt:lpstr>'收益法（13幢）'!Print_Area</vt:lpstr>
      <vt:lpstr>'收益法（2幢）'!Print_Area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郑哥</cp:lastModifiedBy>
  <cp:lastPrinted>2017-03-01T09:15:43Z</cp:lastPrinted>
  <dcterms:created xsi:type="dcterms:W3CDTF">2015-07-13T07:17:23Z</dcterms:created>
  <dcterms:modified xsi:type="dcterms:W3CDTF">2017-12-08T08:02:55Z</dcterms:modified>
</cp:coreProperties>
</file>