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整理" sheetId="82" r:id="rId47"/>
    <sheet name="租赁台账" sheetId="81"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47" hidden="1">租赁台账!$A$1:$CN$88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M21" i="1"/>
  <c r="M20" i="1"/>
  <c r="N21" i="1"/>
  <c r="N20" i="1"/>
  <c r="D29" i="82" l="1"/>
  <c r="D26" i="82"/>
  <c r="H36" i="9" l="1"/>
  <c r="C14" i="74"/>
  <c r="B14" i="74"/>
  <c r="E29" i="82" l="1"/>
  <c r="C29" i="82"/>
  <c r="E28" i="82"/>
  <c r="C28" i="82"/>
  <c r="E26" i="82"/>
  <c r="D7" i="82"/>
  <c r="D6" i="82"/>
  <c r="D5" i="82"/>
  <c r="D4" i="82"/>
  <c r="E27" i="82"/>
  <c r="C26" i="82"/>
  <c r="D23" i="82"/>
  <c r="D22" i="82"/>
  <c r="D21" i="82"/>
  <c r="D20" i="82"/>
  <c r="D19" i="82"/>
  <c r="D18" i="82"/>
  <c r="D17" i="82"/>
  <c r="D16" i="82"/>
  <c r="D15" i="82"/>
  <c r="D14" i="82"/>
  <c r="D13" i="82"/>
  <c r="D12" i="82"/>
  <c r="D11" i="82"/>
  <c r="D10" i="82"/>
  <c r="C23" i="82"/>
  <c r="C22" i="82"/>
  <c r="C21" i="82"/>
  <c r="C20" i="82"/>
  <c r="C19" i="82"/>
  <c r="C18" i="82"/>
  <c r="C17" i="82"/>
  <c r="C16" i="82"/>
  <c r="C15" i="82"/>
  <c r="C14" i="82"/>
  <c r="C13" i="82"/>
  <c r="C12" i="82"/>
  <c r="C11" i="82"/>
  <c r="C10" i="82"/>
  <c r="C24" i="82" s="1"/>
  <c r="D3" i="82"/>
  <c r="C7" i="82"/>
  <c r="C6" i="82"/>
  <c r="C5" i="82"/>
  <c r="C4" i="82"/>
  <c r="C3" i="82"/>
  <c r="E3" i="82" s="1"/>
  <c r="G84" i="43"/>
  <c r="G85" i="43"/>
  <c r="G86" i="43"/>
  <c r="G87" i="43"/>
  <c r="G88" i="43"/>
  <c r="G89" i="43"/>
  <c r="G90" i="43"/>
  <c r="G83" i="43"/>
  <c r="D33" i="43"/>
  <c r="Y6" i="1"/>
  <c r="B59" i="1"/>
  <c r="B21" i="1"/>
  <c r="F19" i="6"/>
  <c r="I16" i="3"/>
  <c r="I15" i="3"/>
  <c r="I14" i="3"/>
  <c r="I13" i="3"/>
  <c r="A3" i="3"/>
  <c r="H32" i="80"/>
  <c r="H33" i="80" s="1"/>
  <c r="F33" i="80" s="1"/>
  <c r="F32" i="80"/>
  <c r="H30" i="80"/>
  <c r="H31" i="80" s="1"/>
  <c r="F31" i="80" s="1"/>
  <c r="F30" i="80"/>
  <c r="G23" i="80"/>
  <c r="F23" i="80"/>
  <c r="E23" i="80"/>
  <c r="L5" i="80"/>
  <c r="L4" i="80"/>
  <c r="C11" i="4"/>
  <c r="D3" i="4"/>
  <c r="E10" i="82" l="1"/>
  <c r="E12" i="82"/>
  <c r="E14" i="82"/>
  <c r="E16" i="82"/>
  <c r="E18" i="82"/>
  <c r="E20" i="82"/>
  <c r="E22" i="82"/>
  <c r="E11" i="82"/>
  <c r="E13" i="82"/>
  <c r="E15" i="82"/>
  <c r="E17" i="82"/>
  <c r="E19" i="82"/>
  <c r="E21" i="82"/>
  <c r="E23" i="82"/>
  <c r="E4" i="82"/>
  <c r="E6" i="82"/>
  <c r="C8" i="82"/>
  <c r="E5" i="82"/>
  <c r="E7" i="82"/>
  <c r="E7" i="1"/>
  <c r="E8" i="1"/>
  <c r="E9" i="1"/>
  <c r="E10" i="1"/>
  <c r="E11" i="1"/>
  <c r="E12" i="1"/>
  <c r="E13" i="1"/>
  <c r="E24" i="82" l="1"/>
  <c r="D24" i="82" s="1"/>
  <c r="E8" i="82"/>
  <c r="D8" i="82"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79"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73"/>
  <c r="E2" i="69"/>
  <c r="M6" i="15"/>
  <c r="F16" i="15"/>
  <c r="F37" i="15"/>
  <c r="D3" i="73"/>
  <c r="F13" i="15"/>
  <c r="D6" i="73"/>
  <c r="M8" i="15"/>
  <c r="B10" i="76"/>
  <c r="M28" i="15"/>
  <c r="F4" i="73"/>
  <c r="J15" i="67"/>
  <c r="F43" i="15"/>
  <c r="F38" i="67"/>
  <c r="M23" i="67"/>
  <c r="B8" i="76"/>
  <c r="F9" i="15"/>
  <c r="M28" i="67"/>
  <c r="F40" i="15"/>
  <c r="F5" i="73"/>
  <c r="L47" i="15"/>
  <c r="F3" i="73"/>
  <c r="F43" i="67"/>
  <c r="F8" i="67"/>
  <c r="B7" i="76"/>
  <c r="M29" i="67"/>
  <c r="F42" i="67"/>
  <c r="M29" i="15"/>
  <c r="E9" i="76"/>
  <c r="F6" i="15"/>
  <c r="F26" i="67"/>
  <c r="F26" i="15"/>
  <c r="F7" i="15"/>
  <c r="F7" i="67"/>
  <c r="M26" i="67"/>
  <c r="F13" i="67"/>
  <c r="M24" i="67"/>
  <c r="L48" i="67"/>
  <c r="B12" i="76"/>
  <c r="L48" i="15"/>
  <c r="F40" i="67"/>
  <c r="E7" i="76"/>
  <c r="M22" i="67"/>
  <c r="D4" i="73"/>
  <c r="M9" i="15"/>
  <c r="J15" i="15"/>
  <c r="M6" i="67"/>
  <c r="B9" i="76"/>
  <c r="F20" i="31"/>
  <c r="F6" i="67"/>
  <c r="E10" i="76"/>
  <c r="M9" i="67"/>
  <c r="F9" i="67"/>
  <c r="F36" i="15"/>
  <c r="AO13" i="1"/>
  <c r="E2" i="68"/>
  <c r="F38" i="15"/>
  <c r="M8" i="67"/>
  <c r="D7" i="73"/>
  <c r="L47" i="67"/>
  <c r="F36" i="67"/>
  <c r="C76" i="15"/>
  <c r="C76" i="67"/>
  <c r="F37" i="67"/>
  <c r="F6" i="73"/>
  <c r="B11" i="76"/>
  <c r="M26" i="15"/>
  <c r="M22" i="15"/>
  <c r="M24" i="15"/>
  <c r="E12" i="76"/>
  <c r="B13" i="76"/>
  <c r="F16" i="67"/>
  <c r="E8" i="76"/>
  <c r="F8" i="15"/>
  <c r="M23" i="15"/>
  <c r="E13" i="76"/>
  <c r="E11" i="76"/>
  <c r="F42" i="15"/>
  <c r="C28" i="67" l="1"/>
  <c r="C21" i="68"/>
  <c r="C40" i="69"/>
  <c r="E64" i="3"/>
  <c r="E47" i="3"/>
  <c r="E467"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BA5" i="3"/>
  <c r="BL5"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E83" i="43" l="1"/>
  <c r="B81" i="43" s="1"/>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F35"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L51" i="67"/>
  <c r="C57" i="68" l="1"/>
  <c r="C56" i="68" s="1"/>
  <c r="C102" i="9"/>
  <c r="C21"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7"/>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9" i="1"/>
  <c r="AO7" i="1"/>
  <c r="D19" i="9"/>
  <c r="AO8" i="1"/>
  <c r="AO11" i="1"/>
  <c r="AO12"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F34" i="9"/>
  <c r="D103" i="9"/>
  <c r="G20" i="9"/>
  <c r="C32" i="9" s="1"/>
  <c r="C35" i="9" s="1"/>
  <c r="D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28" i="80" l="1"/>
  <c r="H29" i="80" l="1"/>
  <c r="F29" i="80" s="1"/>
  <c r="F28" i="80"/>
  <c r="F34" i="80" l="1"/>
  <c r="D118" i="9" l="1"/>
  <c r="D4" i="52" s="1"/>
  <c r="B47" i="72" s="1"/>
  <c r="F118" i="9"/>
  <c r="F4" i="52" s="1"/>
  <c r="B51" i="72" s="1"/>
  <c r="H118" i="9"/>
  <c r="C104" i="9" l="1"/>
  <c r="D14" i="74"/>
  <c r="H101" i="9"/>
  <c r="M48" i="9" s="1"/>
  <c r="I118" i="9"/>
  <c r="I4" i="52" s="1"/>
  <c r="F119" i="9"/>
  <c r="F5" i="52" s="1"/>
  <c r="B53" i="72" s="1"/>
  <c r="G118" i="9"/>
  <c r="G4" i="52" s="1"/>
  <c r="B52" i="72" s="1"/>
  <c r="H107" i="9"/>
  <c r="H102" i="9"/>
  <c r="D5" i="53"/>
  <c r="C105" i="9"/>
  <c r="H4" i="52"/>
  <c r="H119" i="9"/>
  <c r="H5" i="52" s="1"/>
  <c r="D119" i="9"/>
  <c r="D5" i="52" s="1"/>
  <c r="B49" i="72" s="1"/>
  <c r="E118" i="9"/>
  <c r="E4" i="52" s="1"/>
  <c r="B48" i="72" s="1"/>
  <c r="D45" i="9" l="1"/>
  <c r="C78" i="9" s="1"/>
  <c r="C73" i="9" s="1"/>
  <c r="F14" i="74"/>
  <c r="E14" i="74"/>
  <c r="B5" i="74"/>
  <c r="D5" i="74" s="1"/>
  <c r="B20" i="72"/>
  <c r="D6" i="53"/>
  <c r="B22" i="72" s="1"/>
  <c r="D122" i="9"/>
  <c r="G14" i="74" s="1"/>
  <c r="B6" i="74" s="1"/>
  <c r="D6" i="74" s="1"/>
  <c r="H108" i="9"/>
  <c r="M49" i="9"/>
  <c r="D13" i="53"/>
  <c r="D53" i="9"/>
  <c r="D7" i="53"/>
  <c r="B21" i="72" s="1"/>
  <c r="C64" i="9" l="1"/>
  <c r="C63" i="9" s="1"/>
  <c r="C67" i="9" s="1"/>
  <c r="D59" i="9" s="1"/>
  <c r="M55" i="9" s="1"/>
  <c r="C93" i="9"/>
  <c r="C86" i="9" s="1"/>
  <c r="C85" i="9"/>
  <c r="C5" i="74"/>
  <c r="C72" i="9"/>
  <c r="C79" i="9" s="1"/>
  <c r="C80" i="9" s="1"/>
  <c r="E80" i="9" s="1"/>
  <c r="E81" i="9" s="1"/>
  <c r="D52" i="9"/>
  <c r="D55" i="9"/>
  <c r="M53" i="9" s="1"/>
  <c r="B30" i="72"/>
  <c r="D14" i="53"/>
  <c r="B32" i="72" s="1"/>
  <c r="C6" i="74"/>
  <c r="D15" i="53"/>
  <c r="B31" i="72" s="1"/>
  <c r="L65" i="9"/>
  <c r="M65" i="9" s="1"/>
  <c r="L68" i="9"/>
  <c r="M68" i="9" s="1"/>
  <c r="L63" i="9"/>
  <c r="M63" i="9" s="1"/>
  <c r="L66" i="9"/>
  <c r="M66" i="9" s="1"/>
  <c r="L67" i="9"/>
  <c r="M67" i="9" s="1"/>
  <c r="L64" i="9"/>
  <c r="M64" i="9" s="1"/>
  <c r="D8" i="52"/>
  <c r="D123" i="9"/>
  <c r="D9" i="52" s="1"/>
  <c r="C95" i="9" l="1"/>
  <c r="C96" i="9" s="1"/>
  <c r="E96" i="9" s="1"/>
  <c r="E97" i="9" s="1"/>
  <c r="C68" i="9"/>
  <c r="D54" i="9" s="1"/>
  <c r="M69" i="9"/>
  <c r="N69" i="9" s="1"/>
  <c r="C81" i="9"/>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<sst xmlns="http://schemas.openxmlformats.org/spreadsheetml/2006/main" count="14543" uniqueCount="3766">
  <si>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</si>
  <si>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</si>
  <si>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</si>
  <si>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</si>
  <si>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</si>
  <si>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</si>
  <si>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</si>
  <si>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</si>
  <si>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</si>
  <si>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</si>
  <si>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</si>
  <si>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</si>
  <si>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</si>
  <si>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</si>
  <si>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</si>
  <si>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</si>
  <si>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</si>
  <si>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</si>
  <si>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</si>
  <si>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</si>
  <si>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</si>
  <si>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</si>
  <si>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</si>
  <si>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</si>
  <si>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</si>
  <si>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</si>
  <si>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</si>
  <si>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</si>
  <si>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</si>
  <si>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</si>
  <si>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</si>
  <si>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</si>
  <si>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</si>
  <si>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</si>
  <si>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</si>
  <si>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</si>
  <si>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</si>
  <si>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</si>
  <si>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</si>
  <si>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</si>
  <si>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</si>
  <si>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</si>
  <si>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</si>
  <si>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</si>
  <si>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</si>
  <si>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</si>
  <si>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</si>
  <si>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</si>
  <si>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</si>
  <si>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</si>
  <si>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</si>
  <si>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</si>
  <si>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</si>
  <si>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</si>
  <si>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</si>
  <si>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</si>
  <si>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</si>
  <si>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</si>
  <si>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</si>
  <si>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</si>
  <si>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</si>
  <si>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</si>
  <si>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</si>
  <si>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</si>
  <si>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</si>
  <si>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</si>
  <si>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</si>
  <si>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</si>
  <si>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</si>
  <si>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</si>
  <si>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</si>
  <si>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</si>
  <si>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</si>
  <si>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</si>
  <si>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</si>
  <si>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</si>
  <si>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</si>
  <si>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</si>
  <si>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</si>
  <si>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</si>
  <si>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</si>
  <si>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</si>
  <si>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</si>
  <si>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</si>
  <si>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</si>
  <si>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</si>
  <si>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</si>
  <si>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</si>
  <si>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</si>
  <si>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</si>
  <si>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</si>
  <si>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</si>
  <si>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</si>
  <si>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</si>
  <si>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</si>
  <si>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</si>
  <si>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</si>
  <si>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</si>
  <si>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</si>
  <si>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</si>
  <si>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</si>
  <si>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</si>
  <si>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</si>
  <si>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</si>
  <si>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</si>
  <si>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</si>
  <si>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</si>
  <si>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</si>
  <si>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</si>
  <si>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</si>
  <si>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</si>
  <si>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</si>
  <si>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</si>
  <si>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</si>
  <si>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</si>
  <si>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</si>
  <si>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</si>
  <si>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</si>
  <si>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</si>
  <si>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</si>
  <si>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</si>
  <si>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</si>
  <si>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</si>
  <si>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</si>
  <si>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</si>
  <si>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</si>
  <si>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</si>
  <si>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</si>
  <si>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</si>
  <si>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</si>
  <si>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</si>
  <si>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</si>
  <si>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</si>
  <si>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</si>
  <si>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</si>
  <si>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</si>
  <si>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</si>
  <si>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</si>
  <si>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</si>
  <si>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</si>
  <si>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</si>
  <si>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</si>
  <si>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</si>
  <si>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</si>
  <si>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</si>
  <si>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</si>
  <si>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</si>
  <si>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</si>
  <si>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</si>
  <si>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</si>
  <si>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</si>
  <si>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</si>
  <si>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</si>
  <si>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</si>
  <si>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</si>
  <si>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</si>
  <si>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</si>
  <si>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</si>
  <si>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</si>
  <si>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</si>
  <si>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</si>
  <si>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</si>
  <si>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</si>
  <si>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</si>
  <si>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</si>
  <si>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</si>
  <si>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</si>
  <si>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</si>
  <si>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</si>
  <si>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</si>
  <si>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</si>
  <si>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</si>
  <si>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</si>
  <si>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</si>
  <si>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</si>
  <si>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</si>
  <si>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</si>
  <si>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</si>
  <si>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</si>
  <si>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</si>
  <si>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</si>
  <si>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</si>
  <si>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</si>
  <si>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</si>
  <si>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</si>
  <si>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</si>
  <si>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</si>
  <si>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</si>
  <si>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</si>
  <si>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</si>
  <si>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</si>
  <si>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</si>
  <si>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</si>
  <si>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</si>
  <si>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</si>
  <si>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</si>
  <si>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</si>
  <si>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</si>
  <si>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</si>
  <si>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</si>
  <si>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</si>
  <si>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</si>
  <si>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</si>
  <si>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</si>
  <si>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</si>
  <si>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</si>
  <si>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</si>
  <si>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</si>
  <si>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</si>
  <si>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</si>
  <si>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</si>
  <si>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</si>
  <si>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</si>
  <si>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</si>
  <si>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</si>
  <si>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</si>
  <si>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</si>
  <si>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</si>
  <si>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</si>
  <si>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</si>
  <si>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</si>
  <si>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</si>
  <si>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</si>
  <si>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</si>
  <si>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</si>
  <si>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</si>
  <si>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</si>
  <si>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</si>
  <si>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</si>
  <si>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</si>
  <si>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</si>
  <si>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</si>
  <si>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</si>
  <si>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</si>
  <si>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</si>
  <si>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</si>
  <si>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</si>
  <si>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</si>
  <si>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</si>
  <si>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</si>
  <si>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</si>
  <si>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</si>
  <si>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</si>
  <si>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</si>
  <si>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</si>
  <si>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</si>
  <si>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</si>
  <si>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</si>
  <si>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</si>
  <si>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</si>
  <si>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</si>
  <si>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</si>
  <si>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</si>
  <si>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</si>
  <si>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</si>
  <si>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</si>
  <si>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</si>
  <si>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</si>
  <si>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</si>
  <si>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</si>
  <si>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</si>
  <si>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</si>
  <si>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</si>
  <si>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</si>
  <si>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</si>
  <si>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</si>
  <si>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</si>
  <si>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</si>
  <si>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</si>
  <si>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</si>
  <si>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</si>
  <si>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</si>
  <si>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</si>
  <si>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</si>
  <si>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</si>
  <si>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</si>
  <si>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</si>
  <si>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</si>
  <si>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</si>
  <si>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</si>
  <si>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</si>
  <si>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</si>
  <si>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</si>
  <si>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</si>
  <si>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</si>
  <si>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</si>
  <si>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</si>
  <si>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</si>
  <si>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</si>
  <si>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</si>
  <si>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</si>
  <si>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</si>
  <si>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</si>
  <si>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</si>
  <si>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</si>
  <si>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</si>
  <si>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</si>
  <si>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</si>
  <si>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</si>
  <si>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</si>
  <si>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</si>
  <si>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</si>
  <si>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</si>
  <si>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</si>
  <si>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</si>
  <si>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</si>
  <si>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</si>
  <si>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</si>
  <si>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</si>
  <si>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</si>
  <si>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</si>
  <si>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</si>
  <si>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</si>
  <si>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</si>
  <si>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</si>
  <si>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</si>
  <si>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</si>
  <si>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</si>
  <si>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</si>
  <si>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</si>
  <si>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</si>
  <si>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</si>
  <si>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</si>
  <si>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</si>
  <si>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</si>
  <si>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</si>
  <si>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</si>
  <si>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</si>
  <si>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</si>
  <si>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</si>
  <si>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</si>
  <si>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</si>
  <si>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</si>
  <si>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</si>
  <si>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</si>
  <si>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</si>
  <si>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</si>
  <si>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</si>
  <si>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</si>
  <si>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</si>
  <si>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</si>
  <si>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</si>
  <si>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</si>
  <si>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</si>
  <si>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</si>
  <si>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</si>
  <si>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</si>
  <si>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</si>
  <si>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</si>
  <si>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</si>
  <si>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</si>
  <si>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</si>
  <si>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</si>
  <si>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</si>
  <si>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</si>
  <si>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</si>
  <si>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</si>
  <si>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</si>
  <si>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</si>
  <si>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</si>
  <si>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</si>
  <si>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</si>
  <si>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</si>
  <si>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</si>
  <si>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</si>
  <si>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</si>
  <si>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</si>
  <si>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</si>
  <si>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</si>
  <si>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</si>
  <si>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</si>
  <si>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</si>
  <si>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</si>
  <si>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</si>
  <si>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</si>
  <si>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</si>
  <si>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</si>
  <si>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</si>
  <si>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</si>
  <si>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</si>
  <si>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</si>
  <si>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</si>
  <si>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</si>
  <si>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</si>
  <si>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</si>
  <si>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</si>
  <si>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</si>
  <si>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</si>
  <si>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</si>
  <si>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</si>
  <si>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</si>
  <si>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</si>
  <si>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</si>
  <si>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</si>
  <si>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</si>
  <si>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</si>
  <si>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</si>
  <si>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</si>
  <si>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</si>
  <si>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</si>
  <si>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</si>
  <si>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</si>
  <si>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</si>
  <si>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</si>
  <si>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</si>
  <si>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</si>
  <si>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</si>
  <si>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</si>
  <si>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</si>
  <si>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</si>
  <si>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</si>
  <si>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</si>
  <si>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</si>
  <si>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</si>
  <si>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</si>
  <si>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</si>
  <si>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</si>
  <si>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</si>
  <si>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</si>
  <si>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</si>
  <si>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</si>
  <si>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</si>
  <si>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</si>
  <si>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</si>
  <si>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</si>
  <si>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</si>
  <si>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</si>
  <si>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</si>
  <si>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</si>
  <si>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</si>
  <si>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</si>
  <si>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</si>
  <si>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</si>
  <si>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</si>
  <si>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</si>
  <si>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</si>
  <si>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</si>
  <si>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</si>
  <si>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</si>
  <si>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</si>
  <si>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</si>
  <si>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</si>
  <si>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</si>
  <si>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</si>
  <si>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</si>
  <si>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</si>
  <si>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</si>
  <si>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</si>
  <si>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</si>
  <si>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</si>
  <si>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</si>
  <si>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</si>
  <si>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</si>
  <si>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</si>
  <si>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</si>
  <si>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</si>
  <si>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</si>
  <si>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</si>
  <si>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</si>
  <si>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</si>
  <si>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</si>
  <si>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</si>
  <si>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</si>
  <si>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</si>
  <si>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</si>
  <si>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</si>
  <si>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</si>
  <si>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</si>
  <si>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</si>
  <si>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</si>
  <si>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</si>
  <si>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</si>
  <si>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</si>
  <si>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</si>
  <si>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</si>
  <si>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</si>
  <si>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</si>
  <si>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</si>
  <si>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</si>
  <si>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</si>
  <si>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</si>
  <si>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</si>
  <si>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</si>
  <si>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</si>
  <si>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</si>
  <si>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</si>
  <si>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</si>
  <si>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</si>
  <si>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</si>
  <si>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</si>
  <si>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</si>
  <si>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</si>
  <si>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</si>
  <si>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</si>
  <si>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</si>
  <si>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</si>
  <si>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</si>
  <si>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</si>
  <si>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</si>
  <si>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</si>
  <si>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</si>
  <si>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</si>
  <si>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</si>
  <si>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</si>
  <si>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</si>
  <si>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</si>
  <si>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</si>
  <si>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</si>
  <si>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</si>
  <si>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</si>
  <si>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</si>
  <si>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</si>
  <si>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</si>
  <si>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</si>
  <si>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</si>
  <si>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</si>
  <si>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</si>
  <si>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</si>
  <si>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</si>
  <si>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</si>
  <si>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</si>
  <si>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</si>
  <si>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</si>
  <si>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</si>
  <si>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</si>
  <si>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</si>
  <si>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</si>
  <si>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</si>
  <si>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</si>
  <si>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</si>
  <si>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</si>
  <si>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</si>
  <si>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</si>
  <si>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</si>
  <si>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</si>
  <si>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</si>
  <si>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</si>
  <si>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</si>
  <si>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</si>
  <si>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</si>
  <si>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</si>
  <si>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</si>
  <si>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</si>
  <si>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</si>
  <si>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</si>
  <si>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</si>
  <si>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</si>
  <si>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</si>
  <si>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</si>
  <si>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</si>
  <si>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</si>
  <si>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</si>
  <si>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</si>
  <si>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</si>
  <si>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</si>
  <si>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</si>
  <si>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</si>
  <si>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</si>
  <si>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</si>
  <si>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</si>
  <si>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</si>
  <si>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</si>
  <si>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</si>
  <si>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</si>
  <si>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</si>
  <si>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</si>
  <si>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</si>
  <si>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</si>
  <si>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</si>
  <si>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</si>
  <si>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</si>
  <si>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</si>
  <si>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</si>
  <si>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</si>
  <si>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</si>
  <si>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</si>
  <si>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</si>
  <si>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</si>
  <si>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</si>
  <si>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</si>
  <si>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</si>
  <si>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</si>
  <si>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</si>
  <si>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</si>
  <si>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</si>
  <si>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</si>
  <si>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</si>
  <si>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</si>
  <si>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</si>
  <si>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</si>
  <si>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</si>
  <si>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</si>
  <si>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</si>
  <si>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</si>
  <si>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</si>
  <si>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</si>
  <si>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</si>
  <si>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</si>
  <si>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</si>
  <si>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</si>
  <si>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</si>
  <si>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</si>
  <si>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</si>
  <si>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</si>
  <si>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</si>
  <si>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</si>
  <si>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</si>
  <si>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</si>
  <si>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</si>
  <si>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</si>
  <si>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</si>
  <si>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</si>
  <si>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</si>
  <si>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</si>
  <si>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</si>
  <si>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</si>
  <si>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</si>
  <si>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</si>
  <si>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</si>
  <si>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</si>
  <si>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</si>
  <si>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</si>
  <si>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</si>
  <si>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</si>
  <si>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</si>
  <si>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</si>
  <si>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</si>
  <si>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</si>
  <si>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</si>
  <si>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</si>
  <si>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</si>
  <si>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</si>
  <si>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</si>
  <si>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</si>
  <si>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</si>
  <si>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</si>
  <si>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</si>
  <si>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</si>
  <si>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</si>
  <si>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</si>
  <si>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</si>
  <si>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</si>
  <si>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</si>
  <si>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</si>
  <si>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</si>
  <si>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</si>
  <si>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</si>
  <si>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</si>
  <si>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</si>
  <si>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</si>
  <si>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</si>
  <si>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</si>
  <si>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</si>
  <si>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</si>
  <si>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</si>
  <si>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</si>
  <si>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</si>
  <si>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</si>
  <si>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</si>
  <si>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</si>
  <si>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</si>
  <si>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</si>
  <si>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</si>
  <si>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</si>
  <si>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</si>
  <si>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</si>
  <si>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</si>
  <si>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</si>
  <si>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</si>
  <si>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</si>
  <si>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</si>
  <si>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</si>
  <si>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</si>
  <si>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</si>
  <si>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</si>
  <si>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</si>
  <si>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</si>
  <si>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</si>
  <si>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</si>
  <si>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</si>
  <si>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</si>
  <si>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</si>
  <si>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</si>
  <si>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</si>
  <si>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</si>
  <si>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</si>
  <si>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</si>
  <si>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</si>
  <si>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</si>
  <si>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</si>
  <si>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</si>
  <si>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</si>
  <si>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</si>
  <si>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</si>
  <si>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</si>
  <si>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</si>
  <si>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</si>
  <si>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</si>
  <si>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</si>
  <si>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</si>
  <si>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</si>
  <si>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</si>
  <si>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</si>
  <si>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</si>
  <si>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</si>
  <si>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</si>
  <si>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</si>
  <si>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</si>
  <si>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</si>
  <si>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</si>
  <si>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</si>
  <si>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</si>
  <si>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</si>
  <si>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</si>
  <si>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</si>
  <si>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</si>
  <si>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</si>
  <si>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</si>
  <si>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</si>
  <si>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</si>
  <si>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</si>
  <si>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</si>
  <si>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</si>
  <si>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</si>
  <si>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</si>
  <si>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</si>
  <si>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</si>
  <si>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</si>
  <si>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</si>
  <si>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</si>
  <si>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</si>
  <si>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</si>
  <si>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</si>
  <si>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</si>
  <si>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</si>
  <si>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</si>
  <si>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</si>
  <si>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</si>
  <si>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</si>
  <si>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</si>
  <si>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</si>
  <si>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</si>
  <si>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</si>
  <si>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</si>
  <si>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</si>
  <si>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</si>
  <si>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</si>
  <si>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</si>
  <si>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</si>
  <si>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</si>
  <si>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</si>
  <si>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</si>
  <si>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</si>
  <si>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</si>
  <si>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</si>
  <si>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</si>
  <si>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</si>
  <si>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</si>
  <si>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</si>
  <si>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</si>
  <si>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</si>
  <si>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</si>
  <si>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</si>
  <si>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</si>
  <si>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</si>
  <si>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</si>
  <si>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</si>
  <si>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</si>
  <si>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</si>
  <si>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</si>
  <si>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</si>
  <si>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</si>
  <si>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</si>
  <si>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</si>
  <si>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</si>
  <si>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</si>
  <si>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</si>
  <si>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</si>
  <si>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</si>
  <si>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</si>
  <si>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</si>
  <si>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</si>
  <si>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</si>
  <si>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</si>
  <si>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</si>
  <si>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</si>
  <si>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</si>
  <si>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</si>
  <si>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</si>
  <si>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</si>
  <si>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</si>
  <si>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</si>
  <si>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</si>
  <si>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</si>
  <si>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</si>
  <si>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</si>
  <si>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</si>
  <si>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</si>
  <si>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</si>
  <si>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</si>
  <si>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</si>
  <si>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</si>
  <si>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</si>
  <si>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</si>
  <si>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</si>
  <si>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</si>
  <si>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</si>
  <si>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</si>
  <si>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</si>
  <si>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</si>
  <si>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</si>
  <si>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</si>
  <si>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</si>
  <si>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</si>
  <si>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</si>
  <si>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</si>
  <si>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</si>
  <si>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</si>
  <si>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</si>
  <si>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</si>
  <si>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</si>
  <si>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</si>
  <si>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</si>
  <si>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</si>
  <si>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</si>
  <si>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</si>
  <si>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</si>
  <si>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</si>
  <si>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</si>
  <si>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</si>
  <si>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</si>
  <si>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</si>
  <si>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</si>
  <si>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</si>
  <si>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</si>
  <si>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</si>
  <si>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</si>
  <si>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</si>
  <si>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</si>
  <si>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</si>
  <si>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</si>
  <si>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</si>
  <si>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</si>
  <si>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</si>
  <si>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</si>
  <si>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</si>
  <si>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</si>
  <si>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</si>
  <si>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</si>
  <si>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</si>
  <si>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</si>
  <si>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</si>
  <si>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</si>
  <si>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</si>
  <si>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</si>
  <si>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</si>
  <si>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</si>
  <si>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</si>
  <si>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</si>
  <si>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</si>
  <si>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</si>
  <si>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</si>
  <si>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</si>
  <si>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</si>
  <si>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</si>
  <si>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</si>
  <si>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</si>
  <si>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</si>
  <si>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</si>
  <si>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</si>
  <si>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</si>
  <si>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</si>
  <si>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</si>
  <si>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</si>
  <si>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</si>
  <si>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</si>
  <si>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</si>
  <si>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</si>
  <si>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</si>
  <si>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</si>
  <si>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</si>
  <si>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</si>
  <si>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</si>
  <si>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</si>
  <si>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</si>
  <si>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</si>
  <si>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</si>
  <si>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</si>
  <si>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</si>
  <si>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</si>
  <si>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</si>
  <si>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</si>
  <si>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</si>
  <si>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</si>
  <si>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</si>
  <si>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</si>
  <si>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</si>
  <si>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</si>
  <si>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</si>
  <si>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</si>
  <si>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</si>
  <si>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</si>
  <si>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</si>
  <si>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</si>
  <si>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</si>
  <si>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</si>
  <si>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</si>
  <si>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</si>
  <si>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</si>
  <si>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</si>
  <si>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</si>
  <si>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</si>
  <si>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</si>
  <si>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</si>
  <si>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</si>
  <si>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</si>
  <si>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</si>
  <si>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</si>
  <si>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</si>
  <si>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</si>
  <si>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</si>
  <si>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</si>
  <si>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</si>
  <si>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</si>
  <si>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</si>
  <si>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</si>
  <si>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</si>
  <si>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</si>
  <si>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</si>
  <si>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</si>
  <si>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</si>
  <si>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</si>
  <si>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</si>
  <si>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</si>
  <si>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</si>
  <si>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</si>
  <si>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</si>
  <si>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</si>
  <si>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</si>
  <si>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</si>
  <si>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</si>
  <si>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</si>
  <si>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</si>
  <si>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</si>
  <si>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</si>
  <si>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</si>
  <si>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</si>
  <si>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</si>
  <si>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</si>
  <si>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</si>
  <si>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</si>
  <si>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</si>
  <si>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</si>
  <si>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</si>
  <si>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</si>
  <si>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</si>
  <si>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</si>
  <si>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</si>
  <si>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</si>
  <si>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</si>
  <si>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</si>
  <si>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</si>
  <si>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</si>
  <si>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</si>
  <si>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</si>
  <si>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</si>
  <si>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</si>
  <si>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</si>
  <si>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</si>
  <si>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</si>
  <si>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</si>
  <si>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</si>
  <si>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</si>
  <si>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</si>
  <si>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</si>
  <si>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</si>
  <si>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</si>
  <si>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</si>
  <si>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</si>
  <si>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</si>
  <si>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</si>
  <si>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</si>
  <si>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</si>
  <si>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</si>
  <si>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</si>
  <si>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</si>
  <si>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</si>
  <si>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</si>
  <si>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</si>
  <si>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</si>
  <si>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</si>
  <si>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</si>
  <si>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</si>
  <si>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</si>
  <si>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</si>
  <si>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</si>
  <si>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</si>
  <si>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</si>
  <si>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</si>
  <si>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</si>
  <si>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</si>
  <si>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</si>
  <si>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</si>
  <si>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</si>
  <si>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</si>
  <si>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</si>
  <si>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</si>
  <si>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</si>
  <si>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</si>
  <si>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</si>
  <si>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</si>
  <si>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</si>
  <si>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</si>
  <si>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</si>
  <si>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</si>
  <si>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</si>
  <si>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</si>
  <si>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</si>
  <si>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</si>
  <si>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</si>
  <si>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</si>
  <si>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</si>
  <si>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</si>
  <si>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</si>
  <si>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</si>
  <si>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</si>
  <si>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</si>
  <si>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</si>
  <si>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</si>
  <si>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</si>
  <si>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</si>
  <si>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</si>
  <si>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</si>
  <si>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</si>
  <si>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</si>
  <si>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</si>
  <si>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</si>
  <si>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</si>
  <si>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</si>
  <si>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</si>
  <si>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</si>
  <si>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</si>
  <si>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</si>
  <si>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</si>
  <si>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</si>
  <si>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</si>
  <si>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</si>
  <si>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</si>
  <si>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</si>
  <si>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</si>
  <si>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</si>
  <si>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</si>
  <si>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</si>
  <si>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</si>
  <si>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</si>
  <si>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</si>
  <si>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</si>
  <si>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</si>
  <si>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</si>
  <si>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</si>
  <si>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</si>
  <si>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</si>
  <si>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</si>
  <si>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</si>
  <si>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</si>
  <si>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</si>
  <si>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</si>
  <si>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</si>
  <si>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</si>
  <si>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</si>
  <si>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</si>
  <si>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</si>
  <si>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</si>
  <si>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</si>
  <si>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</si>
  <si>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</si>
  <si>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</si>
  <si>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</si>
  <si>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</si>
  <si>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</si>
  <si>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</si>
  <si>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</si>
  <si>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</si>
  <si>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</si>
  <si>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</si>
  <si>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</si>
  <si>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</si>
  <si>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</si>
  <si>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</si>
  <si>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</si>
  <si>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</si>
  <si>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</si>
  <si>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</si>
  <si>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</si>
  <si>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</si>
  <si>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</si>
  <si>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</si>
  <si>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</si>
  <si>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</si>
  <si>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</si>
  <si>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</si>
  <si>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</si>
  <si>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</si>
  <si>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</si>
  <si>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</si>
  <si>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</si>
  <si>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</si>
  <si>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</si>
  <si>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</si>
  <si>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</si>
  <si>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</si>
  <si>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</si>
  <si>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</si>
  <si>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</si>
  <si>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</si>
  <si>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</si>
  <si>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</si>
  <si>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</si>
  <si>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</si>
  <si>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</si>
  <si>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</si>
  <si>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</si>
  <si>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</si>
  <si>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</si>
  <si>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</si>
  <si>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</si>
  <si>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</si>
  <si>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</si>
  <si>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</si>
  <si>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</si>
  <si>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</si>
  <si>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</si>
  <si>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</si>
  <si>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</si>
  <si>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</si>
  <si>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</si>
  <si>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</si>
  <si>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</si>
  <si>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</si>
  <si>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</si>
  <si>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</si>
  <si>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</si>
  <si>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</si>
  <si>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</si>
  <si>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</si>
  <si>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</si>
  <si>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</si>
  <si>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</si>
  <si>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</si>
  <si>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</si>
  <si>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</si>
  <si>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</si>
  <si>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</si>
  <si>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</si>
  <si>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</si>
  <si>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</si>
  <si>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</si>
  <si>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</si>
  <si>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</si>
  <si>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</si>
  <si>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</si>
  <si>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</si>
  <si>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</si>
  <si>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</si>
  <si>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</si>
  <si>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</si>
  <si>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</si>
  <si>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</si>
  <si>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</si>
  <si>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</si>
  <si>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</si>
  <si>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</si>
  <si>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</si>
  <si>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</si>
  <si>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</si>
  <si>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</si>
  <si>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</si>
  <si>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</si>
  <si>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</si>
  <si>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</si>
  <si>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</si>
  <si>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</si>
  <si>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</si>
  <si>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</si>
  <si>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</si>
  <si>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</si>
  <si>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</si>
  <si>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</si>
  <si>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</si>
  <si>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</si>
  <si>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</si>
  <si>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</si>
  <si>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</si>
  <si>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</si>
  <si>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</si>
  <si>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</si>
  <si>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</si>
  <si>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</si>
  <si>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</si>
  <si>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</si>
  <si>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</si>
  <si>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</si>
  <si>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</si>
  <si>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</si>
  <si>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</si>
  <si>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</si>
  <si>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</si>
  <si>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</si>
  <si>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</si>
  <si>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</si>
  <si>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</si>
  <si>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</si>
  <si>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</si>
  <si>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</si>
  <si>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</si>
  <si>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</si>
  <si>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</si>
  <si>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</si>
  <si>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</si>
  <si>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</si>
  <si>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</si>
  <si>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</si>
  <si>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</si>
  <si>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</si>
  <si>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</si>
  <si>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</si>
  <si>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</si>
  <si>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</si>
  <si>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</si>
  <si>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</si>
  <si>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</si>
  <si>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</si>
  <si>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</si>
  <si>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</si>
  <si>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</si>
  <si>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</si>
  <si>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</si>
  <si>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</si>
  <si>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</si>
  <si>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</si>
  <si>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</si>
  <si>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</si>
  <si>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</si>
  <si>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</si>
  <si>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</si>
  <si>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</si>
  <si>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</si>
  <si>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</si>
  <si>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</si>
  <si>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</si>
  <si>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</si>
  <si>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</si>
  <si>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</si>
  <si>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</si>
  <si>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</si>
  <si>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</si>
  <si>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</si>
  <si>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</si>
  <si>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</si>
  <si>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</si>
  <si>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</si>
  <si>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</si>
  <si>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</si>
  <si>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</si>
  <si>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</si>
  <si>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</si>
  <si>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</si>
  <si>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</si>
  <si>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</si>
  <si>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</si>
  <si>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</si>
  <si>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</si>
  <si>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</si>
  <si>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</si>
  <si>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</si>
  <si>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</si>
  <si>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</si>
  <si>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</si>
  <si>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</si>
  <si>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</si>
  <si>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</si>
  <si>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</si>
  <si>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</si>
  <si>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</si>
  <si>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</si>
  <si>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</si>
  <si>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</si>
  <si>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</si>
  <si>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</si>
  <si>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</si>
  <si>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</si>
  <si>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</si>
  <si>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</si>
  <si>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</si>
  <si>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</si>
  <si>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</si>
  <si>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</si>
  <si>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</si>
  <si>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</si>
  <si>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</si>
  <si>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</si>
  <si>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</si>
  <si>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</si>
  <si>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</si>
  <si>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</si>
  <si>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</si>
  <si>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</si>
  <si>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</si>
  <si>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</si>
  <si>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</si>
  <si>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</si>
  <si>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</si>
  <si>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</si>
  <si>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</si>
  <si>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</si>
  <si>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</si>
  <si>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</si>
  <si>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</si>
  <si>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</si>
  <si>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</si>
  <si>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</si>
  <si>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</si>
  <si>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</si>
  <si>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</si>
  <si>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</si>
  <si>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</si>
  <si>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</si>
  <si>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</si>
  <si>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</si>
  <si>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</si>
  <si>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</si>
  <si>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</si>
  <si>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</si>
  <si>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</si>
  <si>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</si>
  <si>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</si>
  <si>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</si>
  <si>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</si>
  <si>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</si>
  <si>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</si>
  <si>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</si>
  <si>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</si>
  <si>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</si>
  <si>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</si>
  <si>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</si>
  <si>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</si>
  <si>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</si>
  <si>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</si>
  <si>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</si>
  <si>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</si>
  <si>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</si>
  <si>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</si>
  <si>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</si>
  <si>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</si>
  <si>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</si>
  <si>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</si>
  <si>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</si>
  <si>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</si>
  <si>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</si>
  <si>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</si>
  <si>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</si>
  <si>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</si>
  <si>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</si>
  <si>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</si>
  <si>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</si>
  <si>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</si>
  <si>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</si>
  <si>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</si>
  <si>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</si>
  <si>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</si>
  <si>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</si>
  <si>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</si>
  <si>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</si>
  <si>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</si>
  <si>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</si>
  <si>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</si>
  <si>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</si>
  <si>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</si>
  <si>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</si>
  <si>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</si>
  <si>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</si>
  <si>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</si>
  <si>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</si>
  <si>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</si>
  <si>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</si>
  <si>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</si>
  <si>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</si>
  <si>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</si>
  <si>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</si>
  <si>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</si>
  <si>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</si>
  <si>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</si>
  <si>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</si>
  <si>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</si>
  <si>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</si>
  <si>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</si>
  <si>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</si>
  <si>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</si>
  <si>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</si>
  <si>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</si>
  <si>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</si>
  <si>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</si>
  <si>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</si>
  <si>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</si>
  <si>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</si>
  <si>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</si>
  <si>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</si>
  <si>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</si>
  <si>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</si>
  <si>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</si>
  <si>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</si>
  <si>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</si>
  <si>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</si>
  <si>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</si>
  <si>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</si>
  <si>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</si>
  <si>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</si>
  <si>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</si>
  <si>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</si>
  <si>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</si>
  <si>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</si>
  <si>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</si>
  <si>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</si>
  <si>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</si>
  <si>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</si>
  <si>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</si>
  <si>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</si>
  <si>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</si>
  <si>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</si>
  <si>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</si>
  <si>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</si>
  <si>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</si>
  <si>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</si>
  <si>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</si>
  <si>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</si>
  <si>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</si>
  <si>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</si>
  <si>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</si>
  <si>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</si>
  <si>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</si>
  <si>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</si>
  <si>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</si>
  <si>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</si>
  <si>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</si>
  <si>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</si>
  <si>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</si>
  <si>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</si>
  <si>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</si>
  <si>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</si>
  <si>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</si>
  <si>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</si>
  <si>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</si>
  <si>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</si>
  <si>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</si>
  <si>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</si>
  <si>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</si>
  <si>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</si>
  <si>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</si>
  <si>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</si>
  <si>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</si>
  <si>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</si>
  <si>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</si>
  <si>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</si>
  <si>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</si>
  <si>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</si>
  <si>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</si>
  <si>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</si>
  <si>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</si>
  <si>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</si>
  <si>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</si>
  <si>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</si>
  <si>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</si>
  <si>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</si>
  <si>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</si>
  <si>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</si>
  <si>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</si>
  <si>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</si>
  <si>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</si>
  <si>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</si>
  <si>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</si>
  <si>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</si>
  <si>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</si>
  <si>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</si>
  <si>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</si>
  <si>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</si>
  <si>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</si>
  <si>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</si>
  <si>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</si>
  <si>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</si>
  <si>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</si>
  <si>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</si>
  <si>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</si>
  <si>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</si>
  <si>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</si>
  <si>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</si>
  <si>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</si>
  <si>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</si>
  <si>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</si>
  <si>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</si>
  <si>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</si>
  <si>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</si>
  <si>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</si>
  <si>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</si>
  <si>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</si>
  <si>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</si>
  <si>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</si>
  <si>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</si>
  <si>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</si>
  <si>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</si>
  <si>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</si>
  <si>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</si>
  <si>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</si>
  <si>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</si>
  <si>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</si>
  <si>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</si>
  <si>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</si>
  <si>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</si>
  <si>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</si>
  <si>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</si>
  <si>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</si>
  <si>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</si>
  <si>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</si>
  <si>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</si>
  <si>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</si>
  <si>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</si>
  <si>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</si>
  <si>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</si>
  <si>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</si>
  <si>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</si>
  <si>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</si>
  <si>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</si>
  <si>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</si>
  <si>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</si>
  <si>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</si>
  <si>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</si>
  <si>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</si>
  <si>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</si>
  <si>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</si>
  <si>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</si>
  <si>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</si>
  <si>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</si>
  <si>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</si>
  <si>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</si>
  <si>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</si>
  <si>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</si>
  <si>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</si>
  <si>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</si>
  <si>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</si>
  <si>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</si>
  <si>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</si>
  <si>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</si>
  <si>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</si>
  <si>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</si>
  <si>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</si>
  <si>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</si>
  <si>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</si>
  <si>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</si>
  <si>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</si>
  <si>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</si>
  <si>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</si>
  <si>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</si>
  <si>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</si>
  <si>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</si>
  <si>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</si>
  <si>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</si>
  <si>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</si>
  <si>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</si>
  <si>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</si>
  <si>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</si>
  <si>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</si>
  <si>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</si>
  <si>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</si>
  <si>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</si>
  <si>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</si>
  <si>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</si>
  <si>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</si>
  <si>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</si>
  <si>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</si>
  <si>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</si>
  <si>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</si>
  <si>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</si>
  <si>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</si>
  <si>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</si>
  <si>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</si>
  <si>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</si>
  <si>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</si>
  <si>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</si>
  <si>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</si>
  <si>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</si>
  <si>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</si>
  <si>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</si>
  <si>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</si>
  <si>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</si>
  <si>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</si>
  <si>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</si>
  <si>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</si>
  <si>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</si>
  <si>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</si>
  <si>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</si>
  <si>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</si>
  <si>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</si>
  <si>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</si>
  <si>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</si>
  <si>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</si>
  <si>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</si>
  <si>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</si>
  <si>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</si>
  <si>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</si>
  <si>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</si>
  <si>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</si>
  <si>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</si>
  <si>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</si>
  <si>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</si>
  <si>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</si>
  <si>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</si>
  <si>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</si>
  <si>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</si>
  <si>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</si>
  <si>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</si>
  <si>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</si>
  <si>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</si>
  <si>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</si>
  <si>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</si>
  <si>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</si>
  <si>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</si>
  <si>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</si>
  <si>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</si>
  <si>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</si>
  <si>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</si>
  <si>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</si>
  <si>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</si>
  <si>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</si>
  <si>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</si>
  <si>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</si>
  <si>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</si>
  <si>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</si>
  <si>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</si>
  <si>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</si>
  <si>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</si>
  <si>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</si>
  <si>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</si>
  <si>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</si>
  <si>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</si>
  <si>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</si>
  <si>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</si>
  <si>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</si>
  <si>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</si>
  <si>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</si>
  <si>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</si>
  <si>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</si>
  <si>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</si>
  <si>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</si>
  <si>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</si>
  <si>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</si>
  <si>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</si>
  <si>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</si>
  <si>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</si>
  <si>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</si>
  <si>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</si>
  <si>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</si>
  <si>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</si>
  <si>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</si>
  <si>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</si>
  <si>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</si>
  <si>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</si>
  <si>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</si>
  <si>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</si>
  <si>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</si>
  <si>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</si>
  <si>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</si>
  <si>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</si>
  <si>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</si>
  <si>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</si>
  <si>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</si>
  <si>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</si>
  <si>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</si>
  <si>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</si>
  <si>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</si>
  <si>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</si>
  <si>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</si>
  <si>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</si>
  <si>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</si>
  <si>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</si>
  <si>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</si>
  <si>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</si>
  <si>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</si>
  <si>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</si>
  <si>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</si>
  <si>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</si>
  <si>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</si>
  <si>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</si>
  <si>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</si>
  <si>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</si>
  <si>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</si>
  <si>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</si>
  <si>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</si>
  <si>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</si>
  <si>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</si>
  <si>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</si>
  <si>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</si>
  <si>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</si>
  <si>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</si>
  <si>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</si>
  <si>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</si>
  <si>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</si>
  <si>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</si>
  <si>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</si>
  <si>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</si>
  <si>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</si>
  <si>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</si>
  <si>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</si>
  <si>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</si>
  <si>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</si>
  <si>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</si>
  <si>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</si>
  <si>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</si>
  <si>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</si>
  <si>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</si>
  <si>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</si>
  <si>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</si>
  <si>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</si>
  <si>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</si>
  <si>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</si>
  <si>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</si>
  <si>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</si>
  <si>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</si>
  <si>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</si>
  <si>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</si>
  <si>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</si>
  <si>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</si>
  <si>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</si>
  <si>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</si>
  <si>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</si>
  <si>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</si>
  <si>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</si>
  <si>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</si>
  <si>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</si>
  <si>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</si>
  <si>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</si>
  <si>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</si>
  <si>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</si>
  <si>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</si>
  <si>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</si>
  <si>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</si>
  <si>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</si>
  <si>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</si>
  <si>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</si>
  <si>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</si>
  <si>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</si>
  <si>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</si>
  <si>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</si>
  <si>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</si>
  <si>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</si>
  <si>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</si>
  <si>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</si>
  <si>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</si>
  <si>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</si>
  <si>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</si>
  <si>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</si>
  <si>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</si>
  <si>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</si>
  <si>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</si>
  <si>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</si>
  <si>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</si>
  <si>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</si>
  <si>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</si>
  <si>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</si>
  <si>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</si>
  <si>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</si>
  <si>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</si>
  <si>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</si>
  <si>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</si>
  <si>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</si>
  <si>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</si>
  <si>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</si>
  <si>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</si>
  <si>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</si>
  <si>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</si>
  <si>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</si>
  <si>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</si>
  <si>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</si>
  <si>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</si>
  <si>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</si>
  <si>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</si>
  <si>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</si>
  <si>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</si>
  <si>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</si>
  <si>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</si>
  <si>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</si>
  <si>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</si>
  <si>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</si>
  <si>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</si>
  <si>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</si>
  <si>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</si>
  <si>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</si>
  <si>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</si>
  <si>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</si>
  <si>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</si>
  <si>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</si>
  <si>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</si>
  <si>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</si>
  <si>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</si>
  <si>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</si>
  <si>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</si>
  <si>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</si>
  <si>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</si>
  <si>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</si>
  <si>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</si>
  <si>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</si>
  <si>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</si>
  <si>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</si>
  <si>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</si>
  <si>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</si>
  <si>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</si>
  <si>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</si>
  <si>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</si>
  <si>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</si>
  <si>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</si>
  <si>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</si>
  <si>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</si>
  <si>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</si>
  <si>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</si>
  <si>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</si>
  <si>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</si>
  <si>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</si>
  <si>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</si>
  <si>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</si>
  <si>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</si>
  <si>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</si>
  <si>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</si>
  <si>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</si>
  <si>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</si>
  <si>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</si>
  <si>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</si>
  <si>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</si>
  <si>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</si>
  <si>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</si>
  <si>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</si>
  <si>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</si>
  <si>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</si>
  <si>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</si>
  <si>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</si>
  <si>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</si>
  <si>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</si>
  <si>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</si>
  <si>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</si>
  <si>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</si>
  <si>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</si>
  <si>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</si>
  <si>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</si>
  <si>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</si>
  <si>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</si>
  <si>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</si>
  <si>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</si>
  <si>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</si>
  <si>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</si>
  <si>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</si>
  <si>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</si>
  <si>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</si>
  <si>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</si>
  <si>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</si>
  <si>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</si>
  <si>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</si>
  <si>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</si>
  <si>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</si>
  <si>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</si>
  <si>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</si>
  <si>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</si>
  <si>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</si>
  <si>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</si>
  <si>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</si>
  <si>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</si>
  <si>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</si>
  <si>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</si>
  <si>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</si>
  <si>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</si>
  <si>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</si>
  <si>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</si>
  <si>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</si>
  <si>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</si>
  <si>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</si>
  <si>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</si>
  <si>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</si>
  <si>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</si>
  <si>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</si>
  <si>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</si>
  <si>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</si>
  <si>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</si>
  <si>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</si>
  <si>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</si>
  <si>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</si>
  <si>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</si>
  <si>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</si>
  <si>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</si>
  <si>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</si>
  <si>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</si>
  <si>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</si>
  <si>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</si>
  <si>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</si>
  <si>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</si>
  <si>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</si>
  <si>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</si>
  <si>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</si>
  <si>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</si>
  <si>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</si>
  <si>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</si>
  <si>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</si>
  <si>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</si>
  <si>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</si>
  <si>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</si>
  <si>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</si>
  <si>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</si>
  <si>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</si>
  <si>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</si>
  <si>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</si>
  <si>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</si>
  <si>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</si>
  <si>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</si>
  <si>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</si>
  <si>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</si>
  <si>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</si>
  <si>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</si>
  <si>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</si>
  <si>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</si>
  <si>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</si>
  <si>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</si>
  <si>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</si>
  <si>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</si>
  <si>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</si>
  <si>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</si>
  <si>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</si>
  <si>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</si>
  <si>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</si>
  <si>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</si>
  <si>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</si>
  <si>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</si>
  <si>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</si>
  <si>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</si>
  <si>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</si>
  <si>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</si>
  <si>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</si>
  <si>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</si>
  <si>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</si>
  <si>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</si>
  <si>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</si>
  <si>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</si>
  <si>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</si>
  <si>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</si>
  <si>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</si>
  <si>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</si>
  <si>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</si>
  <si>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</si>
  <si>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</si>
  <si>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</si>
  <si>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</si>
  <si>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</si>
  <si>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</si>
  <si>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</si>
  <si>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</si>
  <si>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</si>
  <si>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</si>
  <si>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</si>
  <si>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</si>
  <si>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</si>
  <si>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</si>
  <si>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</si>
  <si>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</si>
  <si>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</si>
  <si>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</si>
  <si>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</si>
  <si>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</si>
  <si>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</si>
  <si>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</si>
  <si>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</si>
  <si>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</si>
  <si>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</si>
  <si>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</si>
  <si>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</si>
  <si>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</si>
  <si>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</si>
  <si>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</si>
  <si>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</si>
  <si>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</si>
  <si>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</si>
  <si>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</si>
  <si>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</si>
  <si>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</si>
  <si>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</si>
  <si>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</si>
  <si>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</si>
  <si>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</si>
  <si>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</si>
  <si>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</si>
  <si>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</si>
  <si>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</si>
  <si>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</si>
  <si>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</si>
  <si>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</si>
  <si>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</si>
  <si>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</si>
  <si>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</si>
  <si>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</si>
  <si>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</si>
  <si>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</si>
  <si>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</si>
  <si>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</si>
  <si>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</si>
  <si>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</si>
  <si>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</si>
  <si>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</si>
  <si>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</si>
  <si>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</si>
  <si>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</si>
  <si>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</si>
  <si>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</si>
  <si>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</si>
  <si>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</si>
  <si>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</si>
  <si>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</si>
  <si>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</si>
  <si>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</si>
  <si>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</si>
  <si>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</si>
  <si>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</si>
  <si>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</si>
  <si>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</si>
  <si>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</si>
  <si>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</si>
  <si>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</si>
  <si>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</si>
  <si>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</si>
  <si>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</si>
  <si>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</si>
  <si>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</si>
  <si>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</si>
  <si>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</si>
  <si>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</si>
  <si>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</si>
  <si>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</si>
  <si>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</si>
  <si>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</si>
  <si>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</si>
  <si>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</si>
  <si>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</si>
  <si>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</si>
  <si>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</si>
  <si>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</si>
  <si>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</si>
  <si>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</si>
  <si>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</si>
  <si>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</si>
  <si>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</si>
  <si>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</si>
  <si>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</si>
  <si>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</si>
  <si>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</si>
  <si>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</si>
  <si>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</si>
  <si>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</si>
  <si>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</si>
  <si>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</si>
  <si>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</si>
  <si>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</si>
  <si>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</si>
  <si>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</si>
  <si>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</si>
  <si>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</si>
  <si>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</si>
  <si>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</si>
  <si>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</si>
  <si>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</si>
  <si>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</si>
  <si>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</si>
  <si>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</si>
  <si>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</si>
  <si>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</si>
  <si>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</si>
  <si>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</si>
  <si>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</si>
  <si>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</si>
  <si>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</si>
  <si>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</si>
  <si>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</si>
  <si>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</si>
  <si>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</si>
  <si>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</si>
  <si>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</si>
  <si>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</si>
  <si>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</si>
  <si>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</si>
  <si>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</si>
  <si>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</si>
  <si>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</si>
  <si>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</si>
  <si>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</si>
  <si>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</si>
  <si>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</si>
  <si>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</si>
  <si>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</si>
  <si>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</si>
  <si>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</si>
  <si>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</si>
  <si>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</si>
  <si>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</si>
  <si>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</si>
  <si>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</si>
  <si>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</si>
  <si>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</si>
  <si>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</si>
  <si>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</si>
  <si>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</si>
  <si>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</si>
  <si>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</si>
  <si>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</si>
  <si>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</si>
  <si>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</si>
  <si>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</si>
  <si>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</si>
  <si>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</si>
  <si>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</si>
  <si>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</si>
  <si>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</si>
  <si>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</si>
  <si>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</si>
  <si>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</si>
  <si>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</si>
  <si>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</si>
  <si>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</si>
  <si>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</si>
  <si>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</si>
  <si>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</si>
  <si>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</si>
  <si>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</si>
  <si>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</si>
  <si>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</si>
  <si>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</si>
  <si>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</si>
  <si>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</si>
  <si>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</si>
  <si>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</si>
  <si>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</si>
  <si>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</si>
  <si>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</si>
  <si>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</si>
  <si>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</si>
  <si>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</si>
  <si>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</si>
  <si>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</si>
  <si>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</si>
  <si>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</si>
  <si>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</si>
  <si>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</si>
  <si>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</si>
  <si>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</si>
  <si>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</si>
  <si>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</si>
  <si>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</si>
  <si>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</si>
  <si>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</si>
  <si>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</si>
  <si>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</si>
  <si>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</si>
  <si>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</si>
  <si>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</si>
  <si>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</si>
  <si>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</si>
  <si>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</si>
  <si>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</si>
  <si>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</si>
  <si>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</si>
  <si>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</si>
  <si>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</si>
  <si>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</si>
  <si>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</si>
  <si>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</si>
  <si>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</si>
  <si>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</si>
  <si>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</si>
  <si>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</si>
  <si>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</si>
  <si>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</si>
  <si>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</si>
  <si>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</si>
  <si>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</si>
  <si>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</si>
  <si>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</si>
  <si>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</si>
  <si>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</si>
  <si>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</si>
  <si>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</si>
  <si>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</si>
  <si>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</si>
  <si>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</si>
  <si>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</si>
  <si>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</si>
  <si>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</si>
  <si>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</si>
  <si>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</si>
  <si>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</si>
  <si>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</si>
  <si>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</si>
  <si>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</si>
  <si>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</si>
  <si>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</si>
  <si>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</si>
  <si>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</si>
  <si>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</si>
  <si>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</si>
  <si>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</si>
  <si>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</si>
  <si>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</si>
  <si>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</si>
  <si>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</si>
  <si>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</si>
  <si>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</si>
  <si>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</si>
  <si>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</si>
  <si>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</si>
  <si>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</si>
  <si>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</si>
  <si>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</si>
  <si>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</si>
  <si>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</si>
  <si>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</si>
  <si>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</si>
  <si>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</si>
  <si>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</si>
  <si>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</si>
  <si>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</si>
  <si>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</si>
  <si>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</si>
  <si>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</si>
  <si>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</si>
  <si>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</si>
  <si>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</si>
  <si>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</si>
  <si>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</si>
  <si>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</si>
  <si>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</si>
  <si>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</si>
  <si>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</si>
  <si>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</si>
  <si>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</si>
  <si>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</si>
  <si>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</si>
  <si>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</si>
  <si>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</si>
  <si>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</si>
  <si>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</si>
  <si>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</si>
  <si>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</si>
  <si>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</si>
  <si>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</si>
  <si>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</si>
  <si>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</si>
  <si>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</si>
  <si>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</si>
  <si>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</si>
  <si>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</si>
  <si>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</si>
  <si>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</si>
  <si>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</si>
  <si>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</si>
  <si>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</si>
  <si>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</si>
  <si>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</si>
  <si>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</si>
  <si>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</si>
  <si>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</si>
  <si>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</si>
  <si>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</si>
  <si>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</si>
  <si>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</si>
  <si>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</si>
  <si>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</si>
  <si>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</si>
  <si>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</si>
  <si>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</si>
  <si>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</si>
  <si>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</si>
  <si>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</si>
  <si>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</si>
  <si>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</si>
  <si>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</si>
  <si>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</si>
  <si>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</si>
  <si>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</si>
  <si>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</si>
  <si>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</si>
  <si>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</si>
  <si>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</si>
  <si>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</si>
  <si>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</si>
  <si>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</si>
  <si>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</si>
  <si>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</si>
  <si>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</si>
  <si>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</si>
  <si>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</si>
  <si>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</si>
  <si>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</si>
  <si>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</si>
  <si>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</si>
  <si>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</si>
  <si>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</si>
  <si>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</si>
  <si>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</si>
  <si>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</si>
  <si>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</si>
  <si>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</si>
  <si>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</si>
  <si>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</si>
  <si>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</si>
  <si>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</si>
  <si>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</si>
  <si>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</si>
  <si>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</si>
  <si>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</si>
  <si>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</si>
  <si>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</si>
  <si>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</si>
  <si>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</si>
  <si>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</si>
  <si>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</si>
  <si>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</si>
  <si>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</si>
  <si>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</si>
  <si>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</si>
  <si>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</si>
  <si>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</si>
  <si>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</si>
  <si>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</si>
  <si>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</si>
  <si>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</si>
  <si>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</si>
  <si>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</si>
  <si>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</si>
  <si>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</si>
  <si>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</si>
  <si>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</si>
  <si>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</si>
  <si>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</si>
  <si>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</si>
  <si>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</si>
  <si>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</si>
  <si>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</si>
  <si>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</si>
  <si>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</si>
  <si>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</si>
  <si>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</si>
  <si>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</si>
  <si>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</si>
  <si>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</si>
  <si>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</si>
  <si>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</si>
  <si>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</si>
  <si>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</si>
  <si>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</si>
  <si>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</si>
  <si>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</si>
  <si>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</si>
  <si>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</si>
  <si>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</si>
  <si>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</si>
  <si>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</si>
  <si>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</si>
  <si>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</si>
  <si>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</si>
  <si>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</si>
  <si>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</si>
  <si>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</si>
  <si>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</si>
  <si>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</si>
  <si>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</si>
  <si>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</si>
  <si>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</si>
  <si>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</si>
  <si>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</si>
  <si>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</si>
  <si>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</si>
  <si>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</si>
  <si>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</si>
  <si>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</si>
  <si>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</si>
  <si>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</si>
  <si>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</si>
  <si>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</si>
  <si>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</si>
  <si>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</si>
  <si>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</si>
  <si>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</si>
  <si>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</si>
  <si>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</si>
  <si>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</si>
  <si>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</si>
  <si>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</si>
  <si>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</si>
  <si>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</si>
  <si>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</si>
  <si>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</si>
  <si>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</si>
  <si>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</si>
  <si>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</si>
  <si>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</si>
  <si>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</si>
  <si>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</si>
  <si>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</si>
  <si>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</si>
  <si>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</si>
  <si>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</si>
  <si>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</si>
  <si>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</si>
  <si>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</si>
  <si>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</si>
  <si>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</si>
  <si>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</si>
  <si>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</si>
  <si>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</si>
  <si>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</si>
  <si>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</si>
  <si>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</si>
  <si>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</si>
  <si>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</si>
  <si>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</si>
  <si>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</si>
  <si>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</si>
  <si>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</si>
  <si>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</si>
  <si>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</si>
  <si>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</si>
  <si>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</si>
  <si>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</si>
  <si>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</si>
  <si>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</si>
  <si>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</si>
  <si>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</si>
  <si>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</si>
  <si>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</si>
  <si>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</si>
  <si>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</si>
  <si>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</si>
  <si>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</si>
  <si>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</si>
  <si>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</si>
  <si>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</si>
  <si>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</si>
  <si>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</si>
  <si>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</si>
  <si>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</si>
  <si>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</si>
  <si>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</si>
  <si>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</si>
  <si>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</si>
  <si>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</si>
  <si>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</si>
  <si>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</si>
  <si>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</si>
  <si>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</si>
  <si>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</si>
  <si>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</si>
  <si>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</si>
  <si>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</si>
  <si>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</si>
  <si>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</si>
  <si>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</si>
  <si>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</si>
  <si>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</si>
  <si>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</si>
  <si>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</si>
  <si>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</si>
  <si>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</si>
  <si>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</si>
  <si>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</si>
  <si>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</si>
  <si>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</si>
  <si>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</si>
  <si>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</si>
  <si>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</si>
  <si>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</si>
  <si>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</si>
  <si>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</si>
  <si>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</si>
  <si>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</si>
  <si>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</si>
  <si>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</si>
  <si>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</si>
  <si>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</si>
  <si>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</si>
  <si>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</si>
  <si>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</si>
  <si>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</si>
  <si>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</si>
  <si>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</si>
  <si>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</si>
  <si>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</si>
  <si>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</si>
  <si>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</si>
  <si>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</si>
  <si>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</si>
  <si>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</si>
  <si>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</si>
  <si>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</si>
  <si>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</si>
  <si>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</si>
  <si>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</si>
  <si>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</si>
  <si>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</si>
  <si>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</si>
  <si>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</si>
  <si>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</si>
  <si>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</si>
  <si>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</si>
  <si>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</si>
  <si>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</si>
  <si>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</si>
  <si>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</si>
  <si>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</si>
  <si>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</si>
  <si>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</si>
  <si>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</si>
  <si>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</si>
  <si>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</si>
  <si>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</si>
  <si>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</si>
  <si>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</si>
  <si>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</si>
  <si>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</si>
  <si>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</si>
  <si>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</si>
  <si>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</si>
  <si>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</si>
  <si>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</si>
  <si>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</si>
  <si>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</si>
  <si>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</si>
  <si>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</si>
  <si>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</si>
  <si>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</si>
  <si>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</si>
  <si>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</si>
  <si>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</si>
  <si>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</si>
  <si>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</si>
  <si>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</si>
  <si>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</si>
  <si>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</si>
  <si>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</si>
  <si>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</si>
  <si>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</si>
  <si>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</si>
  <si>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</si>
  <si>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</si>
  <si>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</si>
  <si>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</si>
  <si>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</si>
  <si>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</si>
  <si>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</si>
  <si>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</si>
  <si>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</si>
  <si>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</si>
  <si>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</si>
  <si>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</si>
  <si>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</si>
  <si>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</si>
  <si>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</si>
  <si>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</si>
  <si>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</si>
  <si>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</si>
  <si>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</si>
  <si>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</si>
  <si>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</si>
  <si>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</si>
  <si>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</si>
  <si>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</si>
  <si>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</si>
  <si>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</si>
  <si>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</si>
  <si>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</si>
  <si>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</si>
  <si>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</si>
  <si>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</si>
  <si>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</si>
  <si>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</si>
  <si>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</si>
  <si>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</si>
  <si>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</si>
  <si>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</si>
  <si>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</si>
  <si>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</si>
  <si>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</si>
  <si>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</si>
  <si>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</si>
  <si>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</si>
  <si>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</si>
  <si>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</si>
  <si>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</si>
  <si>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</si>
  <si>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</si>
  <si>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</si>
  <si>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</si>
  <si>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</si>
  <si>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</si>
  <si>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</si>
  <si>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</si>
  <si>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</si>
  <si>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</si>
  <si>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</si>
  <si>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</si>
  <si>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</si>
  <si>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</si>
  <si>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</si>
  <si>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</si>
  <si>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</si>
  <si>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</si>
  <si>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</si>
  <si>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</si>
  <si>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</si>
  <si>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</si>
  <si>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</si>
  <si>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</si>
  <si>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</si>
  <si>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</si>
  <si>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</si>
  <si>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</si>
  <si>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</si>
  <si>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</si>
  <si>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</si>
  <si>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</si>
  <si>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</si>
  <si>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</si>
  <si>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</si>
  <si>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</si>
  <si>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</si>
  <si>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</si>
  <si>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</si>
  <si>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</si>
  <si>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</si>
  <si>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</si>
  <si>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</si>
  <si>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</si>
  <si>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</si>
  <si>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</si>
  <si>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</si>
  <si>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</si>
  <si>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</si>
  <si>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</si>
  <si>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</si>
  <si>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</si>
  <si>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</si>
  <si>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</si>
  <si>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</si>
  <si>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</si>
  <si>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</si>
  <si>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</si>
  <si>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</si>
  <si>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</si>
  <si>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</si>
  <si>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</si>
  <si>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</si>
  <si>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</si>
  <si>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</si>
  <si>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</si>
  <si>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</si>
  <si>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</si>
  <si>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</si>
  <si>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</si>
  <si>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</si>
  <si>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</si>
  <si>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</si>
  <si>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</si>
  <si>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</si>
  <si>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</si>
  <si>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</si>
  <si>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</si>
  <si>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</si>
  <si>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</si>
  <si>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</si>
  <si>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</si>
  <si>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</si>
  <si>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</si>
  <si>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</si>
  <si>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</si>
  <si>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</si>
  <si>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</si>
  <si>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</si>
  <si>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</si>
  <si>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</si>
  <si>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</si>
  <si>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</si>
  <si>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</si>
  <si>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</si>
  <si>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</si>
  <si>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</si>
  <si>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</si>
  <si>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</si>
  <si>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</si>
  <si>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</si>
  <si>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</si>
  <si>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</si>
  <si>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</si>
  <si>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</si>
  <si>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</si>
  <si>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</si>
  <si>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</si>
  <si>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</si>
  <si>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</si>
  <si>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</si>
  <si>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</si>
  <si>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</si>
  <si>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</si>
  <si>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</si>
  <si>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</si>
  <si>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</si>
  <si>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</si>
  <si>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</si>
  <si>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</si>
  <si>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</si>
  <si>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</si>
  <si>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</si>
  <si>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</si>
  <si>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</si>
  <si>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</si>
  <si>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</si>
  <si>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</si>
  <si>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</si>
  <si>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</si>
  <si>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</si>
  <si>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</si>
  <si>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</si>
  <si>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</si>
  <si>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</si>
  <si>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</si>
  <si>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</si>
  <si>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</si>
  <si>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</si>
  <si>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</si>
  <si>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</si>
  <si>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</si>
  <si>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</si>
  <si>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</si>
  <si>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</si>
  <si>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</si>
  <si>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</si>
  <si>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</si>
  <si>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</si>
  <si>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</si>
  <si>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</si>
  <si>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</si>
  <si>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</si>
  <si>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</si>
  <si>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</si>
  <si>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</si>
  <si>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</si>
  <si>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</si>
  <si>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</si>
  <si>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</si>
  <si>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</si>
  <si>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</si>
  <si>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</si>
  <si>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</si>
  <si>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</si>
  <si>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</si>
  <si>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</si>
  <si>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</si>
  <si>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</si>
  <si>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</si>
  <si>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</si>
  <si>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</si>
  <si>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</si>
  <si>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</si>
  <si>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</si>
  <si>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</si>
  <si>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</si>
  <si>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</si>
  <si>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</si>
  <si>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</si>
  <si>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</si>
  <si>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</si>
  <si>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</si>
  <si>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</si>
  <si>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</si>
  <si>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</si>
  <si>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</si>
  <si>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</si>
  <si>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</si>
  <si>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</si>
  <si>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</si>
  <si>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</si>
  <si>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</si>
  <si>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</si>
  <si>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</si>
  <si>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</si>
  <si>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</si>
  <si>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</si>
  <si>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</si>
  <si>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</si>
  <si>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</si>
  <si>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</si>
  <si>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</si>
  <si>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</si>
  <si>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</si>
  <si>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</si>
  <si>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</si>
  <si>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</si>
  <si>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</si>
  <si>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</si>
  <si>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</si>
  <si>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</si>
  <si>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</si>
  <si>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</si>
  <si>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</si>
  <si>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</si>
  <si>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</si>
  <si>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</si>
  <si>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</si>
  <si>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</si>
  <si>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</si>
  <si>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</si>
  <si>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</si>
  <si>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</si>
  <si>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</si>
  <si>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</si>
  <si>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</si>
  <si>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</si>
  <si>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</si>
  <si>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</si>
  <si>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</si>
  <si>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</si>
  <si>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</si>
  <si>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</si>
  <si>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</si>
  <si>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</si>
  <si>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</si>
  <si>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</si>
  <si>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</si>
  <si>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</si>
  <si>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</si>
  <si>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</si>
  <si>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</si>
  <si>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</si>
  <si>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</si>
  <si>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</si>
  <si>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</si>
  <si>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</si>
  <si>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</si>
  <si>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</si>
  <si>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</si>
  <si>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</si>
  <si>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</si>
  <si>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</si>
  <si>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</si>
  <si>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</si>
  <si>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</si>
  <si>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</si>
  <si>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</si>
  <si>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</si>
  <si>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</si>
  <si>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</si>
  <si>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</si>
  <si>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</si>
  <si>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</si>
  <si>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</si>
  <si>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</si>
  <si>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</si>
  <si>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</si>
  <si>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</si>
  <si>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</si>
  <si>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</si>
  <si>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</si>
  <si>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</si>
  <si>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</si>
  <si>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</si>
  <si>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</si>
  <si>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</si>
  <si>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</si>
  <si>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</si>
  <si>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</si>
  <si>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</si>
  <si>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</si>
  <si>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</si>
  <si>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</si>
  <si>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</si>
  <si>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</si>
  <si>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</si>
  <si>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</si>
  <si>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</si>
  <si>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</si>
  <si>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</si>
  <si>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</si>
  <si>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</si>
  <si>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</si>
  <si>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</si>
  <si>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</si>
  <si>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</si>
  <si>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</si>
  <si>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</si>
  <si>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</si>
  <si>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</si>
  <si>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</si>
  <si>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</si>
  <si>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</si>
  <si>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</si>
  <si>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</si>
  <si>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</si>
  <si>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</si>
  <si>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</si>
  <si>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</si>
  <si>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</si>
  <si>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</si>
  <si>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</si>
  <si>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</si>
  <si>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</si>
  <si>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</si>
  <si>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</si>
  <si>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</si>
  <si>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</si>
  <si>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</si>
  <si>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</si>
  <si>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</si>
  <si>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</si>
  <si>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</si>
  <si>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</si>
  <si>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</si>
  <si>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</si>
  <si>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</si>
  <si>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</si>
  <si>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</si>
  <si>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</si>
  <si>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</si>
  <si>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</si>
  <si>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</si>
  <si>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</si>
  <si>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</si>
  <si>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</si>
  <si>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</si>
  <si>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</si>
  <si>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</si>
  <si>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</si>
  <si>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</si>
  <si>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</si>
  <si>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</si>
  <si>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</si>
  <si>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</si>
  <si>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</si>
  <si>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</si>
  <si>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</si>
  <si>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</si>
  <si>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</si>
  <si>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</si>
  <si>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</si>
  <si>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</si>
  <si>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</si>
  <si>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</si>
  <si>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</si>
  <si>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</si>
  <si>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</si>
  <si>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</si>
  <si>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</si>
  <si>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</si>
  <si>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</si>
  <si>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</si>
  <si>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</si>
  <si>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</si>
  <si>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</si>
  <si>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</si>
  <si>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</si>
  <si>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</si>
  <si>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</si>
  <si>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</si>
  <si>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</si>
  <si>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</si>
  <si>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</si>
  <si>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</si>
  <si>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</si>
  <si>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</si>
  <si>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</si>
  <si>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</si>
  <si>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</si>
  <si>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</si>
  <si>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</si>
  <si>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</si>
  <si>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</si>
  <si>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</si>
  <si>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</si>
  <si>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</si>
  <si>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</si>
  <si>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</si>
  <si>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</si>
  <si>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</si>
  <si>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</si>
  <si>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</si>
  <si>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</si>
  <si>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</si>
  <si>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</si>
  <si>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</si>
  <si>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</si>
  <si>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</si>
  <si>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</si>
  <si>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</si>
  <si>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</si>
  <si>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</si>
  <si>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</si>
  <si>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</si>
  <si>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</si>
  <si>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</si>
  <si>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</si>
  <si>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</si>
  <si>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</si>
  <si>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</si>
  <si>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</si>
  <si>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</si>
  <si>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</si>
  <si>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</si>
  <si>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</si>
  <si>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</si>
  <si>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</si>
  <si>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</si>
  <si>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</si>
  <si>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</si>
  <si>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</si>
  <si>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</si>
  <si>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</si>
  <si>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</si>
  <si>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</si>
  <si>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</si>
  <si>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</si>
  <si>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</si>
  <si>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</si>
  <si>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</si>
  <si>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</si>
  <si>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</si>
  <si>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</si>
  <si>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</si>
  <si>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</si>
  <si>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</si>
  <si>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</si>
  <si>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</si>
  <si>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</si>
  <si>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</si>
  <si>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</si>
  <si>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</si>
  <si>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</si>
  <si>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</si>
  <si>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</si>
  <si>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</si>
  <si>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</si>
  <si>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</si>
  <si>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</si>
  <si>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</si>
  <si>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</si>
  <si>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</si>
  <si>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</si>
  <si>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</si>
  <si>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</si>
  <si>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</si>
  <si>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</si>
  <si>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</si>
  <si>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</si>
  <si>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</si>
  <si>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</si>
  <si>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</si>
  <si>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</si>
  <si>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</si>
  <si>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</si>
  <si>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</si>
  <si>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</si>
  <si>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</si>
  <si>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</si>
  <si>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</si>
  <si>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</si>
  <si>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</si>
  <si>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</si>
  <si>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</si>
  <si>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</si>
  <si>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</si>
  <si>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</si>
  <si>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</si>
  <si>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</si>
  <si>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</si>
  <si>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</si>
  <si>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</si>
  <si>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</si>
  <si>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</si>
  <si>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</si>
  <si>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</si>
  <si>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</si>
  <si>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</si>
  <si>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</si>
  <si>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</si>
  <si>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</si>
  <si>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</si>
  <si>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</si>
  <si>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</si>
  <si>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</si>
  <si>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</si>
  <si>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</si>
  <si>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</si>
  <si>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</si>
  <si>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</si>
  <si>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</si>
  <si>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</si>
  <si>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</si>
  <si>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</si>
  <si>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</si>
  <si>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</si>
  <si>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</si>
  <si>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</si>
  <si>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</si>
  <si>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</si>
  <si>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</si>
  <si>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</si>
  <si>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</si>
  <si>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</si>
  <si>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</si>
  <si>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</si>
  <si>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</si>
  <si>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</si>
  <si>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</si>
  <si>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</si>
  <si>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</si>
  <si>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</si>
  <si>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</si>
  <si>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</si>
  <si>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</si>
  <si>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</si>
  <si>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</si>
  <si>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</si>
  <si>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</si>
  <si>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</si>
  <si>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</si>
  <si>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</si>
  <si>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</si>
  <si>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</si>
  <si>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</si>
  <si>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</si>
  <si>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</si>
  <si>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</si>
  <si>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</si>
  <si>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</si>
  <si>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</si>
  <si>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</si>
  <si>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</si>
  <si>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</si>
  <si>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</si>
  <si>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</si>
  <si>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</si>
  <si>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</si>
  <si>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</si>
  <si>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</si>
  <si>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</si>
  <si>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</si>
  <si>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</si>
  <si>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</si>
  <si>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</si>
  <si>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</si>
  <si>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</si>
  <si>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</si>
  <si>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</si>
  <si>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</si>
  <si>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</si>
  <si>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</si>
  <si>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</si>
  <si>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</si>
  <si>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</si>
  <si>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</si>
  <si>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</si>
  <si>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</si>
  <si>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</si>
  <si>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</si>
  <si>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</si>
  <si>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</si>
  <si>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</si>
  <si>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</si>
  <si>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</si>
  <si>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</si>
  <si>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</si>
  <si>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</si>
  <si>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</si>
  <si>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</si>
  <si>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</si>
  <si>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</si>
  <si>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</si>
  <si>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</si>
  <si>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</si>
  <si>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</si>
  <si>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</si>
  <si>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</si>
  <si>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</si>
  <si>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</si>
  <si>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</si>
  <si>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</si>
  <si>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</si>
  <si>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</si>
  <si>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</si>
  <si>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</si>
  <si>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</si>
  <si>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</si>
  <si>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</si>
  <si>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</si>
  <si>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</si>
  <si>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</si>
  <si>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</si>
  <si>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</si>
  <si>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</si>
  <si>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</si>
  <si>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</si>
  <si>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</si>
  <si>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</si>
  <si>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</si>
  <si>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</si>
  <si>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</si>
  <si>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</si>
  <si>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</si>
  <si>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</si>
  <si>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</si>
  <si>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</si>
  <si>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</si>
  <si>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</si>
  <si>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</si>
  <si>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</si>
  <si>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</si>
  <si>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</si>
  <si>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</si>
  <si>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</si>
  <si>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</si>
  <si>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</si>
  <si>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</si>
  <si>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</si>
  <si>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</si>
  <si>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</si>
  <si>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</si>
  <si>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</si>
  <si>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</si>
  <si>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</si>
  <si>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</si>
  <si>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</si>
  <si>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</si>
  <si>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</si>
  <si>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</si>
  <si>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</si>
  <si>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</si>
  <si>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</si>
  <si>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</si>
  <si>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</si>
  <si>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</si>
  <si>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</si>
  <si>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</si>
  <si>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</si>
  <si>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</si>
  <si>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</si>
  <si>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</si>
  <si>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</si>
  <si>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</si>
  <si>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</si>
  <si>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</si>
  <si>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</si>
  <si>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</si>
  <si>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</si>
  <si>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</si>
  <si>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</si>
  <si>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</si>
  <si>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</si>
  <si>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</si>
  <si>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</si>
  <si>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</si>
  <si>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</si>
  <si>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</si>
  <si>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</si>
  <si>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</si>
  <si>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</si>
  <si>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</si>
  <si>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</si>
  <si>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</si>
  <si>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</si>
  <si>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</si>
  <si>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</si>
  <si>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</si>
  <si>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</si>
  <si>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</si>
  <si>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</si>
  <si>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</si>
  <si>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</si>
  <si>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</si>
  <si>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</si>
  <si>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</si>
  <si>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</si>
  <si>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</si>
  <si>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</si>
  <si>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</si>
  <si>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</si>
  <si>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</si>
  <si>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</si>
  <si>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</si>
  <si>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</si>
  <si>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</si>
  <si>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</si>
  <si>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</si>
  <si>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</si>
  <si>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</si>
  <si>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</si>
  <si>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</si>
  <si>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</si>
  <si>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</si>
  <si>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</si>
  <si>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</si>
  <si>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</si>
  <si>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</si>
  <si>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</si>
  <si>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</si>
  <si>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</si>
  <si>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</si>
  <si>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</si>
  <si>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</si>
  <si>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</si>
  <si>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</si>
  <si>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</si>
  <si>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</si>
  <si>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</si>
  <si>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</si>
  <si>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</si>
  <si>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</si>
  <si>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</si>
  <si>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</si>
  <si>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</si>
  <si>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</si>
  <si>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</si>
  <si>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</si>
  <si>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</si>
  <si>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</si>
  <si>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</si>
  <si>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</si>
  <si>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</si>
  <si>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</si>
  <si>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</si>
  <si>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</si>
  <si>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</si>
  <si>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</si>
  <si>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</si>
  <si>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</si>
  <si>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</si>
  <si>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</si>
  <si>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</si>
  <si>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</si>
  <si>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</si>
  <si>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</si>
  <si>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</si>
  <si>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</si>
  <si>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</si>
  <si>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</si>
  <si>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</si>
  <si>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</si>
  <si>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</si>
  <si>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</si>
  <si>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</si>
  <si>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</si>
  <si>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</si>
  <si>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</si>
  <si>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</si>
  <si>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</si>
  <si>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</si>
  <si>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</si>
  <si>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</si>
  <si>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</si>
  <si>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</si>
  <si>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</si>
  <si>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</si>
  <si>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</si>
  <si>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</si>
  <si>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</si>
  <si>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</si>
  <si>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</si>
  <si>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</si>
  <si>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</si>
  <si>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</si>
  <si>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</si>
  <si>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</si>
  <si>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</si>
  <si>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</si>
  <si>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</si>
  <si>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</si>
  <si>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</si>
  <si>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航港发展有限公司</t>
    <phoneticPr fontId="6" type="noConversion"/>
  </si>
  <si>
    <t>抵押</t>
  </si>
  <si>
    <t>房地产抵押价值</t>
  </si>
  <si>
    <t>北京市</t>
  </si>
  <si>
    <t>企业</t>
  </si>
  <si>
    <t>Ⅵ-天竺保税区北Ⅱ</t>
  </si>
  <si>
    <t>租金</t>
    <phoneticPr fontId="134" type="noConversion"/>
  </si>
  <si>
    <t>租期</t>
    <phoneticPr fontId="134" type="noConversion"/>
  </si>
  <si>
    <t>地块信息</t>
    <phoneticPr fontId="247" type="noConversion"/>
  </si>
  <si>
    <t>土地证面积</t>
    <phoneticPr fontId="247" type="noConversion"/>
  </si>
  <si>
    <t>功能区</t>
    <phoneticPr fontId="247" type="noConversion"/>
  </si>
  <si>
    <t>建筑物名称</t>
    <phoneticPr fontId="247" type="noConversion"/>
  </si>
  <si>
    <t>分摊土地面积</t>
    <phoneticPr fontId="247" type="noConversion"/>
  </si>
  <si>
    <t>转固面积</t>
    <phoneticPr fontId="247" type="noConversion"/>
  </si>
  <si>
    <t>权证面积</t>
    <phoneticPr fontId="247" type="noConversion"/>
  </si>
  <si>
    <t>房产证</t>
    <phoneticPr fontId="247" type="noConversion"/>
  </si>
  <si>
    <t>场内地
京顺国用（2009出）字第00091号</t>
    <phoneticPr fontId="247" type="noConversion"/>
  </si>
  <si>
    <t>BGS</t>
    <phoneticPr fontId="134" type="noConversion"/>
  </si>
  <si>
    <t>A103</t>
  </si>
  <si>
    <t>X京房产证顺字第277215号</t>
  </si>
  <si>
    <r>
      <t>2</t>
    </r>
    <r>
      <rPr>
        <sz val="11"/>
        <color theme="1"/>
        <rFont val="宋体"/>
        <family val="3"/>
        <charset val="134"/>
        <scheme val="minor"/>
      </rPr>
      <t>022年到期</t>
    </r>
    <phoneticPr fontId="134" type="noConversion"/>
  </si>
  <si>
    <t>A104</t>
  </si>
  <si>
    <t>办公楼</t>
  </si>
  <si>
    <r>
      <t>2</t>
    </r>
    <r>
      <rPr>
        <sz val="11"/>
        <color theme="1"/>
        <rFont val="宋体"/>
        <family val="3"/>
        <charset val="134"/>
        <scheme val="minor"/>
      </rPr>
      <t>022年到期</t>
    </r>
    <phoneticPr fontId="134" type="noConversion"/>
  </si>
  <si>
    <t>A105</t>
  </si>
  <si>
    <t>快件中心</t>
  </si>
  <si>
    <t>1#快件中心（A203）</t>
  </si>
  <si>
    <t>X京房产证顺字第295007号</t>
  </si>
  <si>
    <t>2#快件中心及综合办公楼（A204）</t>
    <phoneticPr fontId="3" type="noConversion"/>
  </si>
  <si>
    <r>
      <t>办公6</t>
    </r>
    <r>
      <rPr>
        <sz val="11"/>
        <color theme="1"/>
        <rFont val="宋体"/>
        <family val="3"/>
        <charset val="134"/>
        <scheme val="minor"/>
      </rPr>
      <t>.2</t>
    </r>
    <phoneticPr fontId="134" type="noConversion"/>
  </si>
  <si>
    <r>
      <t>办公大概6</t>
    </r>
    <r>
      <rPr>
        <sz val="11"/>
        <color theme="1"/>
        <rFont val="宋体"/>
        <family val="3"/>
        <charset val="134"/>
        <scheme val="minor"/>
      </rPr>
      <t>000平米</t>
    </r>
    <phoneticPr fontId="134" type="noConversion"/>
  </si>
  <si>
    <t>地块一
京（2018）顺不动产权第0000081号</t>
    <phoneticPr fontId="247" type="noConversion"/>
  </si>
  <si>
    <t>保税B型</t>
    <phoneticPr fontId="247" type="noConversion"/>
  </si>
  <si>
    <t>F01(办公楼)</t>
  </si>
  <si>
    <t>X京房产证顺字第278737号</t>
  </si>
  <si>
    <t>F02(D01)</t>
  </si>
  <si>
    <t>库房2</t>
    <phoneticPr fontId="134" type="noConversion"/>
  </si>
  <si>
    <t>F03(D02)</t>
  </si>
  <si>
    <t>办公4</t>
    <phoneticPr fontId="134" type="noConversion"/>
  </si>
  <si>
    <r>
      <t>3</t>
    </r>
    <r>
      <rPr>
        <sz val="11"/>
        <color theme="1"/>
        <rFont val="宋体"/>
        <family val="3"/>
        <charset val="134"/>
        <scheme val="minor"/>
      </rPr>
      <t>800平米</t>
    </r>
    <phoneticPr fontId="134" type="noConversion"/>
  </si>
  <si>
    <t>F04/F06(D03)</t>
  </si>
  <si>
    <t>F05/F07(D04)</t>
  </si>
  <si>
    <t>D08</t>
    <phoneticPr fontId="3" type="noConversion"/>
  </si>
  <si>
    <t>X京房产顺字第339100号</t>
  </si>
  <si>
    <t>地块三
京顺国用（2015出）字第00093号</t>
    <phoneticPr fontId="247" type="noConversion"/>
  </si>
  <si>
    <t>航港物流园</t>
    <phoneticPr fontId="247" type="noConversion"/>
  </si>
  <si>
    <t>A1库</t>
  </si>
  <si>
    <t>X京房产证顺字第297114号</t>
  </si>
  <si>
    <t>库房1.7-1.8</t>
    <phoneticPr fontId="134" type="noConversion"/>
  </si>
  <si>
    <r>
      <t>8</t>
    </r>
    <r>
      <rPr>
        <sz val="11"/>
        <color theme="1"/>
        <rFont val="宋体"/>
        <family val="3"/>
        <charset val="134"/>
        <scheme val="minor"/>
      </rPr>
      <t>000平米办公</t>
    </r>
    <phoneticPr fontId="134" type="noConversion"/>
  </si>
  <si>
    <t>A2库</t>
  </si>
  <si>
    <r>
      <t>办公1</t>
    </r>
    <r>
      <rPr>
        <sz val="11"/>
        <color theme="1"/>
        <rFont val="宋体"/>
        <family val="3"/>
        <charset val="134"/>
        <scheme val="minor"/>
      </rPr>
      <t>.8-2</t>
    </r>
    <phoneticPr fontId="134" type="noConversion"/>
  </si>
  <si>
    <t>B1库</t>
  </si>
  <si>
    <t>X京房产证顺字第307852号</t>
  </si>
  <si>
    <t>B2库</t>
  </si>
  <si>
    <t>B3库</t>
  </si>
  <si>
    <t>物业服务用房</t>
  </si>
  <si>
    <t>值班室</t>
  </si>
  <si>
    <t>序号</t>
  </si>
  <si>
    <t>房屋坐落</t>
  </si>
  <si>
    <t>分摊土地面积</t>
  </si>
  <si>
    <t>建筑面积</t>
  </si>
  <si>
    <t>房地产总价值</t>
  </si>
  <si>
    <t>不动产权证号</t>
  </si>
  <si>
    <t>单价</t>
    <phoneticPr fontId="134" type="noConversion"/>
  </si>
  <si>
    <r>
      <t>北京市顺义区保汇五街</t>
    </r>
    <r>
      <rPr>
        <sz val="9"/>
        <color rgb="FF000000"/>
        <rFont val="Arial"/>
        <family val="2"/>
      </rPr>
      <t>76</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</si>
  <si>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277215</t>
    </r>
    <r>
      <rPr>
        <sz val="9"/>
        <color rgb="FF000000"/>
        <rFont val="华文细黑"/>
        <family val="3"/>
        <charset val="134"/>
      </rPr>
      <t>号</t>
    </r>
  </si>
  <si>
    <r>
      <t>北京市顺义区金岸西路</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</si>
  <si>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295007</t>
    </r>
    <r>
      <rPr>
        <sz val="9"/>
        <color rgb="FF000000"/>
        <rFont val="华文细黑"/>
        <family val="3"/>
        <charset val="134"/>
      </rPr>
      <t>号</t>
    </r>
  </si>
  <si>
    <r>
      <t>北京市顺义区保汇一街</t>
    </r>
    <r>
      <rPr>
        <sz val="9"/>
        <color rgb="FF000000"/>
        <rFont val="Arial"/>
        <family val="2"/>
      </rPr>
      <t>11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</si>
  <si>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278737</t>
    </r>
    <r>
      <rPr>
        <sz val="9"/>
        <color rgb="FF000000"/>
        <rFont val="华文细黑"/>
        <family val="3"/>
        <charset val="134"/>
      </rPr>
      <t>号</t>
    </r>
  </si>
  <si>
    <r>
      <t>北京市顺义区保汇一街</t>
    </r>
    <r>
      <rPr>
        <sz val="9"/>
        <color rgb="FF000000"/>
        <rFont val="Arial"/>
        <family val="2"/>
      </rPr>
      <t>2</t>
    </r>
    <r>
      <rPr>
        <sz val="9"/>
        <color rgb="FF000000"/>
        <rFont val="华文细黑"/>
        <family val="3"/>
        <charset val="134"/>
      </rPr>
      <t>号院</t>
    </r>
    <r>
      <rPr>
        <sz val="9"/>
        <color rgb="FF000000"/>
        <rFont val="Arial"/>
        <family val="2"/>
      </rPr>
      <t>1</t>
    </r>
    <r>
      <rPr>
        <sz val="9"/>
        <color rgb="FF000000"/>
        <rFont val="华文细黑"/>
        <family val="3"/>
        <charset val="134"/>
      </rPr>
      <t>号</t>
    </r>
  </si>
  <si>
    <r>
      <t>X</t>
    </r>
    <r>
      <rPr>
        <sz val="9"/>
        <color rgb="FF000000"/>
        <rFont val="华文细黑"/>
        <family val="3"/>
        <charset val="134"/>
      </rPr>
      <t>京房权证顺字第</t>
    </r>
    <r>
      <rPr>
        <sz val="9"/>
        <color rgb="FF000000"/>
        <rFont val="Arial"/>
        <family val="2"/>
      </rPr>
      <t>339100</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</si>
  <si>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</si>
  <si>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297114</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</si>
  <si>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</si>
  <si>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307852</t>
    </r>
    <r>
      <rPr>
        <sz val="9"/>
        <color rgb="FF000000"/>
        <rFont val="华文细黑"/>
        <family val="3"/>
        <charset val="134"/>
      </rPr>
      <t>号</t>
    </r>
  </si>
  <si>
    <t>合计</t>
  </si>
  <si>
    <t>BGS</t>
  </si>
  <si>
    <t>A103、A104、办公楼</t>
  </si>
  <si>
    <t>2#快件中心及综合办公楼（A204）</t>
  </si>
  <si>
    <t>是</t>
  </si>
  <si>
    <t>地上</t>
  </si>
  <si>
    <t>仓储</t>
    <phoneticPr fontId="7" type="noConversion"/>
  </si>
  <si>
    <t>成新度</t>
  </si>
  <si>
    <t>收益法</t>
  </si>
  <si>
    <t>钢混</t>
  </si>
  <si>
    <t>非生产用房</t>
  </si>
  <si>
    <t>否</t>
  </si>
  <si>
    <t>自定义容积率</t>
  </si>
  <si>
    <t>与级别开发程度不一致</t>
  </si>
  <si>
    <t>通路</t>
  </si>
  <si>
    <t>通电</t>
  </si>
  <si>
    <t>通讯</t>
  </si>
  <si>
    <t>通上水</t>
  </si>
  <si>
    <t>通下水</t>
  </si>
  <si>
    <t>平整</t>
  </si>
  <si>
    <t>较好</t>
  </si>
  <si>
    <t>一般</t>
  </si>
  <si>
    <t>较差</t>
  </si>
  <si>
    <t>好</t>
  </si>
  <si>
    <t>未包含在土地购买价格中</t>
  </si>
  <si>
    <t>全部缴纳</t>
  </si>
  <si>
    <t>已包含在土地取得成本中</t>
  </si>
  <si>
    <t>成本法</t>
  </si>
  <si>
    <t>系统合同号</t>
  </si>
  <si>
    <t>合同编号</t>
  </si>
  <si>
    <t>租赁编号</t>
  </si>
  <si>
    <t>客户名称</t>
  </si>
  <si>
    <t>客户编码</t>
  </si>
  <si>
    <t>功能区</t>
  </si>
  <si>
    <t>建筑物编码</t>
  </si>
  <si>
    <t>位置</t>
  </si>
  <si>
    <t>管理类别</t>
  </si>
  <si>
    <t>面积</t>
  </si>
  <si>
    <t>业务类型名称</t>
  </si>
  <si>
    <t>业务类型编码</t>
  </si>
  <si>
    <t>含税单价</t>
  </si>
  <si>
    <t>VAT税率</t>
  </si>
  <si>
    <t>开票频率</t>
  </si>
  <si>
    <t>保证金</t>
  </si>
  <si>
    <t>收费开始日期</t>
  </si>
  <si>
    <t>收费结束日期</t>
  </si>
  <si>
    <t>合同开始日期</t>
  </si>
  <si>
    <t>合同结束日期</t>
  </si>
  <si>
    <t>2023年1月</t>
  </si>
  <si>
    <t>2023年2月</t>
  </si>
  <si>
    <t>2023年3月</t>
  </si>
  <si>
    <t>2023年4月</t>
  </si>
  <si>
    <t>2023年5月</t>
  </si>
  <si>
    <t>2023年6月</t>
  </si>
  <si>
    <t>2023年7月</t>
  </si>
  <si>
    <t>2023年8月</t>
  </si>
  <si>
    <t>2023年9月</t>
  </si>
  <si>
    <t>2023年10月</t>
  </si>
  <si>
    <t>2023年11月</t>
  </si>
  <si>
    <t>2023年12月</t>
  </si>
  <si>
    <t>2024年1月</t>
  </si>
  <si>
    <t>2024年2月</t>
  </si>
  <si>
    <t>2024年3月</t>
  </si>
  <si>
    <t>2024年4月</t>
  </si>
  <si>
    <t>2024年5月</t>
  </si>
  <si>
    <t>2024年6月</t>
  </si>
  <si>
    <t>2024年7月</t>
  </si>
  <si>
    <t>2024年8月</t>
  </si>
  <si>
    <t>2024年9月</t>
  </si>
  <si>
    <t>2024年10月</t>
  </si>
  <si>
    <t>2024年11月</t>
  </si>
  <si>
    <t>2024年12月</t>
  </si>
  <si>
    <t>2025年1月</t>
  </si>
  <si>
    <t>2025年2月</t>
  </si>
  <si>
    <t>2025年3月</t>
  </si>
  <si>
    <t>2025年4月</t>
  </si>
  <si>
    <t>2025年5月</t>
  </si>
  <si>
    <t>2025年6月</t>
  </si>
  <si>
    <t>2025年7月</t>
  </si>
  <si>
    <t>2025年8月</t>
  </si>
  <si>
    <t>2025年9月</t>
  </si>
  <si>
    <t>2025年10月</t>
  </si>
  <si>
    <t>2025年11月</t>
  </si>
  <si>
    <t>2025年12月</t>
  </si>
  <si>
    <t>2026年1月</t>
  </si>
  <si>
    <t>2026年2月</t>
  </si>
  <si>
    <t>2026年3月</t>
  </si>
  <si>
    <t>2026年4月</t>
  </si>
  <si>
    <t>2026年5月</t>
  </si>
  <si>
    <t>2026年6月</t>
  </si>
  <si>
    <t>2026年7月</t>
  </si>
  <si>
    <t>2026年8月</t>
  </si>
  <si>
    <t>2026年9月</t>
  </si>
  <si>
    <t>2026年10月</t>
  </si>
  <si>
    <t>2026年11月</t>
  </si>
  <si>
    <t>2026年12月</t>
  </si>
  <si>
    <t>2027年1月</t>
  </si>
  <si>
    <t>2027年2月</t>
  </si>
  <si>
    <t>2027年3月</t>
  </si>
  <si>
    <t>2027年4月</t>
  </si>
  <si>
    <t>2027年5月</t>
  </si>
  <si>
    <t>2027年6月</t>
  </si>
  <si>
    <t>2027年7月</t>
  </si>
  <si>
    <t>2027年8月</t>
  </si>
  <si>
    <t>2027年9月</t>
  </si>
  <si>
    <t>2027年10月</t>
  </si>
  <si>
    <t>2027年11月</t>
  </si>
  <si>
    <t>2027年12月</t>
  </si>
  <si>
    <t>2028年1月</t>
  </si>
  <si>
    <t>2028年2月</t>
  </si>
  <si>
    <t>2028年3月</t>
  </si>
  <si>
    <t>2028年4月</t>
  </si>
  <si>
    <t>2028年5月</t>
  </si>
  <si>
    <t>2028年6月</t>
  </si>
  <si>
    <t>2028年7月</t>
  </si>
  <si>
    <t>2028年8月</t>
  </si>
  <si>
    <t>2028年9月</t>
  </si>
  <si>
    <t>2028年10月</t>
  </si>
  <si>
    <t>2028年11月</t>
  </si>
  <si>
    <t>2028年12月</t>
  </si>
  <si>
    <t>0210114142448527</t>
  </si>
  <si>
    <t>11210008</t>
  </si>
  <si>
    <t>LC01R01</t>
  </si>
  <si>
    <t>北京顺丰速运有限公司</t>
  </si>
  <si>
    <t>200081</t>
  </si>
  <si>
    <t>国际快件中心</t>
  </si>
  <si>
    <t>03BEI01015</t>
  </si>
  <si>
    <t>111、112、113</t>
  </si>
  <si>
    <t>新签</t>
  </si>
  <si>
    <t>租金-库房</t>
  </si>
  <si>
    <t>1001A110000000001IRT</t>
  </si>
  <si>
    <t>5.0%</t>
  </si>
  <si>
    <t>季度</t>
  </si>
  <si>
    <t>2022/12/28</t>
  </si>
  <si>
    <t>2023/12/27</t>
  </si>
  <si>
    <t>2020/12/28</t>
  </si>
  <si>
    <t/>
  </si>
  <si>
    <t>LC01M01</t>
  </si>
  <si>
    <t>物业管理费-库房</t>
  </si>
  <si>
    <t>1001A110000000001NHO</t>
  </si>
  <si>
    <t>6.0%</t>
  </si>
  <si>
    <t>LC02R01</t>
  </si>
  <si>
    <t>211、212、213</t>
  </si>
  <si>
    <t>租金-贴临办公</t>
  </si>
  <si>
    <t>1001A110000000001IRV</t>
  </si>
  <si>
    <t>LC02M01</t>
  </si>
  <si>
    <t>物业管理费-贴临办公</t>
  </si>
  <si>
    <t>1001A110000000001NHP</t>
  </si>
  <si>
    <t>0211228092605965</t>
  </si>
  <si>
    <t>11210134</t>
  </si>
  <si>
    <t>北京空港通衡物流有限公司</t>
  </si>
  <si>
    <t>200092</t>
  </si>
  <si>
    <t>03BEI01016</t>
  </si>
  <si>
    <t>F02-TH</t>
  </si>
  <si>
    <t>变更</t>
  </si>
  <si>
    <t>2022/01/01</t>
  </si>
  <si>
    <t>0210813132545013</t>
  </si>
  <si>
    <t>11220004</t>
  </si>
  <si>
    <t>中国工商银行股份有限公司北京望京支行</t>
  </si>
  <si>
    <t>200037</t>
  </si>
  <si>
    <t>GONGHANG</t>
  </si>
  <si>
    <t>租金-办公</t>
  </si>
  <si>
    <t>1001A110000000001IRP</t>
  </si>
  <si>
    <t>2024/12/31</t>
  </si>
  <si>
    <t>0220124141642704</t>
  </si>
  <si>
    <t>11220013</t>
  </si>
  <si>
    <t>LC03R01</t>
  </si>
  <si>
    <t>欧西爱司物流（上海）有限公司北京分公司</t>
  </si>
  <si>
    <t>200128</t>
  </si>
  <si>
    <t>117、118、119</t>
  </si>
  <si>
    <t>2022/06/01</t>
  </si>
  <si>
    <t>2023/02/28</t>
  </si>
  <si>
    <t>2022/03/01</t>
  </si>
  <si>
    <t>2027/02/28</t>
  </si>
  <si>
    <t>LC03F01</t>
  </si>
  <si>
    <t>LC03R02</t>
  </si>
  <si>
    <t>2023/03/01</t>
  </si>
  <si>
    <t>2024/02/29</t>
  </si>
  <si>
    <t>LC03R03</t>
  </si>
  <si>
    <t>2024/03/01</t>
  </si>
  <si>
    <t>2025/02/28</t>
  </si>
  <si>
    <t>LC03R04</t>
  </si>
  <si>
    <t>2025/03/01</t>
  </si>
  <si>
    <t>2026/02/28</t>
  </si>
  <si>
    <t>LC03R05</t>
  </si>
  <si>
    <t>2026/03/01</t>
  </si>
  <si>
    <t>LC03M01</t>
  </si>
  <si>
    <t>LC03M02</t>
  </si>
  <si>
    <t>LC03M03</t>
  </si>
  <si>
    <t>LC03M04</t>
  </si>
  <si>
    <t>LC03M05</t>
  </si>
  <si>
    <t>LC04R01</t>
  </si>
  <si>
    <t>218、219</t>
  </si>
  <si>
    <t>LC04F01</t>
  </si>
  <si>
    <t>LC04R02</t>
  </si>
  <si>
    <t>LC04R03</t>
  </si>
  <si>
    <t>LC04R04</t>
  </si>
  <si>
    <t>LC04R05</t>
  </si>
  <si>
    <t>LC04M01</t>
  </si>
  <si>
    <t>LC04M02</t>
  </si>
  <si>
    <t>LC04M03</t>
  </si>
  <si>
    <t>LC04M04</t>
  </si>
  <si>
    <t>LC04M05</t>
  </si>
  <si>
    <t>0220209104842058</t>
  </si>
  <si>
    <t>11220018</t>
  </si>
  <si>
    <t>北京空港捷威运输有限公司</t>
  </si>
  <si>
    <t>200975</t>
  </si>
  <si>
    <t>航空货运站(BGS)</t>
  </si>
  <si>
    <t>03BEI01011</t>
  </si>
  <si>
    <t>DCZD</t>
  </si>
  <si>
    <t>年度</t>
  </si>
  <si>
    <t>LC01R02</t>
  </si>
  <si>
    <t>0211223141330657</t>
  </si>
  <si>
    <t>11220025</t>
  </si>
  <si>
    <t>LC02F01</t>
  </si>
  <si>
    <t>北京空港航空地面服务有限公司</t>
  </si>
  <si>
    <t>200090</t>
  </si>
  <si>
    <t>A103、CZF-01</t>
  </si>
  <si>
    <t>月度</t>
  </si>
  <si>
    <t>03BEI01012</t>
  </si>
  <si>
    <t>A104、CZT-02、CZT-03、CZT-04</t>
  </si>
  <si>
    <t>LC01F01</t>
  </si>
  <si>
    <t>03BEI01013</t>
  </si>
  <si>
    <t>03BEI01014</t>
  </si>
  <si>
    <t>02、03、04、B1</t>
  </si>
  <si>
    <t>0221020144440740</t>
  </si>
  <si>
    <t>11220141</t>
  </si>
  <si>
    <t>上海华惠国际货运有限公司北京分公司</t>
  </si>
  <si>
    <t>201303</t>
  </si>
  <si>
    <t>132、133、134、135、135-1</t>
  </si>
  <si>
    <t>2022/10/01</t>
  </si>
  <si>
    <t>2023/03/31</t>
  </si>
  <si>
    <t>2024/03/31</t>
  </si>
  <si>
    <t>2023/04/01</t>
  </si>
  <si>
    <t>227、228</t>
  </si>
  <si>
    <t>0221220135359485</t>
  </si>
  <si>
    <t>11220166</t>
  </si>
  <si>
    <t>LC05R01</t>
  </si>
  <si>
    <t>联邦快递（中国）有限公司</t>
  </si>
  <si>
    <t>200034</t>
  </si>
  <si>
    <t>101、102、103、104、105、106、107、108、109、110</t>
  </si>
  <si>
    <t>2023/01/01</t>
  </si>
  <si>
    <t>LC05M01</t>
  </si>
  <si>
    <t>LC06R01</t>
  </si>
  <si>
    <t>201、202、203、204、205、206、207、208、209、210</t>
  </si>
  <si>
    <t>LC06M01</t>
  </si>
  <si>
    <t>0221124084536015</t>
  </si>
  <si>
    <t>11230011</t>
  </si>
  <si>
    <t>LC07R01</t>
  </si>
  <si>
    <t>中外运-敦豪国际航空快件有限公司</t>
  </si>
  <si>
    <t>200311</t>
  </si>
  <si>
    <t>122、123、123-1、124、125、126、127、128、129、130、131、132、133、134、135</t>
  </si>
  <si>
    <t>2024/12/27</t>
  </si>
  <si>
    <t>2027/12/27</t>
  </si>
  <si>
    <t>LC07F01</t>
  </si>
  <si>
    <t>LC07F02</t>
  </si>
  <si>
    <t>2024/12/28</t>
  </si>
  <si>
    <t>LC07R02</t>
  </si>
  <si>
    <t>LC07M01</t>
  </si>
  <si>
    <t>LC07M02</t>
  </si>
  <si>
    <t>LC08R01</t>
  </si>
  <si>
    <t>224、225、226、227、228、229、230、231、232、233、234、235</t>
  </si>
  <si>
    <t>LC08F01</t>
  </si>
  <si>
    <t>LC08F02</t>
  </si>
  <si>
    <t>LC08R02</t>
  </si>
  <si>
    <t>LC08M01</t>
  </si>
  <si>
    <t>LC08M02</t>
  </si>
  <si>
    <t>0230223171653850</t>
  </si>
  <si>
    <t>11230037</t>
  </si>
  <si>
    <t>北京远昊物流有限公司</t>
  </si>
  <si>
    <t>201326</t>
  </si>
  <si>
    <t>122（跨境电商）、122-1（跨境电商）、123（跨境电商）、124（跨境电商）、125（跨境电商）、126（跨境电商）</t>
  </si>
  <si>
    <t>2023/05/31</t>
  </si>
  <si>
    <t>2025/05/31</t>
  </si>
  <si>
    <t>LC05F01</t>
  </si>
  <si>
    <t>LC05F02</t>
  </si>
  <si>
    <t>2023/06/01</t>
  </si>
  <si>
    <t>2024/05/31</t>
  </si>
  <si>
    <t>LC05R02</t>
  </si>
  <si>
    <t>LC05R03</t>
  </si>
  <si>
    <t>2024/06/01</t>
  </si>
  <si>
    <t>LC05F03</t>
  </si>
  <si>
    <t>LC05M02</t>
  </si>
  <si>
    <t>LC05M03</t>
  </si>
  <si>
    <t>217、218、219</t>
  </si>
  <si>
    <t>LC06F01</t>
  </si>
  <si>
    <t>LC06F02</t>
  </si>
  <si>
    <t>LC06R02</t>
  </si>
  <si>
    <t>LC06R03</t>
  </si>
  <si>
    <t>LC06F03</t>
  </si>
  <si>
    <t>LC06M02</t>
  </si>
  <si>
    <t>LC06M03</t>
  </si>
  <si>
    <t>功能区</t>
    <phoneticPr fontId="134" type="noConversion"/>
  </si>
  <si>
    <r>
      <t>航空货运站（B</t>
    </r>
    <r>
      <rPr>
        <sz val="11"/>
        <color theme="1"/>
        <rFont val="宋体"/>
        <family val="3"/>
        <charset val="134"/>
        <scheme val="minor"/>
      </rPr>
      <t>GS</t>
    </r>
    <r>
      <rPr>
        <sz val="11"/>
        <color theme="1"/>
        <rFont val="宋体"/>
        <family val="3"/>
        <charset val="134"/>
        <scheme val="minor"/>
      </rPr>
      <t>）</t>
    </r>
    <phoneticPr fontId="134" type="noConversion"/>
  </si>
  <si>
    <t>面积</t>
    <phoneticPr fontId="134" type="noConversion"/>
  </si>
  <si>
    <t>合计</t>
    <phoneticPr fontId="134" type="noConversion"/>
  </si>
  <si>
    <t>租金单价</t>
    <phoneticPr fontId="134" type="noConversion"/>
  </si>
  <si>
    <t>国际快件中心</t>
    <phoneticPr fontId="134" type="noConversion"/>
  </si>
  <si>
    <t>产权面积</t>
    <phoneticPr fontId="134" type="noConversion"/>
  </si>
  <si>
    <t>可出租面积</t>
    <phoneticPr fontId="134" type="noConversion"/>
  </si>
  <si>
    <t>快件</t>
    <phoneticPr fontId="134" type="noConversion"/>
  </si>
  <si>
    <t>BGS</t>
    <phoneticPr fontId="134" type="noConversion"/>
  </si>
  <si>
    <t>产权面积</t>
    <phoneticPr fontId="134" type="noConversion"/>
  </si>
  <si>
    <t>合计</t>
    <phoneticPr fontId="134" type="noConversion"/>
  </si>
  <si>
    <t>总价</t>
  </si>
  <si>
    <t>自定义</t>
  </si>
  <si>
    <r>
      <t>2022</t>
    </r>
    <r>
      <rPr>
        <sz val="10"/>
        <color indexed="8"/>
        <rFont val="宋体"/>
        <family val="3"/>
        <charset val="134"/>
      </rPr>
      <t>年估值</t>
    </r>
    <phoneticPr fontId="8"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</si>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</sst>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indexed="64"/>
      </right>
      <top style="medium">
        <color rgb="FF404040"/>
      </top>
      <bottom style="medium">
        <color rgb="FF404040"/>
      </bottom>
      <diagonal/>
    </border>
    <border>
      <left/>
      <right style="medium">
        <color indexed="64"/>
      </right>
      <top style="medium">
        <color indexed="64"/>
      </top>
      <bottom style="medium">
        <color rgb="FF00000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95" fillId="0" borderId="0" xfId="0" applyFont="1">
      <alignment vertical="center"/>
    </xf>
    <xf numFmtId="0" fontId="0" fillId="0" borderId="1" xfId="0" applyBorder="1">
      <alignment vertical="center"/>
    </xf>
    <xf numFmtId="0" fontId="0" fillId="5" borderId="1" xfId="0" applyFill="1" applyBorder="1">
      <alignment vertical="center"/>
    </xf>
    <xf numFmtId="0" fontId="107" fillId="0" borderId="1" xfId="0" applyFont="1" applyFill="1" applyBorder="1">
      <alignment vertical="center"/>
    </xf>
    <xf numFmtId="43" fontId="107" fillId="0" borderId="1" xfId="19" applyFont="1" applyFill="1" applyBorder="1">
      <alignment vertical="center"/>
    </xf>
    <xf numFmtId="43" fontId="107" fillId="5" borderId="1" xfId="19" applyFont="1" applyFill="1" applyBorder="1">
      <alignment vertical="center"/>
    </xf>
    <xf numFmtId="196" fontId="0" fillId="0" borderId="0" xfId="0" applyNumberFormat="1">
      <alignment vertical="center"/>
    </xf>
    <xf numFmtId="43" fontId="107" fillId="0" borderId="0" xfId="19" applyFont="1" applyFill="1" applyBorder="1">
      <alignment vertical="center"/>
    </xf>
    <xf numFmtId="43" fontId="107" fillId="0" borderId="1" xfId="19" applyFont="1" applyFill="1" applyBorder="1" applyAlignment="1">
      <alignment horizontal="center" vertical="center" wrapText="1"/>
    </xf>
    <xf numFmtId="0" fontId="270" fillId="0" borderId="176" xfId="0" applyFont="1" applyBorder="1" applyAlignment="1">
      <alignment horizontal="justify" vertical="center" wrapText="1"/>
    </xf>
    <xf numFmtId="0" fontId="270" fillId="0" borderId="177" xfId="0" applyFont="1" applyBorder="1" applyAlignment="1">
      <alignment vertical="center" wrapText="1"/>
    </xf>
    <xf numFmtId="0" fontId="270" fillId="0" borderId="178" xfId="0" applyFont="1" applyBorder="1" applyAlignment="1">
      <alignment vertical="center" wrapText="1"/>
    </xf>
    <xf numFmtId="0" fontId="270" fillId="0" borderId="65" xfId="0" applyFont="1" applyBorder="1" applyAlignment="1">
      <alignment vertical="center" wrapText="1"/>
    </xf>
    <xf numFmtId="0" fontId="270" fillId="0" borderId="179" xfId="0" applyFont="1" applyBorder="1" applyAlignment="1">
      <alignment vertical="center" wrapText="1"/>
    </xf>
    <xf numFmtId="0" fontId="270" fillId="0" borderId="0" xfId="0" applyFont="1" applyFill="1" applyBorder="1" applyAlignment="1">
      <alignment vertical="center" wrapText="1"/>
    </xf>
    <xf numFmtId="0" fontId="266" fillId="0" borderId="180" xfId="0" applyFont="1" applyBorder="1" applyAlignment="1">
      <alignment horizontal="justify" vertical="center" wrapText="1"/>
    </xf>
    <xf numFmtId="0" fontId="264" fillId="0" borderId="181"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6" fillId="0" borderId="43" xfId="0" applyFont="1" applyBorder="1" applyAlignment="1">
      <alignment horizontal="justify" vertical="center" wrapText="1"/>
    </xf>
    <xf numFmtId="0" fontId="271" fillId="0" borderId="181" xfId="0" applyFont="1" applyBorder="1" applyAlignment="1">
      <alignment vertical="center" wrapText="1"/>
    </xf>
    <xf numFmtId="0" fontId="271" fillId="0" borderId="181" xfId="0" applyFont="1" applyBorder="1" applyAlignment="1">
      <alignment horizontal="justify" vertical="center" wrapText="1"/>
    </xf>
    <xf numFmtId="0" fontId="271" fillId="0" borderId="43" xfId="0" applyFont="1" applyBorder="1" applyAlignment="1">
      <alignment vertical="center" wrapText="1"/>
    </xf>
    <xf numFmtId="0" fontId="54" fillId="0" borderId="1" xfId="0" applyFont="1" applyBorder="1" applyAlignment="1">
      <alignment horizontal="left" vertical="center"/>
    </xf>
    <xf numFmtId="0" fontId="54" fillId="0" borderId="0" xfId="0" applyFont="1" applyAlignment="1">
      <alignment horizontal="left" vertical="center"/>
    </xf>
    <xf numFmtId="0" fontId="53" fillId="0" borderId="1" xfId="0" applyFont="1" applyBorder="1" applyAlignment="1">
      <alignment horizontal="left" vertical="center"/>
    </xf>
    <xf numFmtId="0" fontId="53" fillId="0" borderId="0" xfId="0" applyFont="1" applyAlignment="1">
      <alignment horizontal="left" vertical="center"/>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07" fillId="0" borderId="1" xfId="0" applyFont="1" applyFill="1" applyBorder="1" applyAlignment="1">
      <alignment horizontal="center" vertical="center"/>
    </xf>
    <xf numFmtId="43" fontId="107" fillId="5" borderId="1" xfId="19" applyFont="1" applyFill="1" applyBorder="1" applyAlignment="1">
      <alignment horizontal="center" vertical="center"/>
    </xf>
    <xf numFmtId="43" fontId="107" fillId="0" borderId="1" xfId="19" applyFont="1" applyFill="1" applyBorder="1" applyAlignment="1">
      <alignment horizontal="center" vertical="center" wrapText="1"/>
    </xf>
    <xf numFmtId="0" fontId="107" fillId="0" borderId="1" xfId="0" applyFont="1" applyFill="1" applyBorder="1" applyAlignment="1">
      <alignment horizontal="left" vertical="center" wrapText="1"/>
    </xf>
    <xf numFmtId="0" fontId="270" fillId="0" borderId="183" xfId="0" applyFont="1" applyBorder="1" applyAlignment="1">
      <alignment vertical="center" wrapText="1"/>
    </xf>
    <xf numFmtId="0" fontId="270" fillId="0" borderId="177" xfId="0" applyFont="1" applyBorder="1" applyAlignment="1">
      <alignmen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vertical="center"/>
    </xf>
    <xf numFmtId="0" fontId="0" fillId="0" borderId="0" xfId="0" applyAlignment="1">
      <alignment vertical="center"/>
    </xf>
    <xf numFmtId="10" fontId="113" fillId="5" borderId="1" xfId="1" applyNumberFormat="1" applyFont="1" applyFill="1" applyBorder="1" applyAlignment="1" applyProtection="1">
      <alignment horizontal="center" vertical="center"/>
      <protection locked="0"/>
    </xf>
    <xf numFmtId="176" fontId="47" fillId="12" borderId="0" xfId="0" applyNumberFormat="1" applyFont="1" applyFill="1" applyAlignment="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7;&#34920;-&#33322;&#28207;&#39033;&#30446;-&#22330;&#20869;&#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114107.98000000001</v>
          </cell>
          <cell r="D14">
            <v>215092</v>
          </cell>
        </row>
        <row r="15">
          <cell r="B15">
            <v>76920.23</v>
          </cell>
          <cell r="D15">
            <v>89166</v>
          </cell>
        </row>
        <row r="16">
          <cell r="B16">
            <v>121828.42000000001</v>
          </cell>
          <cell r="D16">
            <v>116698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估价对象为北京市房地产，为航港发展有限公司所有。根据《国有土地使用证》[]，估价对象（分摊）出让国有建设用地使用权面积为236852.67平方米，建筑面积为114107.98平方米。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估价对象为北京市房地产,属航港发展有限公司开发建设的，该项目尚在开发建设中。根据《国有土地使用证》[]，估价对象（分摊）出让国有建设用地使用权面积为236852.67平方米，规划建筑面积为114107.98平方米。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2023年6月29日（评估专业人员实地查勘之日）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215087</v>
      </c>
    </row>
    <row r="21" spans="1:2" s="1203" customFormat="1">
      <c r="A21" s="1201" t="s">
        <v>537</v>
      </c>
      <c r="B21" s="1202">
        <f ca="1">'预评函-2'!D7</f>
        <v>18849</v>
      </c>
    </row>
    <row r="22" spans="1:2" s="1203" customFormat="1">
      <c r="A22" s="1201" t="s">
        <v>538</v>
      </c>
      <c r="B22" s="1202" t="str">
        <f ca="1">'预评函-2'!D6</f>
        <v>贰拾壹亿伍仟零捌拾柒万元整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215087</v>
      </c>
    </row>
    <row r="31" spans="1:2" s="1203" customFormat="1">
      <c r="A31" s="1201" t="s">
        <v>576</v>
      </c>
      <c r="B31" s="1202">
        <f ca="1">'预评函-2'!D15</f>
        <v>18849</v>
      </c>
    </row>
    <row r="32" spans="1:2" s="1203" customFormat="1">
      <c r="A32" s="1201" t="s">
        <v>543</v>
      </c>
      <c r="B32" s="1202" t="str">
        <f ca="1">'预评函-2'!D14</f>
        <v>贰拾壹亿伍仟零捌拾柒万元整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114107.98000000001</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173827</v>
      </c>
    </row>
    <row r="48" spans="1:2" s="1203" customFormat="1">
      <c r="A48" s="1201" t="s">
        <v>549</v>
      </c>
      <c r="B48" s="1202">
        <f ca="1">'预评函-3'!E4</f>
        <v>15234</v>
      </c>
    </row>
    <row r="49" spans="1:2" s="1203" customFormat="1">
      <c r="A49" s="1201" t="s">
        <v>550</v>
      </c>
      <c r="B49" s="1202" t="str">
        <f ca="1">'预评函-3'!D5</f>
        <v>壹拾柒亿叁仟捌佰贰拾柒万元整</v>
      </c>
    </row>
    <row r="50" spans="1:2" s="1203" customFormat="1">
      <c r="A50" s="1201" t="s">
        <v>574</v>
      </c>
      <c r="B50" s="1202" t="str">
        <f>'预评函-3'!F2</f>
        <v>在建建筑物价值</v>
      </c>
    </row>
    <row r="51" spans="1:2" s="1203" customFormat="1">
      <c r="A51" s="1201" t="s">
        <v>551</v>
      </c>
      <c r="B51" s="1202">
        <f ca="1">'预评函-3'!F4</f>
        <v>41260</v>
      </c>
    </row>
    <row r="52" spans="1:2" s="1203" customFormat="1">
      <c r="A52" s="1201" t="s">
        <v>552</v>
      </c>
      <c r="B52" s="1202">
        <f ca="1">'预评函-3'!G4</f>
        <v>3616</v>
      </c>
    </row>
    <row r="53" spans="1:2" s="1203" customFormat="1">
      <c r="A53" s="1201" t="s">
        <v>580</v>
      </c>
      <c r="B53" s="1202" t="str">
        <f ca="1">'预评函-3'!F5</f>
        <v>肆亿壹仟贰佰陆拾万元整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9" t="s">
        <v>2584</v>
      </c>
      <c r="J2" s="3519"/>
      <c r="K2" s="3519"/>
      <c r="L2" s="3519"/>
      <c r="M2" s="3519"/>
      <c r="N2" s="3519"/>
      <c r="O2" s="3519"/>
      <c r="P2" s="3519"/>
      <c r="Q2" s="3519"/>
      <c r="R2" s="3519"/>
    </row>
    <row r="3" spans="1:18">
      <c r="A3" s="3019" t="s">
        <v>2505</v>
      </c>
      <c r="B3" s="3020">
        <f>项目基本情况!D3</f>
        <v>45106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13.48</v>
      </c>
      <c r="D6" s="3024">
        <f>IF(ISERROR(ROUND(POWER(1+E6,A6-C6)*(POWER(1+E6,C6)-1)/(POWER(1+E6,A6)-1),3)),0,ROUND(POWER(1+E6,A6-C6)*(POWER(1+E6,C6)-1)/(POWER(1+E6,A6)-1),4))</f>
        <v>0.47789999999999999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45106</v>
      </c>
      <c r="C3" s="2374" t="s">
        <v>2171</v>
      </c>
      <c r="D3" s="2373">
        <f>B3</f>
        <v>45106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ht="24">
      <c r="A7" s="2383" t="s">
        <v>2175</v>
      </c>
      <c r="B7" s="3449" t="s">
        <v>3381</v>
      </c>
      <c r="C7" s="2385"/>
      <c r="D7" s="2386"/>
      <c r="E7" s="2661"/>
      <c r="F7" s="2663"/>
      <c r="G7" s="2663"/>
      <c r="H7" s="2663"/>
      <c r="I7" s="2663"/>
      <c r="J7" s="2438"/>
      <c r="K7" s="2615"/>
      <c r="L7" s="2612"/>
      <c r="M7" s="2612"/>
      <c r="N7" s="2438"/>
      <c r="O7" s="2449"/>
      <c r="P7" s="2438"/>
      <c r="Q7" s="2438"/>
      <c r="R7" s="2438"/>
    </row>
    <row r="8" spans="1:30">
      <c r="A8" s="2387" t="s">
        <v>2176</v>
      </c>
      <c r="B8" s="2388" t="s">
        <v>3382</v>
      </c>
      <c r="C8" s="2389"/>
      <c r="D8" s="3523"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524"/>
      <c r="E9" s="2393" t="s">
        <v>43</v>
      </c>
      <c r="F9" s="2395"/>
      <c r="G9" s="2664"/>
      <c r="H9" s="2664"/>
      <c r="I9" s="2664"/>
      <c r="J9" s="2438"/>
      <c r="K9" s="2615"/>
      <c r="L9" s="2612"/>
      <c r="M9" s="2612"/>
      <c r="N9" s="2438"/>
      <c r="O9" s="2449"/>
      <c r="P9" s="2438"/>
      <c r="Q9" s="2438"/>
      <c r="R9" s="2438"/>
    </row>
    <row r="10" spans="1:30" ht="13.5" thickTop="1">
      <c r="A10" s="2396" t="s">
        <v>2179</v>
      </c>
      <c r="B10" s="2397" t="s">
        <v>3384</v>
      </c>
      <c r="C10" s="2398"/>
      <c r="D10" s="2382"/>
      <c r="E10" s="2399" t="s">
        <v>2180</v>
      </c>
      <c r="F10" s="2665"/>
      <c r="G10" s="2666"/>
      <c r="H10" s="2667"/>
      <c r="I10" s="2668"/>
      <c r="J10" s="2438"/>
      <c r="K10" s="2615"/>
      <c r="L10" s="2612"/>
      <c r="M10" s="2612"/>
      <c r="N10" s="2438"/>
      <c r="O10" s="2449"/>
      <c r="P10" s="2438"/>
      <c r="Q10" s="2438"/>
      <c r="R10" s="2438"/>
    </row>
    <row r="11" spans="1:30" ht="25.5">
      <c r="A11" s="2400" t="s">
        <v>2181</v>
      </c>
      <c r="B11" s="2401" t="s">
        <v>3385</v>
      </c>
      <c r="C11" s="2402" t="str">
        <f>B7</f>
        <v>航港发展有限公司</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c r="F13" s="856"/>
      <c r="G13" s="856"/>
      <c r="H13" s="856">
        <v>57180</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33.07</v>
      </c>
      <c r="I15" s="2409" t="str">
        <f>IF(A13="出让",IF(I13="","",ROUNDDOWN(MIN((I13-$D$3)/365,I14),2)),I14)</f>
        <v/>
      </c>
      <c r="J15" s="3063"/>
      <c r="K15" s="2450"/>
      <c r="L15" s="2450"/>
      <c r="M15" s="2508"/>
      <c r="N15" s="2450"/>
      <c r="O15" s="2508"/>
      <c r="P15" s="2438"/>
      <c r="Q15" s="2438"/>
      <c r="AD15" s="1745"/>
    </row>
    <row r="16" spans="1:30">
      <c r="A16" s="2399" t="s">
        <v>2193</v>
      </c>
      <c r="B16" s="3530"/>
      <c r="C16" s="3531"/>
      <c r="D16" s="3532"/>
      <c r="E16" s="2412" t="s">
        <v>2194</v>
      </c>
      <c r="F16" s="3533"/>
      <c r="G16" s="3534"/>
      <c r="H16" s="3534"/>
      <c r="I16" s="3535"/>
      <c r="J16" s="2438"/>
      <c r="K16" s="2616"/>
      <c r="L16" s="2450"/>
      <c r="M16" s="2450"/>
      <c r="N16" s="2508"/>
      <c r="O16" s="2450"/>
      <c r="P16" s="2508"/>
      <c r="Q16" s="2438"/>
      <c r="R16" s="2438"/>
    </row>
    <row r="17" spans="1:28">
      <c r="A17" s="313" t="s">
        <v>2195</v>
      </c>
      <c r="B17" s="302" t="s">
        <v>2196</v>
      </c>
      <c r="C17" s="8">
        <f>'数据-汇总表'!E3</f>
        <v>114107.98000000001</v>
      </c>
      <c r="D17" s="2322" t="s">
        <v>2197</v>
      </c>
      <c r="E17" s="3536" t="s">
        <v>2198</v>
      </c>
      <c r="F17" s="3537"/>
      <c r="G17" s="3537"/>
      <c r="H17" s="3537"/>
      <c r="I17" s="353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236852.67</v>
      </c>
      <c r="D18" s="1092" t="s">
        <v>2201</v>
      </c>
      <c r="E18" s="3539" t="s">
        <v>2202</v>
      </c>
      <c r="F18" s="3540"/>
      <c r="G18" s="3540"/>
      <c r="H18" s="3540"/>
      <c r="I18" s="3541"/>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6" t="s">
        <v>2206</v>
      </c>
      <c r="C20" s="3527"/>
      <c r="D20" s="3528" t="s">
        <v>2207</v>
      </c>
      <c r="E20" s="3529"/>
      <c r="F20" s="2646" t="s">
        <v>1056</v>
      </c>
      <c r="G20" s="2663"/>
      <c r="H20" s="2663"/>
      <c r="I20" s="2663"/>
      <c r="J20" s="2438"/>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2218</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2" t="s">
        <v>2228</v>
      </c>
      <c r="T34" s="2427" t="str">
        <f>NUMBERSTRING(7-K34,1)&amp;"通"</f>
        <v>七通</v>
      </c>
      <c r="U34" s="2438"/>
      <c r="V34" s="2438"/>
    </row>
    <row r="35" spans="1:30">
      <c r="A35" s="2428"/>
      <c r="B35" s="3549" t="s">
        <v>2229</v>
      </c>
      <c r="C35" s="3549"/>
      <c r="D35" s="3549"/>
      <c r="E35" s="354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2231</v>
      </c>
      <c r="B38" s="2431"/>
      <c r="C38" s="2431"/>
      <c r="D38" s="2431"/>
      <c r="E38" s="2431" t="s">
        <v>3386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G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111551.34+125301.33</f>
        <v>236852.66999999998</v>
      </c>
      <c r="B3" s="11">
        <f>IF(C3="否",G5-AT5,G5)</f>
        <v>114107.98000000001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114107.98000000001</v>
      </c>
      <c r="H5" s="13">
        <f t="shared" ref="H5:AT5" si="0">SUM(H13:H656)</f>
        <v>114107.98000000001</v>
      </c>
      <c r="I5" s="13">
        <f t="shared" si="0"/>
        <v>114107.98000000001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114107.98000000001</v>
      </c>
      <c r="BA5" s="15">
        <f t="shared" si="1"/>
        <v>114107.98000000001</v>
      </c>
      <c r="BB5" s="15">
        <f t="shared" si="1"/>
        <v>114107.98000000001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t="s">
        <v>3459</v>
      </c>
      <c r="C13" s="1051" t="s">
        <v>3460</v>
      </c>
      <c r="D13" s="1625" t="s">
        <v>3462</v>
      </c>
      <c r="E13" s="13">
        <f>IF($C$3="是",ROUND($A$3*G13/$B$3,2),ROUND($A$3*(G13-AT13)/$B$3,2))</f>
        <v>123966.83</v>
      </c>
      <c r="F13" s="29"/>
      <c r="G13" s="30">
        <f>H13+AC13+AT13</f>
        <v>59723.22</v>
      </c>
      <c r="H13" s="17">
        <f>SUMIF(I$12:AB$12,"总值",I13:AB13)</f>
        <v>59723.22</v>
      </c>
      <c r="I13" s="1626">
        <f>面积清单!G3</f>
        <v>59723.22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BGS</v>
      </c>
      <c r="AX13" s="8" t="str">
        <f t="shared" si="6"/>
        <v>A103、A104、办公楼</v>
      </c>
      <c r="AY13" s="1349">
        <f>ROUND($AY$6*AZ13/$AZ$5,2)</f>
        <v>123966.83</v>
      </c>
      <c r="AZ13" s="13">
        <f>BA13+BL13</f>
        <v>59723.22</v>
      </c>
      <c r="BA13" s="13">
        <f>SUM(BB13:BK13)</f>
        <v>59723.22</v>
      </c>
      <c r="BB13" s="13">
        <f>IF($D13="是",I13-J13,0)</f>
        <v>59723.22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3459</v>
      </c>
      <c r="C14" s="1570" t="s">
        <v>3405</v>
      </c>
      <c r="D14" s="1625" t="s">
        <v>3462</v>
      </c>
      <c r="E14" s="13">
        <f>IF($C$3="是",ROUND($A$3*G14/$B$3,2),ROUND($A$3*(G14-AT14)/$B$3,2))</f>
        <v>1334.5</v>
      </c>
      <c r="F14" s="29"/>
      <c r="G14" s="30">
        <f>H14+AC14+AT14</f>
        <v>642.91999999999996</v>
      </c>
      <c r="H14" s="17">
        <f>SUMIF(I$12:AB$12,"总值",I14:AB14)</f>
        <v>642.91999999999996</v>
      </c>
      <c r="I14" s="1626">
        <f>面积清单!G6</f>
        <v>642.91999999999996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BGS</v>
      </c>
      <c r="AX14" s="8" t="str">
        <f t="shared" si="6"/>
        <v>A105</v>
      </c>
      <c r="AY14" s="1349">
        <f>ROUND($AY$6*AZ14/$AZ$5,2)</f>
        <v>1334.5</v>
      </c>
      <c r="AZ14" s="13">
        <f>BA14+BL14</f>
        <v>642.91999999999996</v>
      </c>
      <c r="BA14" s="13">
        <f>SUM(BB14:BK14)</f>
        <v>642.91999999999996</v>
      </c>
      <c r="BB14" s="13">
        <f>IF($D14="是",I14-J14,0)</f>
        <v>642.91999999999996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
        <v>3406</v>
      </c>
      <c r="C15" s="1570" t="s">
        <v>3407</v>
      </c>
      <c r="D15" s="1625" t="s">
        <v>3462</v>
      </c>
      <c r="E15" s="13">
        <f>IF($C$3="是",ROUND($A$3*G15/$B$3,2),ROUND($A$3*(G15-AT15)/$B$3,2))</f>
        <v>56652.69</v>
      </c>
      <c r="F15" s="29"/>
      <c r="G15" s="30">
        <f>H15+AC15+AT15</f>
        <v>27293.439999999999</v>
      </c>
      <c r="H15" s="17">
        <f>SUMIF(I$12:AB$12,"总值",I15:AB15)</f>
        <v>27293.439999999999</v>
      </c>
      <c r="I15" s="1626">
        <f>面积清单!G7</f>
        <v>27293.439999999999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快件中心</v>
      </c>
      <c r="AX15" s="8" t="str">
        <f t="shared" si="6"/>
        <v>1#快件中心（A203）</v>
      </c>
      <c r="AY15" s="1349">
        <f>ROUND($AY$6*AZ15/$AZ$5,2)</f>
        <v>56652.69</v>
      </c>
      <c r="AZ15" s="13">
        <f>BA15+BL15</f>
        <v>27293.439999999999</v>
      </c>
      <c r="BA15" s="13">
        <f>SUM(BB15:BK15)</f>
        <v>27293.439999999999</v>
      </c>
      <c r="BB15" s="13">
        <f>IF($D15="是",I15-J15,0)</f>
        <v>27293.439999999999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38.25">
      <c r="A16" s="1051"/>
      <c r="B16" s="1051" t="s">
        <v>3406</v>
      </c>
      <c r="C16" s="1570" t="s">
        <v>3461</v>
      </c>
      <c r="D16" s="1625" t="s">
        <v>3462</v>
      </c>
      <c r="E16" s="13">
        <f>IF($C$3="是",ROUND($A$3*G16/$B$3,2),ROUND($A$3*(G16-AT16)/$B$3,2))</f>
        <v>54898.65</v>
      </c>
      <c r="F16" s="29"/>
      <c r="G16" s="30">
        <f>H16+AC16+AT16</f>
        <v>26448.400000000001</v>
      </c>
      <c r="H16" s="17">
        <f>SUMIF(I$12:AB$12,"总值",I16:AB16)</f>
        <v>26448.400000000001</v>
      </c>
      <c r="I16" s="1626">
        <f>面积清单!G8</f>
        <v>26448.400000000001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快件中心</v>
      </c>
      <c r="AX16" s="8" t="str">
        <f t="shared" si="6"/>
        <v>2#快件中心及综合办公楼（A204）</v>
      </c>
      <c r="AY16" s="1349">
        <f>ROUND($AY$6*AZ16/$AZ$5,2)</f>
        <v>54898.65</v>
      </c>
      <c r="AZ16" s="13">
        <f>BA16+BL16</f>
        <v>26448.400000000001</v>
      </c>
      <c r="BA16" s="13">
        <f>SUM(BB16:BK16)</f>
        <v>26448.400000000001</v>
      </c>
      <c r="BB16" s="13">
        <f>IF($D16="是",I16-J16,0)</f>
        <v>26448.400000000001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workbookViewId="0">
      <selection activeCell="G7" sqref="G7:G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450" t="s">
        <v>3387</v>
      </c>
      <c r="J1" s="3450" t="s">
        <v>3388</v>
      </c>
    </row>
    <row r="2" spans="1:12">
      <c r="A2" s="3451" t="s">
        <v>3389</v>
      </c>
      <c r="B2" s="3451" t="s">
        <v>3390</v>
      </c>
      <c r="C2" s="3451" t="s">
        <v>3391</v>
      </c>
      <c r="D2" s="3451" t="s">
        <v>3392</v>
      </c>
      <c r="E2" s="3451" t="s">
        <v>3393</v>
      </c>
      <c r="F2" s="3452" t="s">
        <v>3394</v>
      </c>
      <c r="G2" s="3451" t="s">
        <v>3395</v>
      </c>
      <c r="H2" s="3451" t="s">
        <v>3396</v>
      </c>
    </row>
    <row r="3" spans="1:12">
      <c r="A3" s="3550" t="s">
        <v>3397</v>
      </c>
      <c r="B3" s="3551">
        <v>1056185.3999999999</v>
      </c>
      <c r="C3" s="3552" t="s">
        <v>3398</v>
      </c>
      <c r="D3" s="3453" t="s">
        <v>3399</v>
      </c>
      <c r="E3" s="3454">
        <v>80008.929999999993</v>
      </c>
      <c r="F3" s="3455">
        <v>23255.32</v>
      </c>
      <c r="G3" s="3553">
        <v>59723.22</v>
      </c>
      <c r="H3" s="3554" t="s">
        <v>3400</v>
      </c>
      <c r="I3">
        <v>4.758</v>
      </c>
      <c r="J3" s="3450" t="s">
        <v>3401</v>
      </c>
    </row>
    <row r="4" spans="1:12">
      <c r="A4" s="3551"/>
      <c r="B4" s="3551"/>
      <c r="C4" s="3552"/>
      <c r="D4" s="3453" t="s">
        <v>3402</v>
      </c>
      <c r="E4" s="3454">
        <v>80008.929999999993</v>
      </c>
      <c r="F4" s="3455">
        <v>23254.07</v>
      </c>
      <c r="G4" s="3553"/>
      <c r="H4" s="3554"/>
      <c r="I4">
        <v>4.758</v>
      </c>
      <c r="J4" s="3450" t="s">
        <v>3401</v>
      </c>
      <c r="L4" s="3456">
        <f>4.7*(G3+G6)+6.2*6000+5.1*(G7+G8-6000)</f>
        <v>564404.24199999997</v>
      </c>
    </row>
    <row r="5" spans="1:12">
      <c r="A5" s="3551"/>
      <c r="B5" s="3551"/>
      <c r="C5" s="3552"/>
      <c r="D5" s="3453" t="s">
        <v>3403</v>
      </c>
      <c r="E5" s="3454">
        <v>12992.66</v>
      </c>
      <c r="F5" s="3455">
        <v>12673.96</v>
      </c>
      <c r="G5" s="3553"/>
      <c r="H5" s="3554"/>
      <c r="I5">
        <v>4.758</v>
      </c>
      <c r="J5" s="3450" t="s">
        <v>3404</v>
      </c>
      <c r="L5" s="3456">
        <f>L4/(G3+G6+G7+G8)</f>
        <v>4.9462293697601156</v>
      </c>
    </row>
    <row r="6" spans="1:12">
      <c r="A6" s="3551"/>
      <c r="B6" s="3551"/>
      <c r="C6" s="3552"/>
      <c r="D6" s="3453" t="s">
        <v>3405</v>
      </c>
      <c r="E6" s="3454">
        <v>2473.4499999999998</v>
      </c>
      <c r="F6" s="3454">
        <v>642.91999999999996</v>
      </c>
      <c r="G6" s="3454">
        <v>642.91999999999996</v>
      </c>
      <c r="H6" s="3554"/>
      <c r="I6">
        <v>4.758</v>
      </c>
      <c r="J6" s="3450" t="s">
        <v>3401</v>
      </c>
    </row>
    <row r="7" spans="1:12">
      <c r="A7" s="3551"/>
      <c r="B7" s="3551"/>
      <c r="C7" s="3552" t="s">
        <v>3406</v>
      </c>
      <c r="D7" s="3453" t="s">
        <v>3407</v>
      </c>
      <c r="E7" s="3454">
        <v>53610.84</v>
      </c>
      <c r="F7" s="3455">
        <v>26448.400000000001</v>
      </c>
      <c r="G7" s="3455">
        <v>27293.439999999999</v>
      </c>
      <c r="H7" s="3554" t="s">
        <v>3408</v>
      </c>
      <c r="I7">
        <v>5.0999999999999996</v>
      </c>
    </row>
    <row r="8" spans="1:12">
      <c r="A8" s="3551"/>
      <c r="B8" s="3551"/>
      <c r="C8" s="3552"/>
      <c r="D8" s="3555" t="s">
        <v>3409</v>
      </c>
      <c r="E8" s="3454">
        <v>40066.28</v>
      </c>
      <c r="F8" s="3455">
        <v>19345.399999999998</v>
      </c>
      <c r="G8" s="3553">
        <v>26448.400000000001</v>
      </c>
      <c r="H8" s="3554"/>
      <c r="I8" s="3450" t="s">
        <v>3410</v>
      </c>
      <c r="J8" s="3450" t="s">
        <v>3411</v>
      </c>
    </row>
    <row r="9" spans="1:12">
      <c r="A9" s="3551"/>
      <c r="B9" s="3551"/>
      <c r="C9" s="3552"/>
      <c r="D9" s="3555"/>
      <c r="E9" s="3454">
        <v>13544.56</v>
      </c>
      <c r="F9" s="3455">
        <v>7948.0400000000009</v>
      </c>
      <c r="G9" s="3553"/>
      <c r="H9" s="3554"/>
    </row>
    <row r="10" spans="1:12" ht="13.5" customHeight="1">
      <c r="A10" s="3558" t="s">
        <v>3412</v>
      </c>
      <c r="B10" s="3559">
        <v>356119.31</v>
      </c>
      <c r="C10" s="3559" t="s">
        <v>3413</v>
      </c>
      <c r="D10" s="3453" t="s">
        <v>3414</v>
      </c>
      <c r="E10" s="3454">
        <v>4228.22</v>
      </c>
      <c r="F10" s="3454">
        <v>5378.09</v>
      </c>
      <c r="G10" s="3454">
        <v>5378.09</v>
      </c>
      <c r="H10" s="3554" t="s">
        <v>3415</v>
      </c>
      <c r="I10" s="3457"/>
    </row>
    <row r="11" spans="1:12">
      <c r="A11" s="3559"/>
      <c r="B11" s="3559"/>
      <c r="C11" s="3559"/>
      <c r="D11" s="3453" t="s">
        <v>3416</v>
      </c>
      <c r="E11" s="3454">
        <v>38013.03</v>
      </c>
      <c r="F11" s="3454">
        <v>16157.68</v>
      </c>
      <c r="G11" s="3454">
        <v>16157.68</v>
      </c>
      <c r="H11" s="3554"/>
      <c r="I11" s="3450" t="s">
        <v>3417</v>
      </c>
    </row>
    <row r="12" spans="1:12">
      <c r="A12" s="3559"/>
      <c r="B12" s="3559"/>
      <c r="C12" s="3559"/>
      <c r="D12" s="3453" t="s">
        <v>3418</v>
      </c>
      <c r="E12" s="3454">
        <v>24162.3</v>
      </c>
      <c r="F12" s="3454">
        <v>10304.969999999999</v>
      </c>
      <c r="G12" s="3454">
        <v>10304.969999999999</v>
      </c>
      <c r="H12" s="3554"/>
      <c r="I12" s="3450" t="s">
        <v>3419</v>
      </c>
      <c r="J12" s="3450" t="s">
        <v>3420</v>
      </c>
    </row>
    <row r="13" spans="1:12">
      <c r="A13" s="3559"/>
      <c r="B13" s="3559"/>
      <c r="C13" s="3559"/>
      <c r="D13" s="3453" t="s">
        <v>3421</v>
      </c>
      <c r="E13" s="3454">
        <v>38844.22</v>
      </c>
      <c r="F13" s="3454">
        <v>16491.53</v>
      </c>
      <c r="G13" s="3454">
        <v>16491.53</v>
      </c>
      <c r="H13" s="3554"/>
    </row>
    <row r="14" spans="1:12">
      <c r="A14" s="3559"/>
      <c r="B14" s="3559"/>
      <c r="C14" s="3559"/>
      <c r="D14" s="3453" t="s">
        <v>3422</v>
      </c>
      <c r="E14" s="3454">
        <v>33040.35</v>
      </c>
      <c r="F14" s="3454">
        <v>14111.27</v>
      </c>
      <c r="G14" s="3454">
        <v>14111.27</v>
      </c>
      <c r="H14" s="3554"/>
    </row>
    <row r="15" spans="1:12">
      <c r="A15" s="3559"/>
      <c r="B15" s="3559"/>
      <c r="C15" s="3559"/>
      <c r="D15" s="3453" t="s">
        <v>3423</v>
      </c>
      <c r="E15" s="3454">
        <v>49650.47</v>
      </c>
      <c r="F15" s="3454">
        <v>14476.69</v>
      </c>
      <c r="G15" s="3454">
        <v>14476.69</v>
      </c>
      <c r="H15" s="3458" t="s">
        <v>3424</v>
      </c>
    </row>
    <row r="16" spans="1:12">
      <c r="A16" s="3558" t="s">
        <v>3425</v>
      </c>
      <c r="B16" s="3559">
        <v>167318.6</v>
      </c>
      <c r="C16" s="3559" t="s">
        <v>3426</v>
      </c>
      <c r="D16" s="3453" t="s">
        <v>3427</v>
      </c>
      <c r="E16" s="3454">
        <v>38023.910000000003</v>
      </c>
      <c r="F16" s="3454">
        <v>21151.99</v>
      </c>
      <c r="G16" s="3454">
        <v>21151.99</v>
      </c>
      <c r="H16" s="3554" t="s">
        <v>3428</v>
      </c>
      <c r="I16" s="3450" t="s">
        <v>3429</v>
      </c>
      <c r="J16" s="3450" t="s">
        <v>3430</v>
      </c>
    </row>
    <row r="17" spans="1:13">
      <c r="A17" s="3559"/>
      <c r="B17" s="3559"/>
      <c r="C17" s="3559"/>
      <c r="D17" s="3453" t="s">
        <v>3431</v>
      </c>
      <c r="E17" s="3454">
        <v>40375.760000000002</v>
      </c>
      <c r="F17" s="3454">
        <v>19965.59</v>
      </c>
      <c r="G17" s="3454">
        <v>19965.59</v>
      </c>
      <c r="H17" s="3554"/>
      <c r="I17" s="3450" t="s">
        <v>3432</v>
      </c>
    </row>
    <row r="18" spans="1:13">
      <c r="A18" s="3559"/>
      <c r="B18" s="3559"/>
      <c r="C18" s="3559"/>
      <c r="D18" s="3453" t="s">
        <v>3433</v>
      </c>
      <c r="E18" s="3454">
        <v>22250.93</v>
      </c>
      <c r="F18" s="3454">
        <v>20130.16</v>
      </c>
      <c r="G18" s="3454">
        <v>20130.16</v>
      </c>
      <c r="H18" s="3554" t="s">
        <v>3434</v>
      </c>
    </row>
    <row r="19" spans="1:13">
      <c r="A19" s="3559"/>
      <c r="B19" s="3559"/>
      <c r="C19" s="3559"/>
      <c r="D19" s="3453" t="s">
        <v>3435</v>
      </c>
      <c r="E19" s="3454">
        <v>33334</v>
      </c>
      <c r="F19" s="3454">
        <v>29901.88</v>
      </c>
      <c r="G19" s="3454">
        <v>29901.88</v>
      </c>
      <c r="H19" s="3554"/>
    </row>
    <row r="20" spans="1:13">
      <c r="A20" s="3559"/>
      <c r="B20" s="3559"/>
      <c r="C20" s="3559"/>
      <c r="D20" s="3453" t="s">
        <v>3436</v>
      </c>
      <c r="E20" s="3454">
        <v>33334</v>
      </c>
      <c r="F20" s="3454">
        <v>29901.88</v>
      </c>
      <c r="G20" s="3454">
        <v>29901.88</v>
      </c>
      <c r="H20" s="3554"/>
    </row>
    <row r="21" spans="1:13">
      <c r="A21" s="3559"/>
      <c r="B21" s="3559"/>
      <c r="C21" s="3559"/>
      <c r="D21" s="3453" t="s">
        <v>3437</v>
      </c>
      <c r="E21" s="3454"/>
      <c r="F21" s="3454">
        <v>757.38</v>
      </c>
      <c r="G21" s="3454">
        <v>757.38</v>
      </c>
      <c r="H21" s="3554"/>
    </row>
    <row r="22" spans="1:13">
      <c r="A22" s="3559"/>
      <c r="B22" s="3559"/>
      <c r="C22" s="3559"/>
      <c r="D22" s="3453" t="s">
        <v>3438</v>
      </c>
      <c r="E22" s="3454"/>
      <c r="F22" s="3454">
        <v>19.54</v>
      </c>
      <c r="G22" s="3454">
        <v>19.54</v>
      </c>
      <c r="H22" s="3554"/>
    </row>
    <row r="23" spans="1:13">
      <c r="E23" s="3456">
        <f>SUM(E3:E22)</f>
        <v>637962.84</v>
      </c>
      <c r="F23" s="3456">
        <f>SUM(F3:F22)</f>
        <v>312316.75999999995</v>
      </c>
      <c r="G23" s="3456">
        <f>SUM(G3:G22)</f>
        <v>312856.62999999995</v>
      </c>
    </row>
    <row r="26" spans="1:13" ht="14.25" thickBot="1">
      <c r="D26" s="3450"/>
      <c r="E26" s="3450"/>
      <c r="F26" s="3450"/>
      <c r="G26" s="3450"/>
      <c r="H26" s="3450"/>
      <c r="I26" s="3450"/>
      <c r="J26" s="3450"/>
      <c r="K26" s="3450"/>
      <c r="L26" s="3450"/>
      <c r="M26" s="3450"/>
    </row>
    <row r="27" spans="1:13" ht="14.25" thickBot="1">
      <c r="B27" s="3459" t="s">
        <v>3439</v>
      </c>
      <c r="C27" s="3460" t="s">
        <v>3440</v>
      </c>
      <c r="D27" s="3460" t="s">
        <v>3441</v>
      </c>
      <c r="E27" s="3461" t="s">
        <v>3442</v>
      </c>
      <c r="F27" s="3462" t="s">
        <v>3443</v>
      </c>
      <c r="G27" s="3463" t="s">
        <v>3444</v>
      </c>
      <c r="H27" s="3464" t="s">
        <v>3445</v>
      </c>
      <c r="J27" s="3450"/>
      <c r="K27" s="3450"/>
      <c r="L27" s="3450"/>
    </row>
    <row r="28" spans="1:13" ht="39" thickBot="1">
      <c r="B28" s="3465">
        <v>1</v>
      </c>
      <c r="C28" s="3466" t="s">
        <v>3446</v>
      </c>
      <c r="D28" s="3467">
        <v>125301.33</v>
      </c>
      <c r="E28" s="3468">
        <v>60366.14</v>
      </c>
      <c r="F28" s="3469">
        <f>ROUND(H28*E28/10000,0)</f>
        <v>113789</v>
      </c>
      <c r="G28" s="3467" t="s">
        <v>3447</v>
      </c>
      <c r="H28" s="3450">
        <f>ROUND([2]系统读取表!D14*10000/[2]系统读取表!B14,2)</f>
        <v>18849.86</v>
      </c>
    </row>
    <row r="29" spans="1:13" ht="39" thickBot="1">
      <c r="B29" s="3465">
        <v>2</v>
      </c>
      <c r="C29" s="3466" t="s">
        <v>3448</v>
      </c>
      <c r="D29" s="3467">
        <v>111551.34</v>
      </c>
      <c r="E29" s="3467">
        <v>53741.84</v>
      </c>
      <c r="F29" s="3469">
        <f>ROUND(H29*E29/10000,0)</f>
        <v>101303</v>
      </c>
      <c r="G29" s="3467" t="s">
        <v>3449</v>
      </c>
      <c r="H29" s="3450">
        <f>H28</f>
        <v>18849.86</v>
      </c>
    </row>
    <row r="30" spans="1:13" ht="39" thickBot="1">
      <c r="B30" s="3465">
        <v>3</v>
      </c>
      <c r="C30" s="3466" t="s">
        <v>3450</v>
      </c>
      <c r="D30" s="3467">
        <v>113858.4</v>
      </c>
      <c r="E30" s="3467">
        <v>62443.54</v>
      </c>
      <c r="F30" s="3469">
        <f t="shared" ref="F30:F33" si="0">ROUND(H30*E30/10000,0)</f>
        <v>72385</v>
      </c>
      <c r="G30" s="3467" t="s">
        <v>3451</v>
      </c>
      <c r="H30">
        <f>ROUND([2]系统读取表!D15*10000/[2]系统读取表!B15,2)</f>
        <v>11592.01</v>
      </c>
    </row>
    <row r="31" spans="1:13" ht="26.25" thickBot="1">
      <c r="B31" s="3465">
        <v>4</v>
      </c>
      <c r="C31" s="3466" t="s">
        <v>3452</v>
      </c>
      <c r="D31" s="3467">
        <v>26396.53</v>
      </c>
      <c r="E31" s="3467">
        <v>14476.69</v>
      </c>
      <c r="F31" s="3469">
        <f t="shared" si="0"/>
        <v>16781</v>
      </c>
      <c r="G31" s="3467" t="s">
        <v>3453</v>
      </c>
      <c r="H31">
        <f>H30</f>
        <v>11592.01</v>
      </c>
    </row>
    <row r="32" spans="1:13" ht="39" thickBot="1">
      <c r="B32" s="3465">
        <v>5</v>
      </c>
      <c r="C32" s="3466" t="s">
        <v>3454</v>
      </c>
      <c r="D32" s="3467">
        <v>78399.67</v>
      </c>
      <c r="E32" s="3467">
        <v>41117.58</v>
      </c>
      <c r="F32" s="3469">
        <f t="shared" si="0"/>
        <v>39386</v>
      </c>
      <c r="G32" s="3467" t="s">
        <v>3455</v>
      </c>
      <c r="H32">
        <f>ROUND([2]系统读取表!D16*10000/[2]系统读取表!B16,2)</f>
        <v>9578.8799999999992</v>
      </c>
    </row>
    <row r="33" spans="2:8" ht="39" thickBot="1">
      <c r="B33" s="3465">
        <v>6</v>
      </c>
      <c r="C33" s="3466" t="s">
        <v>3456</v>
      </c>
      <c r="D33" s="3467">
        <v>88918.93</v>
      </c>
      <c r="E33" s="3467">
        <v>80710.84</v>
      </c>
      <c r="F33" s="3469">
        <f t="shared" si="0"/>
        <v>77312</v>
      </c>
      <c r="G33" s="3467" t="s">
        <v>3457</v>
      </c>
      <c r="H33">
        <f>H32</f>
        <v>9578.8799999999992</v>
      </c>
    </row>
    <row r="34" spans="2:8" ht="14.25" thickBot="1">
      <c r="B34" s="3556" t="s">
        <v>3458</v>
      </c>
      <c r="C34" s="3557"/>
      <c r="D34" s="3470">
        <v>544426.19999999995</v>
      </c>
      <c r="E34" s="3470">
        <v>312856.63</v>
      </c>
      <c r="F34" s="3471">
        <f>SUM(F28:F33)</f>
        <v>420956</v>
      </c>
      <c r="G34" s="3472" t="s">
        <v>43</v>
      </c>
    </row>
  </sheetData>
  <mergeCells count="19">
    <mergeCell ref="B34:C34"/>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8"/>
      <c r="G2" s="2649"/>
      <c r="H2" s="2650"/>
      <c r="I2" s="2325" t="s">
        <v>1132</v>
      </c>
      <c r="J2" s="2658"/>
      <c r="K2" s="2658"/>
      <c r="L2" s="2658"/>
      <c r="M2" s="2658"/>
      <c r="N2" s="2660"/>
      <c r="O2" s="2658"/>
      <c r="P2" s="2658"/>
    </row>
    <row r="3" spans="1:16" ht="15.75" thickBot="1">
      <c r="A3" s="3570" t="s">
        <v>1105</v>
      </c>
      <c r="B3" s="3570"/>
      <c r="C3" s="3570"/>
      <c r="D3" s="43">
        <f>'数据-基础表'!AY6</f>
        <v>236852.67</v>
      </c>
      <c r="E3" s="43">
        <f>'数据-基础表'!AZ5</f>
        <v>114107.98000000001</v>
      </c>
      <c r="F3" s="2658"/>
      <c r="G3" s="1145"/>
      <c r="H3" s="1026" t="s">
        <v>1106</v>
      </c>
      <c r="I3" s="855">
        <f>ROUND('数据-基础表'!B3/'数据-基础表'!A3,2)</f>
        <v>0.48</v>
      </c>
      <c r="J3" s="2658"/>
      <c r="K3" s="2658"/>
      <c r="L3" s="2658"/>
      <c r="M3" s="2658"/>
      <c r="N3" s="2660"/>
      <c r="O3" s="2658"/>
      <c r="P3" s="2658"/>
    </row>
    <row r="4" spans="1:16" ht="15">
      <c r="A4" s="3571"/>
      <c r="B4" s="3572"/>
      <c r="C4" s="3573"/>
      <c r="D4" s="1641" t="s">
        <v>1107</v>
      </c>
      <c r="E4" s="1642" t="s">
        <v>1108</v>
      </c>
      <c r="F4" s="2658"/>
      <c r="G4" s="2651" t="s">
        <v>1133</v>
      </c>
      <c r="H4" s="1026" t="s">
        <v>1113</v>
      </c>
      <c r="I4" s="855">
        <f>ROUND(SUMIF('数据-基础表'!I9:AS9,"地上",'数据-基础表'!I5:AS5)/'数据-基础表'!A3,2)</f>
        <v>0.48</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5"/>
      <c r="H5" s="1026" t="s">
        <v>1106</v>
      </c>
      <c r="I5" s="855">
        <f>ROUND(E31/D31,2)</f>
        <v>0.48</v>
      </c>
      <c r="J5" s="2658"/>
      <c r="K5" s="2658"/>
      <c r="L5" s="2658"/>
      <c r="M5" s="2658"/>
      <c r="N5" s="2658"/>
      <c r="O5" s="2658"/>
      <c r="P5" s="2658"/>
    </row>
    <row r="6" spans="1:16" ht="15" thickBot="1">
      <c r="A6" s="1644"/>
      <c r="B6" s="3574" t="s">
        <v>1111</v>
      </c>
      <c r="C6" s="3574"/>
      <c r="D6" s="45">
        <f>ROUND($D$3*E6/$E$3,2)</f>
        <v>236852.67</v>
      </c>
      <c r="E6" s="46">
        <f>E3-E5</f>
        <v>114107.98000000001</v>
      </c>
      <c r="F6" s="2658"/>
      <c r="G6" s="2652" t="s">
        <v>1112</v>
      </c>
      <c r="H6" s="1146" t="s">
        <v>1113</v>
      </c>
      <c r="I6" s="2653">
        <f>ROUND(F31/D31,2)</f>
        <v>0.48</v>
      </c>
      <c r="J6" s="2658"/>
      <c r="K6" s="2658"/>
      <c r="L6" s="2658"/>
      <c r="M6" s="2658"/>
      <c r="N6" s="2658"/>
      <c r="O6" s="2658"/>
      <c r="P6" s="2658"/>
    </row>
    <row r="7" spans="1:16" ht="15.75" thickBot="1">
      <c r="A7" s="3566"/>
      <c r="B7" s="3567"/>
      <c r="C7" s="3568"/>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236852.67</v>
      </c>
      <c r="E8" s="48">
        <f>SUMIF('数据-基础表'!BB10:BK10,"地上",'数据-基础表'!BB5:BK5)</f>
        <v>114107.98000000001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236852.67</v>
      </c>
      <c r="E16" s="50">
        <f>SUM(E8:E15)</f>
        <v>114107.98000000001</v>
      </c>
      <c r="F16" s="2658"/>
      <c r="G16" s="2659"/>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3464</v>
      </c>
      <c r="D19" s="45">
        <f>ROUND($D$3*E19/$E$3,2)</f>
        <v>236852.67</v>
      </c>
      <c r="E19" s="53">
        <f t="shared" ref="E19:E26" si="1">SUM(F19:G19)</f>
        <v>114107.98000000001</v>
      </c>
      <c r="F19" s="2794">
        <f>'数据-基础表'!I5</f>
        <v>114107.98000000001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114107.98000000001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236852.67</v>
      </c>
      <c r="E27" s="1141">
        <f>IF(SUM(E19:E26)='数据-基础表'!BA5,SUM(E19:E26),IF(F27="地上面积有误","面积有误","地下面积有误"))</f>
        <v>114107.98000000001</v>
      </c>
      <c r="F27" s="1140">
        <f>IF(SUM(F19:F26)=E8,SUM(F19:F26),"地上面积有误")</f>
        <v>114107.98000000001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236852.67</v>
      </c>
      <c r="E31" s="676">
        <f>E27+E30</f>
        <v>114107.98000000001</v>
      </c>
      <c r="F31" s="677">
        <f>F27+F30</f>
        <v>114107.98000000001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K28" sqref="A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33.07</v>
      </c>
      <c r="G6" s="65">
        <f>IF(ISERROR(ROUND(POWER(1+H6,D6-F6)*(POWER(1+H6,F6)-1)/(POWER(1+H6,D6)-1),3)),0,ROUND(POWER(1+H6,D6-F6)*(POWER(1+H6,F6)-1)/(POWER(1+H6,D6)-1),3))</f>
        <v>0.877</v>
      </c>
      <c r="H6" s="732">
        <v>0.05</v>
      </c>
      <c r="I6" s="732">
        <v>5.5E-2</v>
      </c>
      <c r="J6" s="66">
        <v>7.4999999999999997E-2</v>
      </c>
      <c r="K6" s="1030">
        <f>SUMIF('数据-汇总表'!C$19:C$33,A6,'数据-汇总表'!E$19:E$33)</f>
        <v>114107.98000000001</v>
      </c>
      <c r="L6" s="733">
        <v>3000</v>
      </c>
      <c r="M6" s="67">
        <f t="shared" ref="M6:M14" si="0">ROUND(K6*L6/10000,0)</f>
        <v>34232</v>
      </c>
      <c r="N6" s="3829">
        <f>ROUND((M20*N20+M21*N21)/K16,2)</f>
        <v>0.78</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7">
        <v>4.5999999999999996</v>
      </c>
      <c r="V6" s="70">
        <v>2.5000000000000001E-2</v>
      </c>
      <c r="W6" s="70">
        <v>0.1</v>
      </c>
      <c r="X6" s="1040"/>
      <c r="Y6" s="71">
        <f>N6</f>
        <v>0.78</v>
      </c>
      <c r="Z6" s="72"/>
      <c r="AA6" s="66"/>
      <c r="AB6" s="66"/>
      <c r="AC6" s="1040"/>
      <c r="AD6" s="73"/>
      <c r="AE6" s="1041">
        <f ca="1">IF(AN6="",0,SUMIF(INDIRECT("'"&amp;AN6&amp;"'"&amp;"!E:E"),$AE$5,INDIRECT("'"&amp;AN6&amp;"'"&amp;"!F:F")))</f>
        <v>33.07</v>
      </c>
      <c r="AF6" s="1348"/>
      <c r="AG6" s="138">
        <f>IF(AF6="",0,AE6-AF6)</f>
        <v>0</v>
      </c>
      <c r="AH6" s="74"/>
      <c r="AI6" s="76">
        <v>365</v>
      </c>
      <c r="AJ6" s="77"/>
      <c r="AK6" s="78">
        <v>5.0000000000000001E-3</v>
      </c>
      <c r="AL6" s="79">
        <v>1E-3</v>
      </c>
      <c r="AM6" s="80">
        <v>0.01</v>
      </c>
      <c r="AN6" s="1715" t="s">
        <v>3466</v>
      </c>
      <c r="AO6" s="52">
        <f ca="1">SUMIF(INDIRECT("'"&amp;AN6&amp;"'"&amp;"!A:A"),"总价",INDIRECT("'"&amp;AN6&amp;"'"&amp;"!B:B"))</f>
        <v>286049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114107.98000000001</v>
      </c>
      <c r="L16" s="93">
        <f>ROUND(M16*10000/SUM(K6:K14),0)</f>
        <v>3000</v>
      </c>
      <c r="M16" s="93">
        <f>SUM(M6:M14)</f>
        <v>34232</v>
      </c>
      <c r="N16" s="94">
        <f>ROUND(SUMPRODUCT(M6:M14,N6:N14)/M16,3)</f>
        <v>0.78</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f>'数据-基础表'!G13+'数据-基础表'!G14</f>
        <v>60366.14</v>
      </c>
      <c r="N20" s="2670">
        <f>ROUND(1-(2023-2009)/60,2)</f>
        <v>0.77</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3830">
        <f>K16-M20</f>
        <v>53741.840000000011</v>
      </c>
      <c r="N21" s="2670">
        <f>ROUND(1-((1-2%)*(2023-2009)/70),2)</f>
        <v>0.8</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5" t="s">
        <v>2286</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114107.98000000001</v>
      </c>
      <c r="C1" s="2685"/>
      <c r="D1" s="2685"/>
      <c r="E1" s="2685"/>
      <c r="F1" s="2685"/>
      <c r="G1" s="2686"/>
      <c r="H1" s="2687"/>
      <c r="I1" s="2687"/>
      <c r="J1" s="2687"/>
      <c r="K1" s="2687"/>
    </row>
    <row r="2" spans="1:11" ht="16.5">
      <c r="A2" s="2511" t="s">
        <v>653</v>
      </c>
      <c r="B2" s="2511">
        <f>SUM(C14:C23)</f>
        <v>236852.67</v>
      </c>
      <c r="C2" s="2685"/>
      <c r="D2" s="2685"/>
      <c r="E2" s="2685"/>
      <c r="F2" s="2685"/>
      <c r="G2" s="2686"/>
      <c r="H2" s="2687"/>
      <c r="I2" s="2687"/>
      <c r="J2" s="2687"/>
      <c r="K2" s="2687"/>
    </row>
    <row r="3" spans="1:11" ht="16.5">
      <c r="A3" s="2511" t="s">
        <v>662</v>
      </c>
      <c r="B3" s="2513">
        <f>项目基本情况!D3</f>
        <v>45106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215087</v>
      </c>
      <c r="C5" s="2511">
        <f ca="1">IF(B5=D14,结果表!H102,ROUND(B5*10000/$B$1,0))</f>
        <v>18849</v>
      </c>
      <c r="D5" s="2511">
        <f ca="1">ROUND(B5*10000/$B$2,0)</f>
        <v>9081</v>
      </c>
      <c r="E5" s="2685"/>
      <c r="F5" s="2686"/>
      <c r="G5" s="2686"/>
      <c r="H5" s="2687"/>
      <c r="I5" s="2687"/>
      <c r="J5" s="2687"/>
      <c r="K5" s="2687"/>
    </row>
    <row r="6" spans="1:11" ht="16.5">
      <c r="A6" s="2511" t="s">
        <v>656</v>
      </c>
      <c r="B6" s="2511">
        <f ca="1">SUM(G14:G23)</f>
        <v>215087</v>
      </c>
      <c r="C6" s="2511">
        <f ca="1">IF(B6=G14,结果表!H108,ROUND(B6*10000/$B$1,0))</f>
        <v>18849</v>
      </c>
      <c r="D6" s="2511">
        <f ca="1">ROUND(B6*10000/$B$2,0)</f>
        <v>9081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114107.98000000001</v>
      </c>
      <c r="C14" s="2517">
        <f>结果表!C118</f>
        <v>236852.67</v>
      </c>
      <c r="D14" s="2517">
        <f ca="1">结果表!H118</f>
        <v>215087</v>
      </c>
      <c r="E14" s="2517">
        <f ca="1">ROUND(D14*10000/B14,0)</f>
        <v>18849</v>
      </c>
      <c r="F14" s="2517">
        <f ca="1">ROUND(D14*10000/C14,0)</f>
        <v>9081</v>
      </c>
      <c r="G14" s="2517">
        <f ca="1">结果表!D122</f>
        <v>215087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7" sqref="L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4" t="str">
        <f>项目基本情况!S2</f>
        <v>北京市房地产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3485</v>
      </c>
      <c r="D4" s="1756" t="s">
        <v>3466</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v>55</v>
      </c>
      <c r="D14" s="3638">
        <v>45</v>
      </c>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69" t="s">
        <v>2131</v>
      </c>
      <c r="F18" s="3670"/>
      <c r="G18" s="3670"/>
      <c r="H18" s="3670"/>
      <c r="I18" s="3670"/>
      <c r="K18" s="302" t="s">
        <v>1289</v>
      </c>
      <c r="L18" s="302">
        <f>IF(C1="",'数据-汇总表'!E3,SUMIF(项目类型,C1,'数据-汇总表'!E17:E26)+SUMIF(项目类型,C1,'数据-汇总表'!I17:I26))</f>
        <v>114107.98000000001</v>
      </c>
      <c r="M18" s="302">
        <f>IF(C1="",'数据-汇总表'!E3,SUMIF(项目类型,C1,'数据-汇总表'!E17:E26))</f>
        <v>114107.98000000001</v>
      </c>
    </row>
    <row r="19" spans="1:36" ht="15">
      <c r="A19" s="1761" t="s">
        <v>1290</v>
      </c>
      <c r="B19" s="1762" t="s">
        <v>1291</v>
      </c>
      <c r="C19" s="134">
        <f ca="1">SUMIF(INDIRECT("'"&amp;C4&amp;"'"&amp;"!A:A"),结果表!B19,INDIRECT("'"&amp;C4&amp;"'"&amp;"!B:B"))</f>
        <v>157027</v>
      </c>
      <c r="D19" s="135">
        <f ca="1">SUMIF(INDIRECT("'"&amp;D4&amp;"'"&amp;"!A:A"),结果表!B19,INDIRECT("'"&amp;D4&amp;"'"&amp;"!B:B"))</f>
        <v>286049</v>
      </c>
      <c r="E19" s="1761" t="s">
        <v>1292</v>
      </c>
      <c r="F19" s="1762" t="s">
        <v>1291</v>
      </c>
      <c r="G19" s="136">
        <f ca="1">ROUND(C19*$C$18+D19*$D$18,0)</f>
        <v>215087</v>
      </c>
      <c r="H19" s="1763" t="s">
        <v>1293</v>
      </c>
      <c r="I19" s="129"/>
      <c r="K19" s="302" t="s">
        <v>1294</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1295</v>
      </c>
      <c r="C20" s="137">
        <f ca="1">SUMIF(INDIRECT("'"&amp;C4&amp;"'"&amp;"!A:A"),结果表!B20,INDIRECT("'"&amp;C4&amp;"'"&amp;"!B:B"))</f>
        <v>13761</v>
      </c>
      <c r="D20" s="138">
        <f ca="1">SUMIF(INDIRECT("'"&amp;D4&amp;"'"&amp;"!A:A"),结果表!B20,INDIRECT("'"&amp;D4&amp;"'"&amp;"!B:B"))</f>
        <v>25068</v>
      </c>
      <c r="E20" s="1764"/>
      <c r="F20" s="1026" t="s">
        <v>1295</v>
      </c>
      <c r="G20" s="139">
        <f ca="1">ROUND(C20*$C$18+D20*$D$18,0)</f>
        <v>18849</v>
      </c>
      <c r="H20" s="808" t="s">
        <v>1296</v>
      </c>
      <c r="I20" s="129"/>
    </row>
    <row r="21" spans="1:36" ht="15" customHeight="1" thickBot="1">
      <c r="A21" s="828"/>
      <c r="B21" s="1765" t="s">
        <v>1297</v>
      </c>
      <c r="C21" s="719">
        <f ca="1">ROUND(C19*10000/L19,0)</f>
        <v>6630</v>
      </c>
      <c r="D21" s="720">
        <f ca="1">ROUND(D19*10000/L19,0)</f>
        <v>12077</v>
      </c>
      <c r="E21" s="828"/>
      <c r="F21" s="1765" t="s">
        <v>1297</v>
      </c>
      <c r="G21" s="140">
        <f ca="1">ROUND(G19*10000/L19,0)</f>
        <v>9081</v>
      </c>
      <c r="H21" s="1766" t="s">
        <v>1296</v>
      </c>
      <c r="I21" s="129"/>
    </row>
    <row r="22" spans="1:36" ht="15" thickBot="1">
      <c r="A22" s="1688" t="s">
        <v>1298</v>
      </c>
      <c r="B22" s="1767"/>
      <c r="C22" s="1768"/>
      <c r="D22" s="721">
        <f ca="1">IF(C19&lt;D19,D19/C19-1,C19/D19-1)</f>
        <v>0.82165487463939324</v>
      </c>
      <c r="E22" s="129"/>
      <c r="F22" s="129"/>
      <c r="G22" s="129"/>
      <c r="H22" s="129"/>
      <c r="I22" s="129"/>
    </row>
    <row r="23" spans="1:36" ht="13.5" thickBot="1">
      <c r="A23" s="1747"/>
      <c r="B23" s="1747"/>
      <c r="C23" s="1747"/>
      <c r="D23" s="1747"/>
      <c r="E23" s="129"/>
      <c r="F23" s="129"/>
      <c r="G23" s="129"/>
      <c r="H23" s="129"/>
      <c r="I23" s="129"/>
    </row>
    <row r="24" spans="1:36" ht="14.25">
      <c r="A24" s="3662" t="s">
        <v>1299</v>
      </c>
      <c r="B24" s="1762" t="s">
        <v>1291</v>
      </c>
      <c r="C24" s="136">
        <f>IF(B30=0,0,D30)</f>
        <v>0</v>
      </c>
      <c r="D24" s="1769"/>
      <c r="E24" s="129"/>
      <c r="F24" s="129"/>
      <c r="G24" s="129"/>
      <c r="H24" s="129"/>
      <c r="I24" s="129"/>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215087</v>
      </c>
      <c r="D32" s="1775" t="s">
        <v>3762</v>
      </c>
      <c r="E32" s="129"/>
      <c r="F32" s="129"/>
      <c r="G32" s="129"/>
      <c r="H32" s="129"/>
      <c r="I32" s="129"/>
    </row>
    <row r="33" spans="1:15" ht="15">
      <c r="A33" s="786" t="s">
        <v>1306</v>
      </c>
      <c r="B33" s="1776"/>
      <c r="C33" s="1777" t="s">
        <v>3763</v>
      </c>
      <c r="D33" s="1778"/>
      <c r="E33" s="1779" t="s">
        <v>1307</v>
      </c>
      <c r="F33" s="1780" t="str">
        <f>IF(D32="楼面单价","取值（单价）","取值（总价）")</f>
        <v>取值（总价）</v>
      </c>
      <c r="G33" s="129"/>
      <c r="H33" s="129" t="s">
        <v>3764</v>
      </c>
      <c r="I33" s="129"/>
    </row>
    <row r="34" spans="1:15" ht="15">
      <c r="A34" s="1781"/>
      <c r="B34" s="1782" t="s">
        <v>1308</v>
      </c>
      <c r="C34" s="148">
        <f ca="1">IF(C33="自定义",F34,C32-C35)</f>
        <v>173827</v>
      </c>
      <c r="D34" s="861">
        <f ca="1">IF(C33="自定义",ROUND(C34/C32,3),IF(C33="收益比率",SUMIF(INDIRECT("'"&amp;D33&amp;"'"&amp;"!b:b"),"土地收益比率",INDIRECT("'"&amp;D33&amp;"'"&amp;"!c:c")),SUMIF(INDIRECT("'"&amp;D33&amp;"'"&amp;"!b:b"),"土地成本比率",INDIRECT("'"&amp;D33&amp;"'"&amp;"!c:c"))))</f>
        <v>0.80800000000000005</v>
      </c>
      <c r="E34" s="1783" t="s">
        <v>1309</v>
      </c>
      <c r="F34" s="1330">
        <f ca="1">G19-F35</f>
        <v>173827</v>
      </c>
      <c r="G34" s="129"/>
      <c r="H34" s="129">
        <v>177729</v>
      </c>
      <c r="I34" s="129"/>
    </row>
    <row r="35" spans="1:15" ht="15.75" thickBot="1">
      <c r="A35" s="1784"/>
      <c r="B35" s="1785" t="s">
        <v>1310</v>
      </c>
      <c r="C35" s="1170">
        <f ca="1">IF(C33="自定义",F35,ROUND(C32*D35,0))</f>
        <v>41260</v>
      </c>
      <c r="D35" s="1171">
        <f ca="1">IF(C33="自定义",ROUND(C35/C32,3),IF(C33="收益比率",SUMIF(INDIRECT("'"&amp;D33&amp;"'"&amp;"!b:b"),"建筑物收益比率",INDIRECT("'"&amp;D33&amp;"'"&amp;"!c:c")),SUMIF(INDIRECT("'"&amp;D33&amp;"'"&amp;"!b:b"),"建筑物成本比率",INDIRECT("'"&amp;D33&amp;"'"&amp;"!c:c"))))</f>
        <v>0.192</v>
      </c>
      <c r="E35" s="1786" t="s">
        <v>1311</v>
      </c>
      <c r="F35" s="154">
        <f ca="1">成本法!C51</f>
        <v>41260</v>
      </c>
      <c r="G35" s="129"/>
      <c r="H35" s="129">
        <v>37363</v>
      </c>
      <c r="I35" s="129"/>
    </row>
    <row r="36" spans="1:15" ht="15.75" thickBot="1">
      <c r="A36" s="3639" t="s">
        <v>1312</v>
      </c>
      <c r="B36" s="1787" t="s">
        <v>1313</v>
      </c>
      <c r="C36" s="145"/>
      <c r="D36" s="1788"/>
      <c r="E36" s="1789"/>
      <c r="F36" s="1790"/>
      <c r="G36" s="129"/>
      <c r="H36" s="129">
        <f>H34+H35</f>
        <v>215092</v>
      </c>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f ca="1">ROUND(H101*F45,0)</f>
        <v>215087</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2522">
        <v>1</v>
      </c>
      <c r="K46" s="3580" t="s">
        <v>1331</v>
      </c>
      <c r="L46" s="3580"/>
      <c r="M46" s="3581"/>
      <c r="N46" s="3581"/>
      <c r="O46" s="3581"/>
    </row>
    <row r="47" spans="1:15" ht="12" customHeight="1">
      <c r="A47" s="160" t="s">
        <v>1332</v>
      </c>
      <c r="B47" s="161"/>
      <c r="C47" s="162"/>
      <c r="D47" s="1087" t="s">
        <v>1333</v>
      </c>
      <c r="E47" s="302" t="s">
        <v>1334</v>
      </c>
      <c r="F47" s="163" t="s">
        <v>1335</v>
      </c>
      <c r="G47" s="2545" t="s">
        <v>1336</v>
      </c>
      <c r="H47" s="2546"/>
      <c r="I47" s="159"/>
      <c r="J47" s="2522">
        <v>2</v>
      </c>
      <c r="K47" s="3580" t="s">
        <v>1337</v>
      </c>
      <c r="L47" s="3580"/>
      <c r="M47" s="3582">
        <f>'数据-取费表'!B2</f>
        <v>45106</v>
      </c>
      <c r="N47" s="3582"/>
      <c r="O47" s="3582"/>
    </row>
    <row r="48" spans="1:15" ht="25.5">
      <c r="A48" s="3642" t="s">
        <v>1338</v>
      </c>
      <c r="B48" s="3643"/>
      <c r="C48" s="3643"/>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80" t="s">
        <v>1340</v>
      </c>
      <c r="L48" s="3580"/>
      <c r="M48" s="3583">
        <f ca="1">H101</f>
        <v>215087</v>
      </c>
      <c r="N48" s="3583"/>
      <c r="O48" s="3583"/>
    </row>
    <row r="49" spans="1:35" ht="25.5" customHeight="1">
      <c r="A49" s="2333" t="s">
        <v>1341</v>
      </c>
      <c r="B49" s="3628" t="s">
        <v>1342</v>
      </c>
      <c r="C49" s="3628"/>
      <c r="D49" s="1590">
        <v>0</v>
      </c>
      <c r="E49" s="324" t="s">
        <v>1343</v>
      </c>
      <c r="F49" s="2423" t="s">
        <v>28</v>
      </c>
      <c r="G49" s="3611"/>
      <c r="H49" s="2310" t="s">
        <v>2134</v>
      </c>
      <c r="I49" s="2311"/>
      <c r="J49" s="2522">
        <v>4</v>
      </c>
      <c r="K49" s="3580" t="str">
        <f>IF(项目基本情况!E8="房地产抵押价值","房地产抵押价值","抵押担保权已注销时的房地产抵押价值")</f>
        <v>房地产抵押价值</v>
      </c>
      <c r="L49" s="3580"/>
      <c r="M49" s="3583">
        <f ca="1">IF(项目基本情况!E8="房地产抵押价值",H107,H109)</f>
        <v>215087</v>
      </c>
      <c r="N49" s="3583"/>
      <c r="O49" s="3583"/>
    </row>
    <row r="50" spans="1:35" ht="25.5" customHeight="1">
      <c r="A50" s="2550"/>
      <c r="B50" s="3628" t="s">
        <v>1344</v>
      </c>
      <c r="C50" s="3628"/>
      <c r="D50" s="2551"/>
      <c r="E50" s="332"/>
      <c r="F50" s="2423"/>
      <c r="G50" s="3612"/>
      <c r="H50" s="2312" t="s">
        <v>2135</v>
      </c>
      <c r="I50" s="2311"/>
      <c r="J50" s="3579" t="s">
        <v>1345</v>
      </c>
      <c r="K50" s="3579"/>
      <c r="L50" s="3579"/>
      <c r="M50" s="3579"/>
      <c r="N50" s="3579"/>
      <c r="O50" s="3579"/>
    </row>
    <row r="51" spans="1:35" ht="20.45" customHeight="1">
      <c r="A51" s="2552"/>
      <c r="B51" s="3628" t="s">
        <v>1346</v>
      </c>
      <c r="C51" s="3628"/>
      <c r="D51" s="1087"/>
      <c r="E51" s="327"/>
      <c r="F51" s="2423"/>
      <c r="G51" s="3613"/>
      <c r="H51" s="2312" t="s">
        <v>2136</v>
      </c>
      <c r="I51" s="2311"/>
      <c r="J51" s="2523" t="s">
        <v>1347</v>
      </c>
      <c r="K51" s="3580" t="s">
        <v>1348</v>
      </c>
      <c r="L51" s="3580"/>
      <c r="M51" s="2523" t="s">
        <v>1349</v>
      </c>
      <c r="N51" s="2523" t="s">
        <v>1350</v>
      </c>
      <c r="O51" s="2523" t="s">
        <v>1351</v>
      </c>
    </row>
    <row r="52" spans="1:35" ht="24" customHeight="1">
      <c r="A52" s="2335" t="s">
        <v>1352</v>
      </c>
      <c r="B52" s="3628" t="s">
        <v>1353</v>
      </c>
      <c r="C52" s="3628"/>
      <c r="D52" s="1087">
        <f ca="1">ROUND(D45*'数据-取费表'!B41/(1+'数据-取费表'!C42),0)</f>
        <v>11266</v>
      </c>
      <c r="E52" s="2334" t="s">
        <v>1354</v>
      </c>
      <c r="F52" s="2553">
        <f>'数据-取费表'!B41</f>
        <v>5.5000000000000007E-2</v>
      </c>
      <c r="G52" s="2554"/>
      <c r="H52" s="2543"/>
      <c r="I52" s="1807"/>
      <c r="J52" s="2522">
        <v>1</v>
      </c>
      <c r="K52" s="3605" t="s">
        <v>1355</v>
      </c>
      <c r="L52" s="3605"/>
      <c r="M52" s="2524" t="b">
        <f>D48</f>
        <v>0</v>
      </c>
      <c r="N52" s="2522" t="str">
        <f>E48</f>
        <v>销售额×税（费）率</v>
      </c>
      <c r="O52" s="2525">
        <f>F48</f>
        <v>5.5000000000000007E-2</v>
      </c>
    </row>
    <row r="53" spans="1:35" ht="12" customHeight="1">
      <c r="A53" s="2335" t="s">
        <v>1356</v>
      </c>
      <c r="B53" s="3629" t="s">
        <v>2291</v>
      </c>
      <c r="C53" s="3630"/>
      <c r="D53" s="1087">
        <f ca="1">ROUND(D45*'数据-取费表'!B41/(1+'数据-取费表'!C42),0)</f>
        <v>11266</v>
      </c>
      <c r="E53" s="2334" t="s">
        <v>1354</v>
      </c>
      <c r="F53" s="2553">
        <f>'数据-取费表'!B41</f>
        <v>5.5000000000000007E-2</v>
      </c>
      <c r="G53" s="2554"/>
      <c r="H53" s="2543"/>
      <c r="I53" s="1807"/>
      <c r="J53" s="2522">
        <v>2</v>
      </c>
      <c r="K53" s="3605" t="s">
        <v>1357</v>
      </c>
      <c r="L53" s="3605"/>
      <c r="M53" s="2524">
        <f t="shared" ref="M53:O54" ca="1" si="0">D55</f>
        <v>108</v>
      </c>
      <c r="N53" s="2522" t="str">
        <f t="shared" si="0"/>
        <v>销售额×税（费）率</v>
      </c>
      <c r="O53" s="2525" t="str">
        <f t="shared" si="0"/>
        <v>免征</v>
      </c>
    </row>
    <row r="54" spans="1:35" ht="12" customHeight="1">
      <c r="A54" s="2335" t="s">
        <v>1358</v>
      </c>
      <c r="B54" s="3629" t="s">
        <v>2292</v>
      </c>
      <c r="C54" s="3630"/>
      <c r="D54" s="1087">
        <f ca="1">C68</f>
        <v>11266</v>
      </c>
      <c r="E54" s="327" t="s">
        <v>1359</v>
      </c>
      <c r="F54" s="2553">
        <f>'数据-取费表'!B41</f>
        <v>5.5000000000000007E-2</v>
      </c>
      <c r="G54" s="2554"/>
      <c r="H54" s="2555"/>
      <c r="I54" s="1807"/>
      <c r="J54" s="2522">
        <v>3</v>
      </c>
      <c r="K54" s="3605" t="s">
        <v>1360</v>
      </c>
      <c r="L54" s="3605"/>
      <c r="M54" s="2524">
        <f t="shared" ca="1" si="0"/>
        <v>121934</v>
      </c>
      <c r="N54" s="2522" t="str">
        <f t="shared" si="0"/>
        <v>增值额×税（费）率</v>
      </c>
      <c r="O54" s="2526" t="str">
        <f t="shared" si="0"/>
        <v>免征</v>
      </c>
    </row>
    <row r="55" spans="1:35" ht="24" customHeight="1">
      <c r="A55" s="3665" t="s">
        <v>1361</v>
      </c>
      <c r="B55" s="3643"/>
      <c r="C55" s="3643"/>
      <c r="D55" s="2324">
        <f ca="1">IF(H55="个人住宅",0,ROUND(D45*I55,0))</f>
        <v>108</v>
      </c>
      <c r="E55" s="2334"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2048</v>
      </c>
      <c r="N55" s="2040" t="str">
        <f>E59</f>
        <v>差额计税</v>
      </c>
      <c r="O55" s="2528">
        <f>F59</f>
        <v>0.01</v>
      </c>
    </row>
    <row r="56" spans="1:35" ht="24.75">
      <c r="A56" s="3665" t="s">
        <v>1363</v>
      </c>
      <c r="B56" s="3643"/>
      <c r="C56" s="3643"/>
      <c r="D56" s="2324">
        <f ca="1">IF(H56="个人住宅",D57,D58)</f>
        <v>121934</v>
      </c>
      <c r="E56" s="2334" t="s">
        <v>1364</v>
      </c>
      <c r="F56" s="2553" t="str">
        <f>IF(H56="正常",F58,"免征")</f>
        <v>免征</v>
      </c>
      <c r="G56" s="2556" t="s">
        <v>1365</v>
      </c>
      <c r="H56" s="2557"/>
      <c r="I56" s="1808"/>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5" t="s">
        <v>1341</v>
      </c>
      <c r="B57" s="3629" t="s">
        <v>1366</v>
      </c>
      <c r="C57" s="3630"/>
      <c r="D57" s="1590">
        <v>0</v>
      </c>
      <c r="E57" s="324" t="s">
        <v>1343</v>
      </c>
      <c r="F57" s="302"/>
      <c r="G57" s="2554"/>
      <c r="H57" s="2558"/>
      <c r="I57" s="1808"/>
      <c r="J57" s="3605">
        <f>IF(AND(J55="",J56=""),4,IF(项目基本情况!K6="上海银行",结果表!J56+1,结果表!J55+1))</f>
        <v>5</v>
      </c>
      <c r="K57" s="3605" t="s">
        <v>1367</v>
      </c>
      <c r="L57" s="2529" t="s">
        <v>1368</v>
      </c>
      <c r="M57" s="2530"/>
      <c r="N57" s="2531">
        <f ca="1">SUMIF(M52:M56,"&lt;9e307")</f>
        <v>124090</v>
      </c>
      <c r="O57" s="2532"/>
      <c r="P57" s="2689">
        <f ca="1">N57/M49</f>
        <v>0.57692933557118742</v>
      </c>
    </row>
    <row r="58" spans="1:35" ht="24.75">
      <c r="A58" s="2335" t="s">
        <v>1352</v>
      </c>
      <c r="B58" s="3629" t="s">
        <v>1369</v>
      </c>
      <c r="C58" s="3628"/>
      <c r="D58" s="2324">
        <f ca="1">IF(H58="转让取得",C81,C97)</f>
        <v>121934</v>
      </c>
      <c r="E58" s="2334" t="s">
        <v>1364</v>
      </c>
      <c r="F58" s="302" t="s">
        <v>28</v>
      </c>
      <c r="G58" s="2554"/>
      <c r="H58" s="2557"/>
      <c r="I58" s="1808"/>
      <c r="J58" s="3605"/>
      <c r="K58" s="3605"/>
      <c r="L58" s="2529" t="s">
        <v>1370</v>
      </c>
      <c r="M58" s="2533"/>
      <c r="N58" s="2534" t="str">
        <f ca="1">NUMBERSTRING(INT(N57*10000),2)&amp;"元整"</f>
        <v>壹拾贰亿肆仟零玖拾万元整</v>
      </c>
      <c r="O58" s="2535"/>
    </row>
    <row r="59" spans="1:35" ht="24.75" thickBot="1">
      <c r="A59" s="3609" t="s">
        <v>1371</v>
      </c>
      <c r="B59" s="3610"/>
      <c r="C59" s="3610"/>
      <c r="D59" s="2559">
        <f ca="1">IF(H59="非个人房产","——",IF(H59="个人住宅（满五唯一有凭证）",0,IF(H59="个人其他（无凭证）",ROUND(D45*F59,0),ROUND(C67*F59,0))))</f>
        <v>2048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7">
        <f>J57+1</f>
        <v>6</v>
      </c>
      <c r="K59" s="3605" t="s">
        <v>1372</v>
      </c>
      <c r="L59" s="2522" t="s">
        <v>1368</v>
      </c>
      <c r="M59" s="2536"/>
      <c r="N59" s="2537">
        <f ca="1">M49-N57</f>
        <v>90997</v>
      </c>
      <c r="O59" s="2538"/>
    </row>
    <row r="60" spans="1:35" ht="12" customHeight="1">
      <c r="A60" s="1809"/>
      <c r="B60" s="1747"/>
      <c r="C60" s="1747"/>
      <c r="D60" s="1747"/>
      <c r="E60" s="1578"/>
      <c r="F60" s="1808"/>
      <c r="G60" s="1808"/>
      <c r="H60" s="1810"/>
      <c r="I60" s="129"/>
      <c r="J60" s="3608"/>
      <c r="K60" s="3605"/>
      <c r="L60" s="2529" t="s">
        <v>1370</v>
      </c>
      <c r="M60" s="2533"/>
      <c r="N60" s="2534" t="str">
        <f ca="1">NUMBERSTRING(INT(N59*10000),2)&amp;"元整"</f>
        <v>玖亿零玖佰玖拾柒万元整</v>
      </c>
      <c r="O60" s="2535"/>
    </row>
    <row r="61" spans="1:35" ht="13.5" thickBot="1">
      <c r="A61" s="3664" t="s">
        <v>1373</v>
      </c>
      <c r="B61" s="3664"/>
      <c r="C61" s="3664"/>
      <c r="D61" s="3664"/>
      <c r="E61" s="3664"/>
      <c r="F61" s="1808"/>
      <c r="G61" s="1808"/>
      <c r="H61" s="1810"/>
      <c r="I61" s="129"/>
      <c r="J61" s="2522">
        <f>J59+1</f>
        <v>7</v>
      </c>
      <c r="K61" s="3605" t="s">
        <v>1374</v>
      </c>
      <c r="L61" s="3605"/>
      <c r="M61" s="2539"/>
      <c r="N61" s="2540">
        <f ca="1">ROUND(N59*10000/'数据-汇总表'!E3,0)</f>
        <v>7975</v>
      </c>
      <c r="O61" s="2541"/>
    </row>
    <row r="62" spans="1:35" ht="12.75">
      <c r="A62" s="3624" t="s">
        <v>1375</v>
      </c>
      <c r="B62" s="3625"/>
      <c r="C62" s="2021"/>
      <c r="D62" s="2021" t="s">
        <v>1376</v>
      </c>
      <c r="E62" s="166" t="s">
        <v>1377</v>
      </c>
      <c r="F62" s="1808"/>
      <c r="G62" s="1808"/>
      <c r="H62" s="1810"/>
      <c r="I62" s="129"/>
    </row>
    <row r="63" spans="1:35" ht="12.75">
      <c r="A63" s="173" t="s">
        <v>330</v>
      </c>
      <c r="B63" s="167" t="s">
        <v>1378</v>
      </c>
      <c r="C63" s="2563">
        <f ca="1">ROUND((C64+C65)/(1+'数据-取费表'!C42),0)</f>
        <v>204845</v>
      </c>
      <c r="D63" s="167"/>
      <c r="E63" s="168"/>
      <c r="F63" s="1808"/>
      <c r="G63" s="1808"/>
      <c r="H63" s="1810"/>
      <c r="I63" s="129"/>
      <c r="J63" s="3588" t="s">
        <v>1379</v>
      </c>
      <c r="K63" s="1332" t="s">
        <v>1380</v>
      </c>
      <c r="L63" s="1332">
        <f ca="1">IF(M49&gt;10000,M49*0.5%,IF(AND(M49&gt;1000,M49&lt;=10000),M49*1%,IF(AND(M49&gt;100,M49&lt;=1000),M49*3%,IF(AND(M49&gt;10,M49&lt;=100),M49*5%,M49*8%))))</f>
        <v>1075.4349999999999</v>
      </c>
      <c r="M63" s="302">
        <f ca="1">ROUND(L63,1)</f>
        <v>1075.4000000000001</v>
      </c>
      <c r="N63" s="2542"/>
      <c r="Z63" s="1752"/>
      <c r="AI63" s="1753"/>
    </row>
    <row r="64" spans="1:35" ht="14.25" customHeight="1">
      <c r="A64" s="169" t="s">
        <v>325</v>
      </c>
      <c r="B64" s="170" t="s">
        <v>1381</v>
      </c>
      <c r="C64" s="2564">
        <f ca="1">D45</f>
        <v>215087</v>
      </c>
      <c r="D64" s="170" t="s">
        <v>26</v>
      </c>
      <c r="E64" s="172"/>
      <c r="F64" s="1808"/>
      <c r="G64" s="1808"/>
      <c r="H64" s="1810"/>
      <c r="I64" s="129"/>
      <c r="J64" s="3588"/>
      <c r="K64" s="1332" t="s">
        <v>1382</v>
      </c>
      <c r="L64" s="1332">
        <f ca="1">IF(M49&gt;2000,M49*0.5%,IF(AND(M49&gt;1000,M49&lt;=2000),M49*0.6%,IF(AND(M49&gt;500,M49&lt;=1000),M49*0.7%,IF(AND(M49&gt;200,M49&lt;=500),M49*0.8%,IF(AND(M49&gt;100,M49&lt;=200),M49*0.9%,IF(AND(M49&gt;50,M49&lt;=100),M49*1%,IF(AND(M49&gt;20,M49&lt;=50),M49*1.5%,IF(AND(M49&gt;10,M49&lt;=20),M49*2%,IF(AND(M49&gt;1,M49&lt;=10),M49*2.5%)))))))))</f>
        <v>1075.4349999999999</v>
      </c>
      <c r="M64" s="302">
        <f t="shared" ref="M64:M65" ca="1" si="1">ROUND(L64,1)</f>
        <v>1075.4000000000001</v>
      </c>
      <c r="N64" s="2543" t="s">
        <v>1383</v>
      </c>
      <c r="Z64" s="1752"/>
      <c r="AI64" s="1753"/>
    </row>
    <row r="65" spans="1:35" ht="14.25" customHeight="1">
      <c r="A65" s="169" t="s">
        <v>326</v>
      </c>
      <c r="B65" s="170" t="s">
        <v>1384</v>
      </c>
      <c r="C65" s="2565"/>
      <c r="D65" s="170"/>
      <c r="E65" s="172"/>
      <c r="F65" s="1808"/>
      <c r="G65" s="1808"/>
      <c r="H65" s="1810"/>
      <c r="I65" s="129"/>
      <c r="J65" s="3588"/>
      <c r="K65" s="1332" t="s">
        <v>1385</v>
      </c>
      <c r="L65" s="1332">
        <f ca="1">IF(M49&gt;1000,M49*0.1%,IF(AND(M49&gt;500,M49&lt;=1000),M49*0.5%,IF(AND(M49&gt;50,M49&lt;=500),M49*1%,IF(AND(M49&gt;1,M49&lt;=50),M49*1.5%))))</f>
        <v>215.08700000000002</v>
      </c>
      <c r="M65" s="302">
        <f t="shared" ca="1" si="1"/>
        <v>215.1</v>
      </c>
      <c r="N65" s="2543" t="s">
        <v>1383</v>
      </c>
      <c r="Z65" s="1752"/>
      <c r="AI65" s="1753"/>
    </row>
    <row r="66" spans="1:35" ht="14.25" customHeight="1">
      <c r="A66" s="173" t="s">
        <v>327</v>
      </c>
      <c r="B66" s="174" t="s">
        <v>1386</v>
      </c>
      <c r="C66" s="2566"/>
      <c r="D66" s="174" t="s">
        <v>26</v>
      </c>
      <c r="E66" s="1338" t="s">
        <v>671</v>
      </c>
      <c r="F66" s="1808"/>
      <c r="G66" s="1808"/>
      <c r="H66" s="1810"/>
      <c r="I66" s="129"/>
      <c r="J66" s="3588"/>
      <c r="K66" s="1332" t="s">
        <v>1387</v>
      </c>
      <c r="L66" s="1332">
        <f ca="1">M49*0.5%</f>
        <v>1075.4349999999999</v>
      </c>
      <c r="M66" s="302">
        <f ca="1">IF(L66&gt;0.5,0.5,ROUND(L66,0))</f>
        <v>0.5</v>
      </c>
      <c r="N66" s="2543" t="s">
        <v>1388</v>
      </c>
      <c r="Z66" s="1752"/>
      <c r="AI66" s="1753"/>
    </row>
    <row r="67" spans="1:35" ht="14.25" customHeight="1">
      <c r="A67" s="173" t="s">
        <v>328</v>
      </c>
      <c r="B67" s="174" t="s">
        <v>1389</v>
      </c>
      <c r="C67" s="2567">
        <f ca="1">C63-C66</f>
        <v>204845</v>
      </c>
      <c r="D67" s="170" t="s">
        <v>26</v>
      </c>
      <c r="E67" s="172"/>
      <c r="F67" s="1808"/>
      <c r="G67" s="1808"/>
      <c r="H67" s="1810"/>
      <c r="I67" s="129"/>
      <c r="J67" s="3588"/>
      <c r="K67" s="1332" t="s">
        <v>1390</v>
      </c>
      <c r="L67" s="1332">
        <f ca="1">IF(M49&gt;=10000,(8.25+(M49-10000)*0.01%),IF(AND(M49&gt;=8000,M49&lt;10000),(7.85+(M49-8000)*0.02%),IF(AND(M49&gt;=5000,M49&lt;8000),(6.65+(M49-5000)*0.04%),IF(AND(M49&gt;=2000,M49&lt;5000),(4.25+(PM49-2000)*0.08%),IF(AND(M49&gt;=1000,M49&lt;2000),(2.75+(M49-1000)*0.15%),IF(AND(M49&gt;=100,M49&lt;1000),(0.5+(M49-100)*0.25%),IF(AND(M49&gt;0,M49&lt;100),M49*0.5%)))))))</f>
        <v>28.758700000000001</v>
      </c>
      <c r="M67" s="302">
        <f ca="1">ROUND(L67*0.9,1)</f>
        <v>25.9</v>
      </c>
      <c r="N67" s="2542"/>
      <c r="Z67" s="1752"/>
      <c r="AI67" s="1753"/>
    </row>
    <row r="68" spans="1:35" ht="14.25" customHeight="1" thickBot="1">
      <c r="A68" s="176" t="s">
        <v>329</v>
      </c>
      <c r="B68" s="177" t="s">
        <v>1391</v>
      </c>
      <c r="C68" s="2568">
        <f ca="1">IF(C67&lt;=0,0,ROUND(C67*D68,0))</f>
        <v>11266</v>
      </c>
      <c r="D68" s="2569">
        <f>'数据-取费表'!B41</f>
        <v>5.5000000000000007E-2</v>
      </c>
      <c r="E68" s="178"/>
      <c r="F68" s="1808"/>
      <c r="G68" s="1808"/>
      <c r="H68" s="1810"/>
      <c r="I68" s="129"/>
      <c r="J68" s="3588"/>
      <c r="K68" s="1332" t="s">
        <v>1392</v>
      </c>
      <c r="L68" s="1332">
        <f ca="1">IF(M49&gt;10000,M49*0.5%,IF(AND(M49&gt;5000,M49&lt;=10000),M49*1%,IF(AND(M49&gt;1000,M49&lt;=5000),M49*2%,IF(AND(M49&gt;200,M49&lt;=1000),M49*3%,M49*5%))))</f>
        <v>1075.4349999999999</v>
      </c>
      <c r="M68" s="302">
        <f ca="1">ROUND(L68,1)</f>
        <v>1075.4000000000001</v>
      </c>
      <c r="N68" s="2542"/>
      <c r="Z68" s="1752"/>
      <c r="AI68" s="1753"/>
    </row>
    <row r="69" spans="1:35" s="1772" customFormat="1" ht="16.5" customHeight="1">
      <c r="A69" s="1811"/>
      <c r="B69" s="1812"/>
      <c r="C69" s="1813"/>
      <c r="D69" s="1814"/>
      <c r="E69" s="1815"/>
      <c r="F69" s="1578"/>
      <c r="G69" s="1578"/>
      <c r="H69" s="1577"/>
      <c r="I69" s="1747"/>
      <c r="J69" s="3588"/>
      <c r="K69" s="1332" t="s">
        <v>1393</v>
      </c>
      <c r="L69" s="1332"/>
      <c r="M69" s="302">
        <f ca="1">ROUND(SUM(M63:M68),0)</f>
        <v>3468</v>
      </c>
      <c r="N69" s="2544">
        <f ca="1">M69/M49</f>
        <v>1.6123708080916094E-2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1394</v>
      </c>
      <c r="B70" s="3633"/>
      <c r="C70" s="3633"/>
      <c r="D70" s="3633"/>
      <c r="E70" s="3633"/>
      <c r="F70" s="3633"/>
      <c r="G70" s="3633"/>
      <c r="H70" s="363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204845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1024</v>
      </c>
      <c r="D78" s="2576">
        <f>'数据-取费表'!B43</f>
        <v>5.000000000000001E-3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203821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199.0439453125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121934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204845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1024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90" t="s">
        <v>2129</v>
      </c>
      <c r="H90" s="359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21" t="s">
        <v>1422</v>
      </c>
      <c r="F92" s="3622"/>
      <c r="G92" s="3622"/>
      <c r="H92" s="362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1024</v>
      </c>
      <c r="D93" s="2576">
        <f>'数据-取费表'!B43</f>
        <v>5.000000000000001E-3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203821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199.0439453125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121934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成本法</v>
      </c>
      <c r="D101" s="2585" t="str">
        <f>D4</f>
        <v>收益法</v>
      </c>
      <c r="E101" s="3584" t="s">
        <v>1431</v>
      </c>
      <c r="F101" s="3585"/>
      <c r="G101" s="1827" t="s">
        <v>1432</v>
      </c>
      <c r="H101" s="2594">
        <f ca="1">H118</f>
        <v>215087</v>
      </c>
      <c r="I101" s="129"/>
    </row>
    <row r="102" spans="1:35" ht="18.75" customHeight="1">
      <c r="A102" s="3616" t="s">
        <v>1433</v>
      </c>
      <c r="B102" s="2583" t="s">
        <v>1432</v>
      </c>
      <c r="C102" s="2584">
        <f ca="1">IF(D32="楼面单价",ROUND(C19,0),C19)</f>
        <v>157027</v>
      </c>
      <c r="D102" s="2585">
        <f ca="1">IF(D32="楼面单价",ROUND(D19,0),D19)</f>
        <v>286049</v>
      </c>
      <c r="E102" s="3584"/>
      <c r="F102" s="3585"/>
      <c r="G102" s="1827" t="s">
        <v>1434</v>
      </c>
      <c r="H102" s="2554">
        <f ca="1">I118</f>
        <v>18849</v>
      </c>
      <c r="I102" s="129"/>
    </row>
    <row r="103" spans="1:35" ht="42.75" customHeight="1">
      <c r="A103" s="3616"/>
      <c r="B103" s="2583" t="s">
        <v>1434</v>
      </c>
      <c r="C103" s="2586">
        <f ca="1">C20</f>
        <v>13761</v>
      </c>
      <c r="D103" s="2587">
        <f ca="1">D20</f>
        <v>25068</v>
      </c>
      <c r="E103" s="3577" t="s">
        <v>1435</v>
      </c>
      <c r="F103" s="3578"/>
      <c r="G103" s="1828" t="s">
        <v>1436</v>
      </c>
      <c r="H103" s="2594">
        <f>IF(D36="正常操作",H104+H105+H106,H105+H106)</f>
        <v>0</v>
      </c>
      <c r="I103" s="129"/>
    </row>
    <row r="104" spans="1:35" ht="18.75" customHeight="1">
      <c r="A104" s="3616" t="s">
        <v>1437</v>
      </c>
      <c r="B104" s="2588" t="s">
        <v>1432</v>
      </c>
      <c r="C104" s="2589">
        <f ca="1">H118</f>
        <v>215087</v>
      </c>
      <c r="D104" s="2590"/>
      <c r="E104" s="1674" t="s">
        <v>1438</v>
      </c>
      <c r="F104" s="1666"/>
      <c r="G104" s="1828" t="s">
        <v>1436</v>
      </c>
      <c r="H104" s="2595">
        <f>IF(D36="同一抵押权人同一抵押物续贷",C36&amp;"（续贷，未扣减，详见特别提示）",C36)</f>
        <v>0</v>
      </c>
      <c r="I104" s="129"/>
    </row>
    <row r="105" spans="1:35" ht="18.75" customHeight="1" thickBot="1">
      <c r="A105" s="3626"/>
      <c r="B105" s="2591" t="s">
        <v>1434</v>
      </c>
      <c r="C105" s="2592">
        <f ca="1">I118</f>
        <v>18849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7" t="str">
        <f>IF(项目基本情况!E8="已注销","——","3.房地产抵押价值")</f>
        <v>3.房地产抵押价值</v>
      </c>
      <c r="F107" s="3585"/>
      <c r="G107" s="1827" t="s">
        <v>1432</v>
      </c>
      <c r="H107" s="2594">
        <f ca="1">IF(E107="——","——",H101-H103)</f>
        <v>215087</v>
      </c>
      <c r="I107" s="129"/>
    </row>
    <row r="108" spans="1:35" ht="18.75" customHeight="1">
      <c r="A108" s="129"/>
      <c r="B108" s="129"/>
      <c r="C108" s="129"/>
      <c r="D108" s="129"/>
      <c r="E108" s="3617"/>
      <c r="F108" s="3585"/>
      <c r="G108" s="1827" t="s">
        <v>1434</v>
      </c>
      <c r="H108" s="2554">
        <f ca="1">IF(H107=H101,H102,ROUND(H107*10000/'数据-汇总表'!E3,0))</f>
        <v>18849</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7" t="str">
        <f>IF(E109="——","——",H101-H105-H106)</f>
        <v>——</v>
      </c>
      <c r="I109" s="129"/>
    </row>
    <row r="110" spans="1:35" ht="18.75" customHeight="1">
      <c r="A110" s="129"/>
      <c r="B110" s="129"/>
      <c r="C110" s="129"/>
      <c r="D110" s="129"/>
      <c r="E110" s="3617"/>
      <c r="F110" s="3585"/>
      <c r="G110" s="1827"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4" t="str">
        <f>IF(E111="——","——",N59)</f>
        <v>——</v>
      </c>
      <c r="I111" s="129"/>
    </row>
    <row r="112" spans="1:35" ht="18.75" customHeight="1" thickBot="1">
      <c r="A112" s="129"/>
      <c r="B112" s="129"/>
      <c r="C112" s="129"/>
      <c r="D112" s="129"/>
      <c r="E112" s="3619"/>
      <c r="F112" s="3620"/>
      <c r="G112" s="1830"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114107.98000000001</v>
      </c>
      <c r="C118" s="2329">
        <f>M19</f>
        <v>236852.67</v>
      </c>
      <c r="D118" s="2329">
        <f ca="1">ROUND(IF(D32="总价",C34,E118*B118/10000),0)</f>
        <v>173827</v>
      </c>
      <c r="E118" s="2329">
        <f ca="1">ROUND(IF(C33="自定义",IF(D32="楼面单价",C34,D118*10000/B118),I118-G118),0)</f>
        <v>15234</v>
      </c>
      <c r="F118" s="2329">
        <f ca="1">ROUND(IF(D32="总价",C35,G118*B118/10000),0)</f>
        <v>41260</v>
      </c>
      <c r="G118" s="2329">
        <f ca="1">ROUND(IF(D32="楼面单价",C35,F118*10000/B118),0)</f>
        <v>3616</v>
      </c>
      <c r="H118" s="2329">
        <f ca="1">ROUND(IF(D32="总价",C32,I118*B118/10000),0)</f>
        <v>215087</v>
      </c>
      <c r="I118" s="2329">
        <f ca="1">ROUND(IF(D32="楼面单价",C32,H118*10000/B118),0)</f>
        <v>18849</v>
      </c>
    </row>
    <row r="119" spans="1:27" ht="18.75" customHeight="1">
      <c r="A119" s="3592" t="s">
        <v>1452</v>
      </c>
      <c r="B119" s="3592"/>
      <c r="C119" s="3592"/>
      <c r="D119" s="3598" t="str">
        <f ca="1">NUMBERSTRING(INT(D118*10000),2)&amp;"元整"</f>
        <v>壹拾柒亿叁仟捌佰贰拾柒万元整</v>
      </c>
      <c r="E119" s="3599"/>
      <c r="F119" s="3598" t="str">
        <f ca="1">NUMBERSTRING(INT(F118*10000),2)&amp;"元整"</f>
        <v>肆亿壹仟贰佰陆拾万元整</v>
      </c>
      <c r="G119" s="3599"/>
      <c r="H119" s="3598" t="str">
        <f ca="1">NUMBERSTRING(INT(H118*10000),2)&amp;"元整"</f>
        <v>贰拾壹亿伍仟零捌拾柒万元整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215087</v>
      </c>
      <c r="E122" s="3594"/>
      <c r="F122" s="3594"/>
      <c r="G122" s="3594"/>
      <c r="H122" s="3594"/>
      <c r="I122" s="3595"/>
      <c r="AA122" s="725"/>
    </row>
    <row r="123" spans="1:27" ht="18.75" customHeight="1">
      <c r="A123" s="3592" t="s">
        <v>1452</v>
      </c>
      <c r="B123" s="3592"/>
      <c r="C123" s="3592"/>
      <c r="D123" s="3598" t="str">
        <f ca="1">NUMBERSTRING(INT(D122*10000),2)&amp;"元整"</f>
        <v>贰拾壹亿伍仟零捌拾柒万元整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C23" sqref="C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157027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13761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82376</v>
      </c>
      <c r="D5" s="211" t="s">
        <v>1469</v>
      </c>
      <c r="E5" s="212" t="s">
        <v>1470</v>
      </c>
      <c r="F5" s="212" t="s">
        <v>1471</v>
      </c>
      <c r="G5" s="213"/>
    </row>
    <row r="6" spans="1:9" s="214" customFormat="1" ht="13.5" customHeight="1">
      <c r="A6" s="778" t="s">
        <v>1472</v>
      </c>
      <c r="B6" s="215" t="s">
        <v>1473</v>
      </c>
      <c r="C6" s="216">
        <f>基准地价修正!B2</f>
        <v>79938</v>
      </c>
      <c r="D6" s="217"/>
      <c r="E6" s="218"/>
      <c r="F6" s="218"/>
      <c r="G6" s="219"/>
    </row>
    <row r="7" spans="1:9" s="214" customFormat="1" ht="13.5" customHeight="1">
      <c r="A7" s="778" t="s">
        <v>1474</v>
      </c>
      <c r="B7" s="215" t="s">
        <v>1475</v>
      </c>
      <c r="C7" s="220">
        <f>ROUND(C6*F7,0)</f>
        <v>2438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3483</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114107.98000000001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114107.98000000001</v>
      </c>
      <c r="E19" s="211">
        <f>'数据-取费表'!B31</f>
        <v>200</v>
      </c>
      <c r="F19" s="231"/>
      <c r="G19" s="1856" t="s">
        <v>3484</v>
      </c>
    </row>
    <row r="20" spans="1:7" s="214" customFormat="1" ht="13.5" customHeight="1">
      <c r="A20" s="255" t="s">
        <v>1493</v>
      </c>
      <c r="B20" s="210" t="s">
        <v>1494</v>
      </c>
      <c r="C20" s="232">
        <f ca="1">ROUND((C5+C19)*F20,0)</f>
        <v>1648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6012</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16805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115767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38739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34232</v>
      </c>
      <c r="D34" s="217"/>
      <c r="E34" s="220"/>
      <c r="F34" s="257">
        <f ca="1">IF('数据-取费表'!B24=0,1,IF(B1="",'数据-取费表'!N16,INDIRECT("'数据-取费表'!n"&amp;$G$1)))</f>
        <v>1</v>
      </c>
      <c r="G34" s="219" t="s">
        <v>1526</v>
      </c>
    </row>
    <row r="35" spans="1:7" ht="13.5" customHeight="1">
      <c r="A35" s="780" t="s">
        <v>351</v>
      </c>
      <c r="B35" s="215" t="s">
        <v>1527</v>
      </c>
      <c r="C35" s="220">
        <f ca="1">ROUND(C34*F35,0)</f>
        <v>1712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114107.98000000001</v>
      </c>
      <c r="E37" s="249">
        <f>'数据-取费表'!B35</f>
        <v>200</v>
      </c>
      <c r="F37" s="259"/>
      <c r="G37" s="261" t="s">
        <v>1532</v>
      </c>
    </row>
    <row r="38" spans="1:7" ht="13.5" customHeight="1">
      <c r="A38" s="780" t="s">
        <v>354</v>
      </c>
      <c r="B38" s="215" t="s">
        <v>1533</v>
      </c>
      <c r="C38" s="220">
        <f ca="1">ROUND(C34*F38,0)</f>
        <v>513</v>
      </c>
      <c r="D38" s="220"/>
      <c r="E38" s="220"/>
      <c r="F38" s="259">
        <f>'数据-取费表'!B36</f>
        <v>1.4999999999999999E-2</v>
      </c>
      <c r="G38" s="219" t="s">
        <v>1528</v>
      </c>
    </row>
    <row r="39" spans="1:7" s="214" customFormat="1" ht="13.5" customHeight="1">
      <c r="A39" s="255" t="s">
        <v>1534</v>
      </c>
      <c r="B39" s="210" t="s">
        <v>1535</v>
      </c>
      <c r="C39" s="232">
        <f ca="1">ROUND(C33*F20,0)</f>
        <v>775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1375</v>
      </c>
      <c r="D42" s="238"/>
      <c r="E42" s="238"/>
      <c r="F42" s="239"/>
      <c r="G42" s="3671" t="s">
        <v>1544</v>
      </c>
    </row>
    <row r="43" spans="1:7" ht="13.5" customHeight="1">
      <c r="A43" s="780" t="s">
        <v>347</v>
      </c>
      <c r="B43" s="215" t="s">
        <v>1545</v>
      </c>
      <c r="C43" s="238">
        <f ca="1">ROUND(IF('数据-取费表'!B22&lt;=1,C39*F22*'数据-取费表'!B21/2,C39*(POWER((1+F22),'数据-取费表'!B21/2)-1)),0)</f>
        <v>28</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7903</v>
      </c>
      <c r="D45" s="235">
        <f ca="1">C47</f>
        <v>4.0000000000000001E-3</v>
      </c>
      <c r="E45" s="236" t="s">
        <v>1539</v>
      </c>
      <c r="F45" s="246">
        <f ca="1">F27</f>
        <v>0.2</v>
      </c>
      <c r="G45" s="247" t="s">
        <v>1548</v>
      </c>
    </row>
    <row r="46" spans="1:7" s="214" customFormat="1" ht="13.5" customHeight="1">
      <c r="A46" s="780" t="s">
        <v>346</v>
      </c>
      <c r="B46" s="248" t="s">
        <v>1549</v>
      </c>
      <c r="C46" s="249">
        <f ca="1">ROUND((C33+C39)*F27,0)</f>
        <v>7903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52898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41260</v>
      </c>
      <c r="D51" s="232"/>
      <c r="E51" s="232"/>
      <c r="F51" s="264"/>
      <c r="G51" s="234" t="s">
        <v>1560</v>
      </c>
    </row>
    <row r="52" spans="1:7" s="208" customFormat="1" ht="16.5" thickBot="1">
      <c r="A52" s="265" t="s">
        <v>1561</v>
      </c>
      <c r="B52" s="266"/>
      <c r="C52" s="267">
        <f ca="1">C31+C51</f>
        <v>157027</v>
      </c>
      <c r="D52" s="266"/>
      <c r="E52" s="266"/>
      <c r="F52" s="266"/>
      <c r="G52" s="268"/>
    </row>
    <row r="55" spans="1:7" ht="15">
      <c r="B55" s="270" t="s">
        <v>1562</v>
      </c>
      <c r="C55" s="271"/>
    </row>
    <row r="56" spans="1:7">
      <c r="B56" s="273" t="s">
        <v>802</v>
      </c>
      <c r="C56" s="275">
        <f ca="1">1-C57</f>
        <v>0.73699999999999999</v>
      </c>
    </row>
    <row r="57" spans="1:7">
      <c r="B57" s="273" t="s">
        <v>803</v>
      </c>
      <c r="C57" s="274">
        <f ca="1">ROUND(C51/C52,3)</f>
        <v>0.26300000000000001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44468.063499999997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114107.98000000001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114107.98000000001</v>
      </c>
      <c r="E19" s="211">
        <f>'数据-取费表'!B31</f>
        <v>200</v>
      </c>
      <c r="F19" s="231"/>
      <c r="G19" s="1856"/>
    </row>
    <row r="20" spans="1:7" s="214" customFormat="1" ht="13.5" customHeight="1">
      <c r="A20" s="255" t="s">
        <v>1574</v>
      </c>
      <c r="B20" s="210" t="s">
        <v>1575</v>
      </c>
      <c r="C20" s="232">
        <f ca="1">ROUND((C5+C19)*F20,0)</f>
        <v>456432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1665297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1649094</v>
      </c>
      <c r="D24" s="238"/>
      <c r="E24" s="238"/>
      <c r="F24" s="239"/>
      <c r="G24" s="240" t="s">
        <v>1586</v>
      </c>
    </row>
    <row r="25" spans="1:7" s="214" customFormat="1" ht="24">
      <c r="A25" s="780" t="s">
        <v>1476</v>
      </c>
      <c r="B25" s="215" t="s">
        <v>1587</v>
      </c>
      <c r="C25" s="1128">
        <f ca="1">ROUND(IF('数据-取费表'!B22&lt;=1,C20*F22*'数据-取费表'!B22/2,C20*(POWER((1+F22),'数据-取费表'!B22/2)-1)),0)</f>
        <v>16203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4655606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4655606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32071656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387396592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342323940</v>
      </c>
      <c r="D34" s="217"/>
      <c r="E34" s="220"/>
      <c r="F34" s="257"/>
      <c r="G34" s="219"/>
    </row>
    <row r="35" spans="1:7" ht="13.5" customHeight="1">
      <c r="A35" s="780" t="s">
        <v>351</v>
      </c>
      <c r="B35" s="215" t="s">
        <v>1527</v>
      </c>
      <c r="C35" s="220">
        <f ca="1">ROUND(C34*F35,0)</f>
        <v>17116197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114107.98000000001</v>
      </c>
      <c r="E37" s="249">
        <f>'数据-取费表'!B35</f>
        <v>200</v>
      </c>
      <c r="F37" s="259"/>
      <c r="G37" s="261"/>
    </row>
    <row r="38" spans="1:7" ht="13.5" customHeight="1">
      <c r="A38" s="780" t="s">
        <v>354</v>
      </c>
      <c r="B38" s="215" t="s">
        <v>1533</v>
      </c>
      <c r="C38" s="220">
        <f ca="1">ROUND(C34*F38,0)</f>
        <v>5134859</v>
      </c>
      <c r="D38" s="220"/>
      <c r="E38" s="220"/>
      <c r="F38" s="259">
        <f>'数据-取费表'!B36</f>
        <v>1.4999999999999999E-2</v>
      </c>
      <c r="G38" s="219" t="s">
        <v>1528</v>
      </c>
    </row>
    <row r="39" spans="1:7" s="214" customFormat="1" ht="13.5" customHeight="1">
      <c r="A39" s="255" t="s">
        <v>1534</v>
      </c>
      <c r="B39" s="210" t="s">
        <v>1535</v>
      </c>
      <c r="C39" s="232">
        <f ca="1">ROUND(C33*F20,0)</f>
        <v>7747932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14027631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13752579</v>
      </c>
      <c r="D42" s="238"/>
      <c r="E42" s="238"/>
      <c r="F42" s="239"/>
      <c r="G42" s="3671" t="s">
        <v>1591</v>
      </c>
    </row>
    <row r="43" spans="1:7" ht="13.5" customHeight="1">
      <c r="A43" s="780" t="s">
        <v>347</v>
      </c>
      <c r="B43" s="215" t="s">
        <v>1545</v>
      </c>
      <c r="C43" s="238">
        <f ca="1">ROUND(IF('数据-取费表'!B22&lt;=1,C39*F22*'数据-取费表'!B20/2,C39*(POWER((1+F22),'数据-取费表'!B20/2)-1)),0)</f>
        <v>275052</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79028905</v>
      </c>
      <c r="D45" s="235">
        <f ca="1">C47</f>
        <v>4.0000000000000001E-3</v>
      </c>
      <c r="E45" s="236" t="s">
        <v>1539</v>
      </c>
      <c r="F45" s="246">
        <f ca="1">F27</f>
        <v>0.2</v>
      </c>
      <c r="G45" s="247" t="s">
        <v>1548</v>
      </c>
    </row>
    <row r="46" spans="1:7" s="214" customFormat="1" ht="13.5" customHeight="1">
      <c r="A46" s="780" t="s">
        <v>346</v>
      </c>
      <c r="B46" s="248" t="s">
        <v>1549</v>
      </c>
      <c r="C46" s="249">
        <f ca="1">ROUND((C33+C39)*F27,0)</f>
        <v>79028905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528985871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412608979</v>
      </c>
      <c r="D51" s="232"/>
      <c r="E51" s="232"/>
      <c r="F51" s="264"/>
      <c r="G51" s="234" t="s">
        <v>1560</v>
      </c>
    </row>
    <row r="52" spans="1:7" s="208" customFormat="1" ht="16.5" thickBot="1">
      <c r="A52" s="265" t="s">
        <v>1561</v>
      </c>
      <c r="B52" s="266"/>
      <c r="C52" s="267">
        <f ca="1">C31+C51</f>
        <v>444680635</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114107.98000000001</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33.07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286049</v>
      </c>
      <c r="C2" s="1387" t="s">
        <v>805</v>
      </c>
      <c r="D2" s="1387"/>
      <c r="E2" s="1388"/>
      <c r="F2" s="1389"/>
      <c r="G2" s="2705"/>
      <c r="H2" s="2694"/>
      <c r="I2" s="2694"/>
      <c r="J2" s="2694"/>
      <c r="K2" s="2695"/>
      <c r="L2" s="2694"/>
      <c r="M2" s="2694"/>
    </row>
    <row r="3" spans="1:37" ht="18" customHeight="1" thickBot="1">
      <c r="A3" s="1390" t="s">
        <v>806</v>
      </c>
      <c r="B3" s="1391">
        <f ca="1">IF(ISERROR(B2*10000/F43),0,ROUND(B2*10000/F43,0))</f>
        <v>25068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17265</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17243</v>
      </c>
      <c r="D6" s="155" t="s">
        <v>2109</v>
      </c>
      <c r="E6" s="302" t="s">
        <v>696</v>
      </c>
      <c r="F6" s="303">
        <f ca="1">INDIRECT("'数据-取费表'!u"&amp;$G$1)</f>
        <v>4.5999999999999996</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114107.98000000001</v>
      </c>
      <c r="G7" s="1384"/>
      <c r="H7" s="304"/>
      <c r="I7" s="3677"/>
      <c r="J7" s="306"/>
      <c r="K7" s="307"/>
      <c r="L7" s="302" t="s">
        <v>697</v>
      </c>
      <c r="M7" s="303">
        <f ca="1">F7</f>
        <v>114107.98000000001</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2117</v>
      </c>
      <c r="E10" s="313" t="s">
        <v>701</v>
      </c>
      <c r="F10" s="1116" t="s">
        <v>3765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41260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34232</v>
      </c>
      <c r="D14" s="1345" t="s">
        <v>708</v>
      </c>
      <c r="E14" s="1342"/>
      <c r="F14" s="319"/>
      <c r="G14" s="1384"/>
      <c r="H14" s="982" t="s">
        <v>398</v>
      </c>
      <c r="I14" s="302" t="s">
        <v>709</v>
      </c>
      <c r="J14" s="21">
        <f ca="1">C29</f>
        <v>52898</v>
      </c>
      <c r="K14" s="12"/>
      <c r="L14" s="807"/>
      <c r="M14" s="808"/>
    </row>
    <row r="15" spans="1:37" s="1397" customFormat="1" ht="18" customHeight="1" thickBot="1">
      <c r="A15" s="982" t="s">
        <v>399</v>
      </c>
      <c r="B15" s="302" t="s">
        <v>710</v>
      </c>
      <c r="C15" s="21">
        <f ca="1">ROUND(C14*F15,0)</f>
        <v>1712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300</v>
      </c>
      <c r="K16" s="1087" t="s">
        <v>715</v>
      </c>
      <c r="L16" s="1088"/>
      <c r="M16" s="1072"/>
    </row>
    <row r="17" spans="1:37" s="1397" customFormat="1" ht="18" customHeight="1">
      <c r="A17" s="982" t="s">
        <v>681</v>
      </c>
      <c r="B17" s="302" t="s">
        <v>716</v>
      </c>
      <c r="C17" s="21">
        <f ca="1">ROUND(F17*(F43+INDIRECT("'数据-取费表'!S"&amp;$G$1))/10000,0)</f>
        <v>2282</v>
      </c>
      <c r="D17" s="302" t="s">
        <v>717</v>
      </c>
      <c r="E17" s="302" t="s">
        <v>718</v>
      </c>
      <c r="F17" s="23">
        <f>'数据-取费表'!B35</f>
        <v>200</v>
      </c>
      <c r="G17" s="1396"/>
      <c r="H17" s="982" t="s">
        <v>398</v>
      </c>
      <c r="I17" s="302" t="s">
        <v>719</v>
      </c>
      <c r="J17" s="2316">
        <f ca="1">ROUND(IF(AND(项目基本情况!B11="自然人",项目基本情况!B10="北京市"),J6*M17/(1+'数据-取费表'!C42),J18+J19+J20),2)</f>
        <v>35.53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38739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775</v>
      </c>
      <c r="D20" s="323" t="s">
        <v>729</v>
      </c>
      <c r="E20" s="302" t="s">
        <v>712</v>
      </c>
      <c r="F20" s="322">
        <f>'数据-取费表'!B37</f>
        <v>0.02</v>
      </c>
      <c r="G20" s="1396"/>
      <c r="H20" s="982" t="s">
        <v>680</v>
      </c>
      <c r="I20" s="155" t="s">
        <v>730</v>
      </c>
      <c r="J20" s="22">
        <f ca="1">ROUND(M20*M21/10000,2)</f>
        <v>35.53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264.49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-300</v>
      </c>
      <c r="K25" s="1095" t="s">
        <v>753</v>
      </c>
      <c r="L25" s="1096"/>
      <c r="M25" s="1097"/>
    </row>
    <row r="26" spans="1:37">
      <c r="A26" s="982" t="s">
        <v>397</v>
      </c>
      <c r="B26" s="302" t="s">
        <v>754</v>
      </c>
      <c r="C26" s="21">
        <f ca="1">ROUND((C19+C20)*F26,0)</f>
        <v>7903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52898</v>
      </c>
      <c r="D29" s="1092"/>
      <c r="E29" s="1090"/>
      <c r="F29" s="1093"/>
      <c r="G29" s="1396"/>
      <c r="H29" s="334" t="s">
        <v>396</v>
      </c>
      <c r="I29" s="335" t="s">
        <v>768</v>
      </c>
      <c r="J29" s="336">
        <f ca="1">ROUND(J26/(1+F40)^F41,0)</f>
        <v>0</v>
      </c>
      <c r="K29" s="337" t="s">
        <v>769</v>
      </c>
      <c r="L29" s="338"/>
      <c r="M29" s="339">
        <f ca="1">INDIRECT("'数据-取费表'!k"&amp;$G$1)</f>
        <v>114107.98000000001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3388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2909.36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1970.63</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35.53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236852.67</v>
      </c>
      <c r="G35" s="1384"/>
      <c r="H35" s="2696"/>
      <c r="I35" s="1398"/>
      <c r="J35" s="1399"/>
      <c r="K35" s="2700"/>
      <c r="L35" s="2699"/>
      <c r="M35" s="2699"/>
    </row>
    <row r="36" spans="1:18" ht="18" customHeight="1">
      <c r="A36" s="1102" t="s">
        <v>402</v>
      </c>
      <c r="B36" s="302" t="s">
        <v>738</v>
      </c>
      <c r="C36" s="21">
        <f ca="1">ROUND(C29*F36,2)</f>
        <v>264.49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41.26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172.65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13877</v>
      </c>
      <c r="D39" s="1095" t="s">
        <v>773</v>
      </c>
      <c r="E39" s="1096"/>
      <c r="F39" s="1097"/>
      <c r="G39" s="1384"/>
      <c r="H39" s="2699"/>
      <c r="I39" s="1398"/>
      <c r="J39" s="1399"/>
      <c r="K39" s="2703"/>
      <c r="L39" s="2699"/>
      <c r="M39" s="2699"/>
    </row>
    <row r="40" spans="1:18" ht="18" customHeight="1">
      <c r="A40" s="299" t="s">
        <v>395</v>
      </c>
      <c r="B40" s="300" t="s">
        <v>774</v>
      </c>
      <c r="C40" s="301">
        <f ca="1">ROUND(C39*(1-((1+F42)/(1+F40))^F41)/(F40-F42),0)</f>
        <v>284389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33.07</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24923</v>
      </c>
      <c r="D43" s="337" t="s">
        <v>777</v>
      </c>
      <c r="E43" s="338" t="s">
        <v>778</v>
      </c>
      <c r="F43" s="339">
        <f ca="1">INDIRECT("'数据-取费表'!k"&amp;$G$1)</f>
        <v>114107.98000000001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-289549</v>
      </c>
      <c r="D46" s="1406" t="str">
        <f>C2</f>
        <v>万元</v>
      </c>
      <c r="E46" s="1400"/>
      <c r="F46" s="1400"/>
      <c r="I46" s="1407" t="s">
        <v>810</v>
      </c>
      <c r="J46" s="1408"/>
      <c r="K46" s="1409"/>
      <c r="L46" s="1410">
        <f ca="1">IF(M47="住宅",0,IF(L48&gt;J51,L60,J60))</f>
        <v>1660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3467</v>
      </c>
      <c r="K47" s="1416" t="s">
        <v>816</v>
      </c>
      <c r="L47" s="1417">
        <f ca="1">INDIRECT("'数据-取费表'!d"&amp;$G$1)</f>
        <v>50</v>
      </c>
      <c r="M47" s="1380" t="str">
        <f>IF(ISNUMBER(FIND("住宅",C1)),"住宅","非住宅")</f>
        <v>非住宅</v>
      </c>
      <c r="O47" s="1418" t="s">
        <v>403</v>
      </c>
      <c r="P47" s="1419" t="s">
        <v>817</v>
      </c>
      <c r="Q47" s="1420">
        <f ca="1">C40+J29</f>
        <v>284389</v>
      </c>
      <c r="R47" s="1420" t="s">
        <v>818</v>
      </c>
    </row>
    <row r="48" spans="1:18" s="1384" customFormat="1" ht="28.5" thickBot="1">
      <c r="A48" s="1110" t="s">
        <v>438</v>
      </c>
      <c r="B48" s="300" t="s">
        <v>692</v>
      </c>
      <c r="C48" s="1359">
        <f ca="1">C49+C53+C55</f>
        <v>0</v>
      </c>
      <c r="D48" s="1112"/>
      <c r="E48" s="1113"/>
      <c r="F48" s="962"/>
      <c r="G48" s="722"/>
      <c r="H48" s="723"/>
      <c r="I48" s="1421" t="s">
        <v>819</v>
      </c>
      <c r="J48" s="1422" t="s">
        <v>3468</v>
      </c>
      <c r="K48" s="1423" t="s">
        <v>820</v>
      </c>
      <c r="L48" s="1424">
        <f ca="1">INDIRECT("'数据-取费表'!f"&amp;$G$1)</f>
        <v>33.07</v>
      </c>
      <c r="O48" s="1418" t="s">
        <v>404</v>
      </c>
      <c r="P48" s="1419" t="s">
        <v>821</v>
      </c>
      <c r="Q48" s="1420">
        <f ca="1">J60</f>
        <v>1660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52898</v>
      </c>
      <c r="R49" s="1420" t="s">
        <v>818</v>
      </c>
    </row>
    <row r="50" spans="1:18" s="1384" customFormat="1" ht="13.5" thickBot="1">
      <c r="A50" s="976"/>
      <c r="B50" s="979"/>
      <c r="C50" s="1118"/>
      <c r="D50" s="953"/>
      <c r="E50" s="1056" t="s">
        <v>697</v>
      </c>
      <c r="F50" s="1057">
        <f ca="1">F7</f>
        <v>114107.98000000001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192792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33.07</v>
      </c>
      <c r="K53" s="3674" t="s">
        <v>837</v>
      </c>
      <c r="L53" s="3675"/>
      <c r="O53" s="1418" t="s">
        <v>409</v>
      </c>
      <c r="P53" s="1419" t="s">
        <v>838</v>
      </c>
      <c r="Q53" s="1420">
        <f ca="1">Q47+Q48</f>
        <v>286049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0.216</v>
      </c>
      <c r="K55" s="1445" t="s">
        <v>841</v>
      </c>
      <c r="L55" s="1446"/>
      <c r="O55" s="1411" t="s">
        <v>811</v>
      </c>
      <c r="P55" s="1412" t="s">
        <v>812</v>
      </c>
      <c r="Q55" s="1413" t="s">
        <v>813</v>
      </c>
      <c r="R55" s="1413" t="s">
        <v>814</v>
      </c>
    </row>
    <row r="56" spans="1:18" s="1384" customFormat="1" ht="25.5" thickTop="1" thickBot="1">
      <c r="A56" s="957">
        <v>2</v>
      </c>
      <c r="B56" s="958" t="s">
        <v>704</v>
      </c>
      <c r="C56" s="232">
        <f ca="1">C13</f>
        <v>41260</v>
      </c>
      <c r="D56" s="1447"/>
      <c r="E56" s="1448"/>
      <c r="F56" s="1440"/>
      <c r="I56" s="1449" t="s">
        <v>842</v>
      </c>
      <c r="J56" s="1450" t="s">
        <v>3469</v>
      </c>
      <c r="K56" s="1421" t="s">
        <v>843</v>
      </c>
      <c r="L56" s="1424" t="str">
        <f ca="1">IF(L48&lt;J51,"——",L48-J53)</f>
        <v>——</v>
      </c>
      <c r="O56" s="1418" t="s">
        <v>403</v>
      </c>
      <c r="P56" s="1419" t="s">
        <v>817</v>
      </c>
      <c r="Q56" s="1420">
        <f ca="1">C40+J29</f>
        <v>284389</v>
      </c>
      <c r="R56" s="1420" t="s">
        <v>818</v>
      </c>
    </row>
    <row r="57" spans="1:18" s="1384" customFormat="1" ht="24.75" thickBot="1">
      <c r="A57" s="1451"/>
      <c r="B57" s="950" t="s">
        <v>767</v>
      </c>
      <c r="C57" s="238">
        <f ca="1">C29</f>
        <v>52898</v>
      </c>
      <c r="D57" s="1452"/>
      <c r="E57" s="1453"/>
      <c r="F57" s="1454"/>
      <c r="I57" s="1455" t="s">
        <v>844</v>
      </c>
      <c r="J57" s="1456">
        <f ca="1">IF(OR(M47="住宅",J51&lt;L48,J56="是"),"——",J51-L48)</f>
        <v>12.93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21159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284389</v>
      </c>
      <c r="R62" s="1420" t="s">
        <v>410</v>
      </c>
    </row>
    <row r="63" spans="1:18" s="1384" customFormat="1" ht="13.5" thickBot="1">
      <c r="A63" s="326"/>
      <c r="B63" s="956"/>
      <c r="C63" s="26"/>
      <c r="D63" s="966"/>
      <c r="E63" s="950" t="s">
        <v>788</v>
      </c>
      <c r="F63" s="303">
        <f t="shared" ca="1" si="0"/>
        <v>236852.67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264.49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41.26</v>
      </c>
      <c r="D65" s="964" t="s">
        <v>743</v>
      </c>
      <c r="E65" s="950" t="s">
        <v>744</v>
      </c>
      <c r="F65" s="330">
        <f t="shared" ca="1" si="0"/>
        <v>1E-3</v>
      </c>
      <c r="I65" s="1462" t="s">
        <v>867</v>
      </c>
      <c r="J65" s="1463">
        <v>40</v>
      </c>
      <c r="K65" s="1463">
        <v>30</v>
      </c>
      <c r="L65" s="1463">
        <v>50</v>
      </c>
      <c r="M65" s="1465">
        <v>0.02</v>
      </c>
      <c r="O65" s="1418" t="s">
        <v>403</v>
      </c>
      <c r="P65" s="1419" t="s">
        <v>868</v>
      </c>
      <c r="Q65" s="1420">
        <f ca="1">C40+J29</f>
        <v>284389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-342</v>
      </c>
      <c r="D67" s="963" t="s">
        <v>753</v>
      </c>
      <c r="E67" s="968"/>
      <c r="F67" s="969"/>
      <c r="O67" s="1428" t="s">
        <v>405</v>
      </c>
      <c r="P67" s="1419" t="s">
        <v>850</v>
      </c>
      <c r="Q67" s="1466">
        <f ca="1">L51</f>
        <v>192792</v>
      </c>
      <c r="R67" s="1420" t="s">
        <v>870</v>
      </c>
    </row>
    <row r="68" spans="1:18" s="1384" customFormat="1" ht="16.5" thickBot="1">
      <c r="A68" s="947" t="s">
        <v>395</v>
      </c>
      <c r="B68" s="948" t="s">
        <v>774</v>
      </c>
      <c r="C68" s="301">
        <f ca="1">ROUND(C67*(1-((1+F70)/(1+F68))^F69)/(F68-F70),0)</f>
        <v>-5160</v>
      </c>
      <c r="D68" s="965" t="s">
        <v>758</v>
      </c>
      <c r="E68" s="950" t="s">
        <v>759</v>
      </c>
      <c r="F68" s="312">
        <f ca="1">F40</f>
        <v>5.5E-2</v>
      </c>
      <c r="O68" s="1428" t="s">
        <v>406</v>
      </c>
      <c r="P68" s="1467" t="s">
        <v>871</v>
      </c>
      <c r="Q68" s="1420">
        <f ca="1">ROUND(Q69-Q70*Q71,0)</f>
        <v>10783</v>
      </c>
      <c r="R68" s="1420" t="s">
        <v>414</v>
      </c>
    </row>
    <row r="69" spans="1:18" s="1384" customFormat="1" ht="13.5" thickBot="1">
      <c r="A69" s="951"/>
      <c r="B69" s="952"/>
      <c r="C69" s="306"/>
      <c r="D69" s="970" t="s">
        <v>762</v>
      </c>
      <c r="E69" s="950" t="s">
        <v>763</v>
      </c>
      <c r="F69" s="333">
        <f ca="1">F41</f>
        <v>33.07</v>
      </c>
      <c r="O69" s="1428" t="s">
        <v>411</v>
      </c>
      <c r="P69" s="1467" t="s">
        <v>872</v>
      </c>
      <c r="Q69" s="1420">
        <f ca="1">C39</f>
        <v>13877</v>
      </c>
      <c r="R69" s="1420" t="s">
        <v>818</v>
      </c>
    </row>
    <row r="70" spans="1:18" s="1384" customFormat="1" ht="13.5" thickBot="1">
      <c r="A70" s="954"/>
      <c r="B70" s="955"/>
      <c r="C70" s="310"/>
      <c r="D70" s="966"/>
      <c r="E70" s="950" t="s">
        <v>766</v>
      </c>
      <c r="F70" s="1054"/>
      <c r="O70" s="1428" t="s">
        <v>412</v>
      </c>
      <c r="P70" s="1467" t="s">
        <v>873</v>
      </c>
      <c r="Q70" s="1420">
        <f ca="1">C13</f>
        <v>41260</v>
      </c>
      <c r="R70" s="1420" t="s">
        <v>818</v>
      </c>
    </row>
    <row r="71" spans="1:18" s="1384" customFormat="1" ht="13.5" thickBot="1">
      <c r="A71" s="971" t="s">
        <v>396</v>
      </c>
      <c r="B71" s="972" t="s">
        <v>776</v>
      </c>
      <c r="C71" s="336">
        <f ca="1">ROUND(C68*10000/F71,0)</f>
        <v>-452</v>
      </c>
      <c r="D71" s="973" t="s">
        <v>777</v>
      </c>
      <c r="E71" s="974" t="s">
        <v>778</v>
      </c>
      <c r="F71" s="339">
        <f ca="1">F43</f>
        <v>114107.98000000001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3095</v>
      </c>
      <c r="D75" s="1384"/>
      <c r="E75" s="1384"/>
      <c r="F75" s="1384"/>
      <c r="K75" s="1402"/>
      <c r="L75" s="1384"/>
      <c r="O75" s="1418" t="s">
        <v>409</v>
      </c>
      <c r="P75" s="1419" t="s">
        <v>838</v>
      </c>
      <c r="Q75" s="1420">
        <f ca="1">Q65+Q66</f>
        <v>284389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0.85499999999999998</v>
      </c>
    </row>
    <row r="83" spans="2:3">
      <c r="B83" s="273" t="s">
        <v>803</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0</v>
      </c>
      <c r="D6" s="155" t="s">
        <v>2106</v>
      </c>
      <c r="E6" s="302" t="s">
        <v>696</v>
      </c>
      <c r="F6" s="303">
        <f ca="1">INDIRECT("'数据-取费表'!u"&amp;$G$1)</f>
        <v>0</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79" t="s">
        <v>2321</v>
      </c>
      <c r="K2" s="368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1" t="s">
        <v>2331</v>
      </c>
      <c r="K3" s="368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1" t="s">
        <v>2333</v>
      </c>
      <c r="K4" s="368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3" t="s">
        <v>2337</v>
      </c>
      <c r="B6" s="3684"/>
      <c r="C6" s="3685"/>
      <c r="D6" s="2869"/>
      <c r="E6" s="2870"/>
      <c r="F6" s="2871"/>
      <c r="G6" s="2872"/>
      <c r="H6" s="2847"/>
      <c r="I6" s="2848"/>
      <c r="J6" s="3686">
        <v>1</v>
      </c>
      <c r="K6" s="368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86"/>
      <c r="K7" s="368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90" t="s">
        <v>2351</v>
      </c>
      <c r="C8" s="3691"/>
      <c r="D8" s="2888" t="s">
        <v>2352</v>
      </c>
      <c r="E8" s="2889" t="s">
        <v>2353</v>
      </c>
      <c r="F8" s="2890" t="s">
        <v>2354</v>
      </c>
      <c r="G8" s="2891"/>
      <c r="H8" s="2847"/>
      <c r="I8" s="2848"/>
      <c r="J8" s="3686"/>
      <c r="K8" s="368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90" t="s">
        <v>2357</v>
      </c>
      <c r="C9" s="3691"/>
      <c r="D9" s="2888">
        <f>ROUND(D6*E9,0)</f>
        <v>0</v>
      </c>
      <c r="E9" s="2892"/>
      <c r="F9" s="2893" t="s">
        <v>2358</v>
      </c>
      <c r="G9" s="2872"/>
      <c r="H9" s="2847"/>
      <c r="I9" s="2848"/>
      <c r="J9" s="3686"/>
      <c r="K9" s="3688"/>
      <c r="L9" s="2882" t="s">
        <v>2359</v>
      </c>
      <c r="M9" s="2883"/>
      <c r="N9" s="2859"/>
      <c r="O9" s="2884"/>
      <c r="P9" s="2884"/>
      <c r="Q9" s="2885">
        <v>365</v>
      </c>
      <c r="R9" s="2886">
        <f t="shared" si="0"/>
        <v>0</v>
      </c>
      <c r="S9" s="2840"/>
      <c r="T9" s="2840"/>
      <c r="U9" s="2840"/>
      <c r="V9" s="2848"/>
    </row>
    <row r="10" spans="1:22" s="2852" customFormat="1" ht="13.15" customHeight="1">
      <c r="A10" s="2887">
        <v>2</v>
      </c>
      <c r="B10" s="3690" t="s">
        <v>2360</v>
      </c>
      <c r="C10" s="3691"/>
      <c r="D10" s="2888">
        <f>ROUND(D6*E10,0)</f>
        <v>0</v>
      </c>
      <c r="E10" s="2892"/>
      <c r="F10" s="2893" t="s">
        <v>2361</v>
      </c>
      <c r="G10" s="2872"/>
      <c r="H10" s="2847"/>
      <c r="I10" s="2848"/>
      <c r="J10" s="3686"/>
      <c r="K10" s="3688"/>
      <c r="L10" s="2882" t="s">
        <v>2362</v>
      </c>
      <c r="M10" s="2883"/>
      <c r="N10" s="2859"/>
      <c r="O10" s="2884"/>
      <c r="P10" s="2884"/>
      <c r="Q10" s="2885">
        <v>365</v>
      </c>
      <c r="R10" s="2886">
        <f t="shared" si="0"/>
        <v>0</v>
      </c>
      <c r="S10" s="2840"/>
      <c r="T10" s="2840"/>
      <c r="U10" s="2840"/>
      <c r="V10" s="2848"/>
    </row>
    <row r="11" spans="1:22" s="2852" customFormat="1" ht="13.15" customHeight="1">
      <c r="A11" s="2887">
        <v>3</v>
      </c>
      <c r="B11" s="3690" t="s">
        <v>2363</v>
      </c>
      <c r="C11" s="3691"/>
      <c r="D11" s="2888">
        <f>D12+D14+D15+D16</f>
        <v>0</v>
      </c>
      <c r="E11" s="2894" t="e">
        <f>D11/D6</f>
        <v>#DIV/0!</v>
      </c>
      <c r="F11" s="2890"/>
      <c r="G11" s="2891"/>
      <c r="H11" s="2847"/>
      <c r="I11" s="2848"/>
      <c r="J11" s="3686"/>
      <c r="K11" s="368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92" t="s">
        <v>2366</v>
      </c>
      <c r="C12" s="3693"/>
      <c r="D12" s="2896">
        <f>ROUND(D13*1.2%*(1-30%),0)</f>
        <v>0</v>
      </c>
      <c r="E12" s="2897">
        <v>1.2E-2</v>
      </c>
      <c r="F12" s="2890" t="s">
        <v>2367</v>
      </c>
      <c r="G12" s="2891"/>
      <c r="H12" s="2847"/>
      <c r="I12" s="2848"/>
      <c r="J12" s="3686"/>
      <c r="K12" s="368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86"/>
      <c r="K13" s="368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92" t="s">
        <v>2372</v>
      </c>
      <c r="C14" s="3693"/>
      <c r="D14" s="2896">
        <f>ROUND(E14*B5/10000,0)</f>
        <v>0</v>
      </c>
      <c r="E14" s="2885"/>
      <c r="F14" s="2890" t="s">
        <v>2373</v>
      </c>
      <c r="G14" s="2891"/>
      <c r="H14" s="2847"/>
      <c r="I14" s="2848"/>
      <c r="J14" s="3686"/>
      <c r="K14" s="368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92" t="s">
        <v>2376</v>
      </c>
      <c r="C15" s="3693"/>
      <c r="D15" s="2896">
        <f>ROUND(D6*E15,0)</f>
        <v>0</v>
      </c>
      <c r="E15" s="2897">
        <v>5.5E-2</v>
      </c>
      <c r="F15" s="2890" t="s">
        <v>2377</v>
      </c>
      <c r="G15" s="2872"/>
      <c r="H15" s="2847"/>
      <c r="I15" s="2848"/>
      <c r="J15" s="3686">
        <v>2</v>
      </c>
      <c r="K15" s="368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92" t="s">
        <v>2385</v>
      </c>
      <c r="C16" s="3693"/>
      <c r="D16" s="2907">
        <f>D6*E16</f>
        <v>0</v>
      </c>
      <c r="E16" s="2908"/>
      <c r="F16" s="2893" t="s">
        <v>2386</v>
      </c>
      <c r="G16" s="2872"/>
      <c r="H16" s="2847"/>
      <c r="I16" s="2848"/>
      <c r="J16" s="3686"/>
      <c r="K16" s="368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94" t="s">
        <v>2388</v>
      </c>
      <c r="C17" s="3695"/>
      <c r="D17" s="2910">
        <f>ROUND(D6*E17,0)</f>
        <v>0</v>
      </c>
      <c r="E17" s="2911"/>
      <c r="F17" s="2912" t="s">
        <v>2389</v>
      </c>
      <c r="G17" s="2872"/>
      <c r="H17" s="2847"/>
      <c r="I17" s="2848"/>
      <c r="J17" s="3686"/>
      <c r="K17" s="368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86"/>
      <c r="K18" s="368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86"/>
      <c r="K19" s="368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6">
        <v>3</v>
      </c>
      <c r="K20" s="368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86"/>
      <c r="K21" s="368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86"/>
      <c r="K22" s="368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86"/>
      <c r="K23" s="368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86"/>
      <c r="K24" s="368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9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9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79" t="s">
        <v>2321</v>
      </c>
      <c r="K32" s="368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1" t="s">
        <v>2331</v>
      </c>
      <c r="K33" s="368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1" t="s">
        <v>2333</v>
      </c>
      <c r="K34" s="368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86">
        <v>1</v>
      </c>
      <c r="K36" s="368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86"/>
      <c r="K37" s="368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6"/>
      <c r="K38" s="368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86"/>
      <c r="K39" s="368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86"/>
      <c r="K40" s="368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9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286049</v>
      </c>
      <c r="C2" s="1872" t="s">
        <v>1651</v>
      </c>
      <c r="D2" s="1873" t="s">
        <v>1652</v>
      </c>
      <c r="E2" s="2606">
        <f>SUM(E6:E13)</f>
        <v>114107.98000000001</v>
      </c>
      <c r="F2" s="2706"/>
      <c r="G2" s="1489"/>
      <c r="H2" s="1489"/>
      <c r="I2" s="1489"/>
      <c r="J2" s="1489"/>
      <c r="K2" s="1489"/>
      <c r="L2" s="1489"/>
      <c r="M2" s="1489"/>
      <c r="N2" s="1489"/>
      <c r="O2" s="1489"/>
      <c r="P2" s="1489"/>
      <c r="Q2" s="1489"/>
      <c r="R2" s="1489"/>
      <c r="S2" s="1489"/>
    </row>
    <row r="3" spans="1:22" ht="15.75">
      <c r="A3" s="1870" t="s">
        <v>686</v>
      </c>
      <c r="B3" s="2600">
        <f ca="1">ROUND(B2*10000/E2,0)</f>
        <v>25068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8" t="s">
        <v>1654</v>
      </c>
      <c r="C5" s="369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286049</v>
      </c>
      <c r="C6" s="1872" t="s">
        <v>1651</v>
      </c>
      <c r="D6" s="2708"/>
      <c r="E6" s="2605">
        <f>IF(OR(A6=0,F6="否"),0,'数据-取费表'!K6+'数据-取费表'!S6)</f>
        <v>114107.98000000001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114107.98000000001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4"/>
      <c r="M4" s="2715"/>
      <c r="N4" s="2715"/>
      <c r="O4" s="2715"/>
      <c r="P4" s="3722" t="s">
        <v>1672</v>
      </c>
      <c r="Q4" s="3723"/>
      <c r="R4" s="3705" t="s">
        <v>1668</v>
      </c>
      <c r="S4" s="3706"/>
      <c r="T4" s="3705" t="s">
        <v>1669</v>
      </c>
      <c r="U4" s="3706"/>
      <c r="V4" s="3730" t="s">
        <v>1670</v>
      </c>
      <c r="W4" s="3730"/>
      <c r="X4" s="1355"/>
      <c r="Y4" s="3705" t="s">
        <v>1672</v>
      </c>
      <c r="Z4" s="3706"/>
      <c r="AA4" s="3700" t="s">
        <v>1668</v>
      </c>
      <c r="AB4" s="3700" t="s">
        <v>1669</v>
      </c>
      <c r="AC4" s="3700" t="s">
        <v>1670</v>
      </c>
    </row>
    <row r="5" spans="1:29" ht="15">
      <c r="A5" s="358"/>
      <c r="B5" s="359"/>
      <c r="C5" s="3711" t="s">
        <v>1673</v>
      </c>
      <c r="D5" s="3712"/>
      <c r="E5" s="3709" t="s">
        <v>1674</v>
      </c>
      <c r="F5" s="3710"/>
      <c r="G5" s="3711" t="s">
        <v>1675</v>
      </c>
      <c r="H5" s="3712"/>
      <c r="I5" s="3711" t="s">
        <v>1676</v>
      </c>
      <c r="J5" s="3712"/>
      <c r="K5" s="1890"/>
      <c r="L5" s="2714"/>
      <c r="M5" s="2715"/>
      <c r="N5" s="2715"/>
      <c r="O5" s="2715"/>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1890" t="s">
        <v>1678</v>
      </c>
      <c r="L6" s="2714"/>
      <c r="M6" s="2715"/>
      <c r="N6" s="2715"/>
      <c r="O6" s="2715"/>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3" t="s">
        <v>1680</v>
      </c>
      <c r="Q7" s="3731"/>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7"/>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7"/>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7"/>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7"/>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4" t="s">
        <v>1691</v>
      </c>
      <c r="Q15" s="1352" t="str">
        <f t="shared" si="6"/>
        <v>居住社区成熟度</v>
      </c>
      <c r="R15" s="705" t="s">
        <v>18</v>
      </c>
      <c r="S15" s="706">
        <f t="shared" si="0"/>
        <v>100</v>
      </c>
      <c r="T15" s="705" t="s">
        <v>18</v>
      </c>
      <c r="U15" s="706">
        <f t="shared" si="1"/>
        <v>100</v>
      </c>
      <c r="V15" s="705" t="s">
        <v>18</v>
      </c>
      <c r="W15" s="706">
        <f t="shared" si="2"/>
        <v>100</v>
      </c>
      <c r="X15" s="1355"/>
      <c r="Y15" s="373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5"/>
      <c r="Q16" s="1352"/>
      <c r="R16" s="705"/>
      <c r="S16" s="706"/>
      <c r="T16" s="705"/>
      <c r="U16" s="706"/>
      <c r="V16" s="705"/>
      <c r="W16" s="706"/>
      <c r="X16" s="1355"/>
      <c r="Y16" s="373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5"/>
      <c r="Q18" s="1352"/>
      <c r="R18" s="705"/>
      <c r="S18" s="706"/>
      <c r="T18" s="705"/>
      <c r="U18" s="706"/>
      <c r="V18" s="705"/>
      <c r="W18" s="706"/>
      <c r="X18" s="1355"/>
      <c r="Y18" s="373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5"/>
      <c r="Q20" s="1352"/>
      <c r="R20" s="705"/>
      <c r="S20" s="706"/>
      <c r="T20" s="705"/>
      <c r="U20" s="706"/>
      <c r="V20" s="705"/>
      <c r="W20" s="706"/>
      <c r="X20" s="1355"/>
      <c r="Y20" s="373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5"/>
      <c r="Q22" s="1352"/>
      <c r="R22" s="705"/>
      <c r="S22" s="706"/>
      <c r="T22" s="705"/>
      <c r="U22" s="706"/>
      <c r="V22" s="705"/>
      <c r="W22" s="706"/>
      <c r="X22" s="1355"/>
      <c r="Y22" s="373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5"/>
      <c r="Q24" s="1352"/>
      <c r="R24" s="705"/>
      <c r="S24" s="706"/>
      <c r="T24" s="705"/>
      <c r="U24" s="706"/>
      <c r="V24" s="705"/>
      <c r="W24" s="706"/>
      <c r="X24" s="1355"/>
      <c r="Y24" s="373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5"/>
      <c r="Q26" s="1352" t="str">
        <f t="shared" si="11"/>
        <v>朝向</v>
      </c>
      <c r="R26" s="705" t="s">
        <v>18</v>
      </c>
      <c r="S26" s="706">
        <f t="shared" si="12"/>
        <v>100</v>
      </c>
      <c r="T26" s="705" t="s">
        <v>18</v>
      </c>
      <c r="U26" s="706">
        <f t="shared" si="13"/>
        <v>100</v>
      </c>
      <c r="V26" s="705" t="s">
        <v>18</v>
      </c>
      <c r="W26" s="706">
        <f t="shared" si="14"/>
        <v>100</v>
      </c>
      <c r="X26" s="1355"/>
      <c r="Y26" s="37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5"/>
      <c r="Q27" s="1343">
        <f t="shared" si="11"/>
        <v>111</v>
      </c>
      <c r="R27" s="701" t="s">
        <v>18</v>
      </c>
      <c r="S27" s="702">
        <f t="shared" si="12"/>
        <v>100</v>
      </c>
      <c r="T27" s="701" t="s">
        <v>18</v>
      </c>
      <c r="U27" s="702">
        <f t="shared" si="13"/>
        <v>100</v>
      </c>
      <c r="V27" s="701" t="s">
        <v>18</v>
      </c>
      <c r="W27" s="702">
        <f t="shared" si="14"/>
        <v>100</v>
      </c>
      <c r="X27" s="703"/>
      <c r="Y27" s="37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9" t="s">
        <v>1696</v>
      </c>
      <c r="Q32" s="1352" t="str">
        <f t="shared" si="11"/>
        <v>建筑类型</v>
      </c>
      <c r="R32" s="705" t="s">
        <v>18</v>
      </c>
      <c r="S32" s="706">
        <f t="shared" si="12"/>
        <v>100</v>
      </c>
      <c r="T32" s="705" t="s">
        <v>18</v>
      </c>
      <c r="U32" s="706">
        <f t="shared" si="13"/>
        <v>100</v>
      </c>
      <c r="V32" s="705" t="s">
        <v>18</v>
      </c>
      <c r="W32" s="706">
        <f t="shared" si="14"/>
        <v>100</v>
      </c>
      <c r="X32" s="1355"/>
      <c r="Y32" s="374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0"/>
      <c r="Q37" s="1343"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0" t="s">
        <v>1696</v>
      </c>
      <c r="Q38" s="1352" t="str">
        <f t="shared" si="11"/>
        <v>物业管理</v>
      </c>
      <c r="R38" s="705" t="s">
        <v>18</v>
      </c>
      <c r="S38" s="706">
        <f t="shared" si="12"/>
        <v>100</v>
      </c>
      <c r="T38" s="705" t="s">
        <v>18</v>
      </c>
      <c r="U38" s="706">
        <f t="shared" si="13"/>
        <v>100</v>
      </c>
      <c r="V38" s="705" t="s">
        <v>18</v>
      </c>
      <c r="W38" s="706">
        <f t="shared" si="14"/>
        <v>100</v>
      </c>
      <c r="X38" s="1355"/>
      <c r="Y38" s="374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5"/>
      <c r="Y4" s="3705" t="s">
        <v>1775</v>
      </c>
      <c r="Z4" s="3706"/>
      <c r="AA4" s="3700" t="s">
        <v>1771</v>
      </c>
      <c r="AB4" s="3730"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5"/>
      <c r="Y5" s="3707"/>
      <c r="Z5" s="3708"/>
      <c r="AA5" s="3701"/>
      <c r="AB5" s="3730"/>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5"/>
      <c r="Y6" s="3728"/>
      <c r="Z6" s="3729"/>
      <c r="AA6" s="3702"/>
      <c r="AB6" s="3730"/>
      <c r="AC6" s="3702"/>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7"/>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4" t="s">
        <v>1691</v>
      </c>
      <c r="Q15" s="1352" t="str">
        <f t="shared" si="6"/>
        <v>商业繁华度</v>
      </c>
      <c r="R15" s="705" t="s">
        <v>14</v>
      </c>
      <c r="S15" s="706">
        <f t="shared" si="0"/>
        <v>100</v>
      </c>
      <c r="T15" s="705" t="s">
        <v>14</v>
      </c>
      <c r="U15" s="706">
        <f t="shared" si="1"/>
        <v>100</v>
      </c>
      <c r="V15" s="705" t="s">
        <v>14</v>
      </c>
      <c r="W15" s="706">
        <f t="shared" si="2"/>
        <v>100</v>
      </c>
      <c r="X15" s="1355"/>
      <c r="Y15" s="373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5"/>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5"/>
      <c r="Q18" s="1352"/>
      <c r="R18" s="705"/>
      <c r="S18" s="706"/>
      <c r="T18" s="705"/>
      <c r="U18" s="706"/>
      <c r="V18" s="705"/>
      <c r="W18" s="706"/>
      <c r="X18" s="1355"/>
      <c r="Y18" s="373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5"/>
      <c r="Q20" s="1352"/>
      <c r="R20" s="705"/>
      <c r="S20" s="706"/>
      <c r="T20" s="705"/>
      <c r="U20" s="706"/>
      <c r="V20" s="705"/>
      <c r="W20" s="706"/>
      <c r="X20" s="1355"/>
      <c r="Y20" s="373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5"/>
      <c r="Q22" s="1352"/>
      <c r="R22" s="705"/>
      <c r="S22" s="706"/>
      <c r="T22" s="705"/>
      <c r="U22" s="706"/>
      <c r="V22" s="705"/>
      <c r="W22" s="706"/>
      <c r="X22" s="1355"/>
      <c r="Y22" s="373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5"/>
      <c r="Q24" s="1352"/>
      <c r="R24" s="705"/>
      <c r="S24" s="706"/>
      <c r="T24" s="705"/>
      <c r="U24" s="706"/>
      <c r="V24" s="705"/>
      <c r="W24" s="706"/>
      <c r="X24" s="1355"/>
      <c r="Y24" s="373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9" t="s">
        <v>1696</v>
      </c>
      <c r="Q32" s="1352" t="str">
        <f t="shared" si="11"/>
        <v>商业类型</v>
      </c>
      <c r="R32" s="705" t="s">
        <v>14</v>
      </c>
      <c r="S32" s="706">
        <f t="shared" si="12"/>
        <v>100</v>
      </c>
      <c r="T32" s="705" t="s">
        <v>14</v>
      </c>
      <c r="U32" s="706">
        <f t="shared" si="13"/>
        <v>100</v>
      </c>
      <c r="V32" s="705" t="s">
        <v>14</v>
      </c>
      <c r="W32" s="706">
        <f t="shared" si="14"/>
        <v>100</v>
      </c>
      <c r="X32" s="1355"/>
      <c r="Y32" s="374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0" t="s">
        <v>1696</v>
      </c>
      <c r="Q38" s="1352" t="str">
        <f t="shared" si="11"/>
        <v>业态</v>
      </c>
      <c r="R38" s="705" t="s">
        <v>14</v>
      </c>
      <c r="S38" s="706">
        <f t="shared" si="12"/>
        <v>100</v>
      </c>
      <c r="T38" s="705" t="s">
        <v>14</v>
      </c>
      <c r="U38" s="706">
        <f t="shared" si="13"/>
        <v>100</v>
      </c>
      <c r="V38" s="705" t="s">
        <v>14</v>
      </c>
      <c r="W38" s="706">
        <f t="shared" si="14"/>
        <v>100</v>
      </c>
      <c r="X38" s="1355"/>
      <c r="Y38" s="374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35" t="str">
        <f>A47</f>
        <v>成交单价（元/平方米）</v>
      </c>
      <c r="Q47" s="3735"/>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52" t="s">
        <v>1775</v>
      </c>
      <c r="Q4" s="3753"/>
      <c r="R4" s="3747" t="s">
        <v>1771</v>
      </c>
      <c r="S4" s="3748"/>
      <c r="T4" s="3747" t="s">
        <v>1772</v>
      </c>
      <c r="U4" s="3748"/>
      <c r="V4" s="3756" t="s">
        <v>1773</v>
      </c>
      <c r="W4" s="3756"/>
      <c r="X4" s="1958"/>
      <c r="Y4" s="3747" t="s">
        <v>1775</v>
      </c>
      <c r="Z4" s="3748"/>
      <c r="AA4" s="3746" t="s">
        <v>1771</v>
      </c>
      <c r="AB4" s="3746" t="s">
        <v>1772</v>
      </c>
      <c r="AC4" s="3749" t="s">
        <v>1773</v>
      </c>
    </row>
    <row r="5" spans="1:29" ht="15">
      <c r="A5" s="358"/>
      <c r="B5" s="359"/>
      <c r="C5" s="3711" t="s">
        <v>1673</v>
      </c>
      <c r="D5" s="3712"/>
      <c r="E5" s="3709" t="s">
        <v>1674</v>
      </c>
      <c r="F5" s="3710"/>
      <c r="G5" s="3711" t="s">
        <v>1675</v>
      </c>
      <c r="H5" s="3712"/>
      <c r="I5" s="3711" t="s">
        <v>1676</v>
      </c>
      <c r="J5" s="3712"/>
      <c r="K5" s="559"/>
      <c r="L5" s="2714"/>
      <c r="M5" s="2715"/>
      <c r="N5" s="2715"/>
      <c r="O5" s="2715"/>
      <c r="P5" s="3754"/>
      <c r="Q5" s="3725"/>
      <c r="R5" s="3707"/>
      <c r="S5" s="3708"/>
      <c r="T5" s="3707"/>
      <c r="U5" s="3708"/>
      <c r="V5" s="3730"/>
      <c r="W5" s="3730"/>
      <c r="X5" s="1355"/>
      <c r="Y5" s="3707"/>
      <c r="Z5" s="3708"/>
      <c r="AA5" s="3701"/>
      <c r="AB5" s="3701"/>
      <c r="AC5" s="3750"/>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55"/>
      <c r="Q6" s="3727"/>
      <c r="R6" s="3707"/>
      <c r="S6" s="3708"/>
      <c r="T6" s="3728"/>
      <c r="U6" s="3729"/>
      <c r="V6" s="3730"/>
      <c r="W6" s="3730"/>
      <c r="X6" s="1355"/>
      <c r="Y6" s="3728"/>
      <c r="Z6" s="3729"/>
      <c r="AA6" s="3702"/>
      <c r="AB6" s="3702"/>
      <c r="AC6" s="3751"/>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7"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7"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7"/>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4" t="s">
        <v>1691</v>
      </c>
      <c r="Q15" s="1352" t="str">
        <f t="shared" si="6"/>
        <v>办公集聚程度</v>
      </c>
      <c r="R15" s="705" t="s">
        <v>14</v>
      </c>
      <c r="S15" s="706">
        <f t="shared" si="0"/>
        <v>100</v>
      </c>
      <c r="T15" s="705" t="s">
        <v>14</v>
      </c>
      <c r="U15" s="706">
        <f t="shared" si="1"/>
        <v>100</v>
      </c>
      <c r="V15" s="705" t="s">
        <v>14</v>
      </c>
      <c r="W15" s="706">
        <f t="shared" si="2"/>
        <v>100</v>
      </c>
      <c r="X15" s="1355"/>
      <c r="Y15" s="373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5"/>
      <c r="Q16" s="1352"/>
      <c r="R16" s="705"/>
      <c r="S16" s="706"/>
      <c r="T16" s="705"/>
      <c r="U16" s="706"/>
      <c r="V16" s="705"/>
      <c r="W16" s="706"/>
      <c r="X16" s="1355"/>
      <c r="Y16" s="373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5"/>
      <c r="Q18" s="1352"/>
      <c r="R18" s="705"/>
      <c r="S18" s="706"/>
      <c r="T18" s="705"/>
      <c r="U18" s="706"/>
      <c r="V18" s="705"/>
      <c r="W18" s="706"/>
      <c r="X18" s="1355"/>
      <c r="Y18" s="373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5"/>
      <c r="Q20" s="1352"/>
      <c r="R20" s="705"/>
      <c r="S20" s="706"/>
      <c r="T20" s="705"/>
      <c r="U20" s="706"/>
      <c r="V20" s="705"/>
      <c r="W20" s="706"/>
      <c r="X20" s="1355"/>
      <c r="Y20" s="373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5"/>
      <c r="Q22" s="1352"/>
      <c r="R22" s="705"/>
      <c r="S22" s="706"/>
      <c r="T22" s="705"/>
      <c r="U22" s="706"/>
      <c r="V22" s="705"/>
      <c r="W22" s="706"/>
      <c r="X22" s="1355"/>
      <c r="Y22" s="373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5"/>
      <c r="Q24" s="1352"/>
      <c r="R24" s="705"/>
      <c r="S24" s="706"/>
      <c r="T24" s="705"/>
      <c r="U24" s="706"/>
      <c r="V24" s="705"/>
      <c r="W24" s="706"/>
      <c r="X24" s="1355"/>
      <c r="Y24" s="373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5"/>
      <c r="Q26" s="1352"/>
      <c r="R26" s="705"/>
      <c r="S26" s="706"/>
      <c r="T26" s="705"/>
      <c r="U26" s="706"/>
      <c r="V26" s="705"/>
      <c r="W26" s="706"/>
      <c r="X26" s="1355"/>
      <c r="Y26" s="373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9" t="s">
        <v>1696</v>
      </c>
      <c r="Q33" s="1352" t="str">
        <f t="shared" si="11"/>
        <v>建筑类型</v>
      </c>
      <c r="R33" s="705" t="s">
        <v>14</v>
      </c>
      <c r="S33" s="706">
        <f t="shared" si="12"/>
        <v>100</v>
      </c>
      <c r="T33" s="705" t="s">
        <v>14</v>
      </c>
      <c r="U33" s="706">
        <f t="shared" si="13"/>
        <v>100</v>
      </c>
      <c r="V33" s="705" t="s">
        <v>14</v>
      </c>
      <c r="W33" s="706">
        <f t="shared" si="14"/>
        <v>100</v>
      </c>
      <c r="X33" s="1355"/>
      <c r="Y33" s="374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0" t="s">
        <v>1696</v>
      </c>
      <c r="Q39" s="1352" t="str">
        <f t="shared" si="11"/>
        <v>物业管理</v>
      </c>
      <c r="R39" s="705" t="s">
        <v>14</v>
      </c>
      <c r="S39" s="706">
        <f t="shared" si="12"/>
        <v>100</v>
      </c>
      <c r="T39" s="705" t="s">
        <v>14</v>
      </c>
      <c r="U39" s="706">
        <f t="shared" si="13"/>
        <v>100</v>
      </c>
      <c r="V39" s="705" t="s">
        <v>14</v>
      </c>
      <c r="W39" s="706">
        <f t="shared" si="14"/>
        <v>100</v>
      </c>
      <c r="X39" s="1355"/>
      <c r="Y39" s="374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7"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估价对象为北京市房地产，为航港发展有限公司所有。根据《国有土地使用证》[]，估价对象（分摊）出让国有建设用地使用权面积为236852.67平方米，建筑面积为114107.98平方米。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估价对象为北京市房地产,属航港发展有限公司开发建设的，该项目尚在开发建设中。根据《国有土地使用证》[]，估价对象（分摊）出让国有建设用地使用权面积为236852.67平方米，规划建筑面积为114107.98平方米。</v>
      </c>
    </row>
    <row r="11" spans="1:1" ht="76.5">
      <c r="A11" s="1483" t="s">
        <v>903</v>
      </c>
    </row>
    <row r="12" spans="1:1" ht="18.75">
      <c r="A12" s="1481" t="s">
        <v>904</v>
      </c>
    </row>
    <row r="13" spans="1:1" ht="38.25" customHeight="1">
      <c r="A13" s="1484" t="str">
        <f>IF(项目基本情况!B8="抵押",IF(项目基本情况!B5=项目基本情况!B6,定义!C51,定义!B51),定义!D51)</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913"/>
      <c r="M5" s="914"/>
      <c r="N5" s="914"/>
      <c r="O5" s="914"/>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913"/>
      <c r="M6" s="914"/>
      <c r="N6" s="914"/>
      <c r="O6" s="914"/>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45106</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4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2" t="str">
        <f t="shared" si="11"/>
        <v>市政基础设施</v>
      </c>
      <c r="R35" s="705" t="s">
        <v>14</v>
      </c>
      <c r="S35" s="706">
        <f t="shared" si="12"/>
        <v>100</v>
      </c>
      <c r="T35" s="705" t="s">
        <v>14</v>
      </c>
      <c r="U35" s="706">
        <f t="shared" si="13"/>
        <v>100</v>
      </c>
      <c r="V35" s="705" t="s">
        <v>14</v>
      </c>
      <c r="W35" s="706">
        <f t="shared" si="14"/>
        <v>100</v>
      </c>
      <c r="X35" s="1355"/>
      <c r="Y35" s="374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8"/>
      <c r="Q15" s="1352"/>
      <c r="R15" s="705"/>
      <c r="S15" s="706"/>
      <c r="T15" s="705"/>
      <c r="U15" s="706"/>
      <c r="V15" s="705"/>
      <c r="W15" s="706"/>
      <c r="X15" s="1355"/>
      <c r="Y15" s="373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8"/>
      <c r="Q17" s="1352"/>
      <c r="R17" s="705"/>
      <c r="S17" s="706"/>
      <c r="T17" s="705"/>
      <c r="U17" s="706"/>
      <c r="V17" s="705"/>
      <c r="W17" s="706"/>
      <c r="X17" s="1355"/>
      <c r="Y17" s="373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8"/>
      <c r="Q19" s="1352"/>
      <c r="R19" s="705"/>
      <c r="S19" s="706"/>
      <c r="T19" s="705"/>
      <c r="U19" s="706"/>
      <c r="V19" s="705"/>
      <c r="W19" s="706"/>
      <c r="X19" s="1355"/>
      <c r="Y19" s="373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8"/>
      <c r="Q21" s="1352"/>
      <c r="R21" s="705"/>
      <c r="S21" s="706"/>
      <c r="T21" s="705"/>
      <c r="U21" s="706"/>
      <c r="V21" s="705"/>
      <c r="W21" s="706"/>
      <c r="X21" s="1355"/>
      <c r="Y21" s="373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2" t="s">
        <v>1696</v>
      </c>
      <c r="Q32" s="1352" t="str">
        <f t="shared" si="11"/>
        <v>车位类型</v>
      </c>
      <c r="R32" s="705" t="s">
        <v>14</v>
      </c>
      <c r="S32" s="706">
        <f t="shared" si="12"/>
        <v>100</v>
      </c>
      <c r="T32" s="705" t="s">
        <v>14</v>
      </c>
      <c r="U32" s="706">
        <f t="shared" si="13"/>
        <v>100</v>
      </c>
      <c r="V32" s="705" t="s">
        <v>14</v>
      </c>
      <c r="W32" s="706">
        <f t="shared" si="14"/>
        <v>100</v>
      </c>
      <c r="X32" s="1355"/>
      <c r="Y32" s="374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8"/>
      <c r="Q15" s="1352"/>
      <c r="R15" s="705"/>
      <c r="S15" s="706"/>
      <c r="T15" s="705"/>
      <c r="U15" s="706"/>
      <c r="V15" s="705"/>
      <c r="W15" s="706"/>
      <c r="X15" s="1355"/>
      <c r="Y15" s="373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8"/>
      <c r="Q17" s="1352"/>
      <c r="R17" s="705"/>
      <c r="S17" s="706"/>
      <c r="T17" s="705"/>
      <c r="U17" s="706"/>
      <c r="V17" s="705"/>
      <c r="W17" s="706"/>
      <c r="X17" s="1355"/>
      <c r="Y17" s="373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8"/>
      <c r="Q19" s="1352"/>
      <c r="R19" s="705"/>
      <c r="S19" s="706"/>
      <c r="T19" s="705"/>
      <c r="U19" s="706"/>
      <c r="V19" s="705"/>
      <c r="W19" s="706"/>
      <c r="X19" s="1355"/>
      <c r="Y19" s="373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8"/>
      <c r="Q21" s="1352"/>
      <c r="R21" s="705"/>
      <c r="S21" s="706"/>
      <c r="T21" s="705"/>
      <c r="U21" s="706"/>
      <c r="V21" s="705"/>
      <c r="W21" s="706"/>
      <c r="X21" s="1355"/>
      <c r="Y21" s="373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2" t="s">
        <v>1696</v>
      </c>
      <c r="Q32" s="1352">
        <f t="shared" si="11"/>
        <v>111</v>
      </c>
      <c r="R32" s="705" t="s">
        <v>14</v>
      </c>
      <c r="S32" s="706">
        <f t="shared" si="12"/>
        <v>100</v>
      </c>
      <c r="T32" s="705" t="s">
        <v>14</v>
      </c>
      <c r="U32" s="706">
        <f t="shared" si="13"/>
        <v>100</v>
      </c>
      <c r="V32" s="705" t="s">
        <v>14</v>
      </c>
      <c r="W32" s="706">
        <f t="shared" si="14"/>
        <v>100</v>
      </c>
      <c r="X32" s="1355"/>
      <c r="Y32" s="374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30"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5"/>
      <c r="Y5" s="3707"/>
      <c r="Z5" s="3708"/>
      <c r="AA5" s="3701"/>
      <c r="AB5" s="3701"/>
      <c r="AC5" s="3701"/>
    </row>
    <row r="6" spans="1:30"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5"/>
      <c r="Y6" s="3728"/>
      <c r="Z6" s="3729"/>
      <c r="AA6" s="3702"/>
      <c r="AB6" s="3702"/>
      <c r="AC6" s="3702"/>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735"/>
      <c r="Q10" s="1343" t="str">
        <f t="shared" si="6"/>
        <v>土地使用年限（年）</v>
      </c>
      <c r="R10" s="701" t="s">
        <v>14</v>
      </c>
      <c r="S10" s="702">
        <f t="shared" si="0"/>
        <v>114</v>
      </c>
      <c r="T10" s="701" t="s">
        <v>14</v>
      </c>
      <c r="U10" s="702">
        <f t="shared" si="1"/>
        <v>114</v>
      </c>
      <c r="V10" s="701" t="s">
        <v>14</v>
      </c>
      <c r="W10" s="702">
        <f t="shared" si="2"/>
        <v>114</v>
      </c>
      <c r="X10" s="703"/>
      <c r="Y10" s="3647"/>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5"/>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7" t="s">
        <v>1691</v>
      </c>
      <c r="Q15" s="1352" t="str">
        <f t="shared" si="6"/>
        <v>居住社区成熟度</v>
      </c>
      <c r="R15" s="705" t="s">
        <v>14</v>
      </c>
      <c r="S15" s="706">
        <f t="shared" si="0"/>
        <v>100</v>
      </c>
      <c r="T15" s="705" t="s">
        <v>14</v>
      </c>
      <c r="U15" s="706">
        <f t="shared" si="1"/>
        <v>100</v>
      </c>
      <c r="V15" s="705" t="s">
        <v>14</v>
      </c>
      <c r="W15" s="706">
        <f t="shared" si="2"/>
        <v>100</v>
      </c>
      <c r="X15" s="1355"/>
      <c r="Y15" s="373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8"/>
      <c r="Q16" s="1352"/>
      <c r="R16" s="705"/>
      <c r="S16" s="706"/>
      <c r="T16" s="705"/>
      <c r="U16" s="706"/>
      <c r="V16" s="705"/>
      <c r="W16" s="706"/>
      <c r="X16" s="1355"/>
      <c r="Y16" s="373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8"/>
      <c r="Q18" s="1352"/>
      <c r="R18" s="705"/>
      <c r="S18" s="706"/>
      <c r="T18" s="705"/>
      <c r="U18" s="706"/>
      <c r="V18" s="705"/>
      <c r="W18" s="706"/>
      <c r="X18" s="1355"/>
      <c r="Y18" s="373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8"/>
      <c r="Q20" s="1352"/>
      <c r="R20" s="705"/>
      <c r="S20" s="706"/>
      <c r="T20" s="705"/>
      <c r="U20" s="706"/>
      <c r="V20" s="705"/>
      <c r="W20" s="706"/>
      <c r="X20" s="1355"/>
      <c r="Y20" s="373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8"/>
      <c r="Q22" s="1352"/>
      <c r="R22" s="705"/>
      <c r="S22" s="706"/>
      <c r="T22" s="705"/>
      <c r="U22" s="706"/>
      <c r="V22" s="705"/>
      <c r="W22" s="706"/>
      <c r="X22" s="1355"/>
      <c r="Y22" s="373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8"/>
      <c r="Q24" s="1352"/>
      <c r="R24" s="705"/>
      <c r="S24" s="706"/>
      <c r="T24" s="705"/>
      <c r="U24" s="706"/>
      <c r="V24" s="705"/>
      <c r="W24" s="706"/>
      <c r="X24" s="1355"/>
      <c r="Y24" s="373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8"/>
      <c r="Q26" s="1352"/>
      <c r="R26" s="705"/>
      <c r="S26" s="706"/>
      <c r="T26" s="705"/>
      <c r="U26" s="706"/>
      <c r="V26" s="705"/>
      <c r="W26" s="706"/>
      <c r="X26" s="1355"/>
      <c r="Y26" s="373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8"/>
      <c r="Q28" s="1343"/>
      <c r="R28" s="701"/>
      <c r="S28" s="702"/>
      <c r="T28" s="701"/>
      <c r="U28" s="702"/>
      <c r="V28" s="701"/>
      <c r="W28" s="702"/>
      <c r="X28" s="703"/>
      <c r="Y28" s="373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8"/>
      <c r="Q30" s="1343"/>
      <c r="R30" s="701"/>
      <c r="S30" s="702"/>
      <c r="T30" s="701"/>
      <c r="U30" s="702"/>
      <c r="V30" s="701"/>
      <c r="W30" s="702"/>
      <c r="X30" s="703"/>
      <c r="Y30" s="373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8"/>
      <c r="Q33" s="1352"/>
      <c r="R33" s="705"/>
      <c r="S33" s="706"/>
      <c r="T33" s="705"/>
      <c r="U33" s="706"/>
      <c r="V33" s="705"/>
      <c r="W33" s="706"/>
      <c r="X33" s="1355"/>
      <c r="Y33" s="373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1" t="s">
        <v>1696</v>
      </c>
      <c r="Q36" s="1352">
        <f t="shared" si="8"/>
        <v>111</v>
      </c>
      <c r="R36" s="705" t="s">
        <v>14</v>
      </c>
      <c r="S36" s="706">
        <f t="shared" si="10"/>
        <v>100</v>
      </c>
      <c r="T36" s="705" t="s">
        <v>14</v>
      </c>
      <c r="U36" s="706">
        <f t="shared" si="11"/>
        <v>100</v>
      </c>
      <c r="V36" s="705" t="s">
        <v>14</v>
      </c>
      <c r="W36" s="706">
        <f t="shared" si="12"/>
        <v>100</v>
      </c>
      <c r="X36" s="1355"/>
      <c r="Y36" s="374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2" t="s">
        <v>1696</v>
      </c>
      <c r="Q42" s="1352" t="str">
        <f t="shared" si="14"/>
        <v>工程地质条件</v>
      </c>
      <c r="R42" s="705" t="s">
        <v>14</v>
      </c>
      <c r="S42" s="706">
        <f t="shared" si="10"/>
        <v>100</v>
      </c>
      <c r="T42" s="705" t="s">
        <v>14</v>
      </c>
      <c r="U42" s="706">
        <f t="shared" si="11"/>
        <v>100</v>
      </c>
      <c r="V42" s="705" t="s">
        <v>14</v>
      </c>
      <c r="W42" s="706">
        <f t="shared" si="12"/>
        <v>100</v>
      </c>
      <c r="X42" s="1355"/>
      <c r="Y42" s="374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35" t="str">
        <f>A46</f>
        <v>成交单价</v>
      </c>
      <c r="Q46" s="3735"/>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5" t="str">
        <f>A47</f>
        <v>比较价值（元/平方米）</v>
      </c>
      <c r="Q47" s="3735"/>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64" t="e">
        <f>ROUND(IF(D47="简单平均",AVERAGE(R47:W47),R47*F47+T47*H47+V47*J47),0)</f>
        <v>#DIV/0!</v>
      </c>
      <c r="S48" s="3764"/>
      <c r="T48" s="3764"/>
      <c r="U48" s="3764"/>
      <c r="V48" s="3764"/>
      <c r="W48" s="376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8" t="s">
        <v>1887</v>
      </c>
      <c r="H55" s="376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114107.98000000001</v>
      </c>
      <c r="F56" s="886" t="e">
        <f t="shared" ref="F56:F64" si="15">ROUND(B56*E56/10000,0)</f>
        <v>#DIV/0!</v>
      </c>
      <c r="G56" s="3717"/>
      <c r="H56" s="373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114107.98000000001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5"/>
      <c r="Y5" s="3707"/>
      <c r="Z5" s="3708"/>
      <c r="AA5" s="3701"/>
      <c r="AB5" s="3701"/>
      <c r="AC5" s="3701"/>
    </row>
    <row r="6" spans="1:29" ht="15.75" thickBot="1">
      <c r="A6" s="360"/>
      <c r="B6" s="361"/>
      <c r="C6" s="3766" t="s">
        <v>1919</v>
      </c>
      <c r="D6" s="3767"/>
      <c r="E6" s="3768" t="s">
        <v>1919</v>
      </c>
      <c r="F6" s="3769"/>
      <c r="G6" s="3766" t="s">
        <v>1919</v>
      </c>
      <c r="H6" s="3767"/>
      <c r="I6" s="3766" t="s">
        <v>1919</v>
      </c>
      <c r="J6" s="3767"/>
      <c r="K6" s="559" t="s">
        <v>1678</v>
      </c>
      <c r="L6" s="2714"/>
      <c r="M6" s="2715"/>
      <c r="N6" s="2715"/>
      <c r="O6" s="2715"/>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735"/>
      <c r="Q10" s="1343" t="str">
        <f t="shared" si="6"/>
        <v>土地使用年限（年）</v>
      </c>
      <c r="R10" s="701" t="s">
        <v>14</v>
      </c>
      <c r="S10" s="702">
        <f t="shared" si="0"/>
        <v>114</v>
      </c>
      <c r="T10" s="701" t="s">
        <v>14</v>
      </c>
      <c r="U10" s="702">
        <f t="shared" si="1"/>
        <v>114</v>
      </c>
      <c r="V10" s="701" t="s">
        <v>14</v>
      </c>
      <c r="W10" s="702">
        <f t="shared" si="2"/>
        <v>114</v>
      </c>
      <c r="X10" s="703"/>
      <c r="Y10" s="3647"/>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8"/>
      <c r="Q16" s="1352"/>
      <c r="R16" s="705"/>
      <c r="S16" s="706"/>
      <c r="T16" s="705"/>
      <c r="U16" s="706"/>
      <c r="V16" s="705"/>
      <c r="W16" s="706"/>
      <c r="X16" s="1355"/>
      <c r="Y16" s="373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8"/>
      <c r="Q18" s="1352"/>
      <c r="R18" s="705"/>
      <c r="S18" s="706"/>
      <c r="T18" s="705"/>
      <c r="U18" s="706"/>
      <c r="V18" s="705"/>
      <c r="W18" s="706"/>
      <c r="X18" s="1355"/>
      <c r="Y18" s="373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8"/>
      <c r="Q20" s="1352"/>
      <c r="R20" s="705"/>
      <c r="S20" s="706"/>
      <c r="T20" s="705"/>
      <c r="U20" s="706"/>
      <c r="V20" s="705"/>
      <c r="W20" s="706"/>
      <c r="X20" s="1355"/>
      <c r="Y20" s="373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8"/>
      <c r="Q22" s="1352"/>
      <c r="R22" s="705"/>
      <c r="S22" s="706"/>
      <c r="T22" s="705"/>
      <c r="U22" s="706"/>
      <c r="V22" s="705"/>
      <c r="W22" s="706"/>
      <c r="X22" s="1355"/>
      <c r="Y22" s="373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8"/>
      <c r="Q24" s="1343"/>
      <c r="R24" s="701"/>
      <c r="S24" s="702"/>
      <c r="T24" s="701"/>
      <c r="U24" s="702"/>
      <c r="V24" s="701"/>
      <c r="W24" s="702"/>
      <c r="X24" s="703"/>
      <c r="Y24" s="373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8"/>
      <c r="Q26" s="1343"/>
      <c r="R26" s="701"/>
      <c r="S26" s="702"/>
      <c r="T26" s="701"/>
      <c r="U26" s="702"/>
      <c r="V26" s="701"/>
      <c r="W26" s="702"/>
      <c r="X26" s="703"/>
      <c r="Y26" s="37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8"/>
      <c r="Q29" s="1352"/>
      <c r="R29" s="705"/>
      <c r="S29" s="706"/>
      <c r="T29" s="705"/>
      <c r="U29" s="706"/>
      <c r="V29" s="705"/>
      <c r="W29" s="706"/>
      <c r="X29" s="1355"/>
      <c r="Y29" s="373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1" t="s">
        <v>1696</v>
      </c>
      <c r="Q32" s="1352">
        <f t="shared" si="8"/>
        <v>111</v>
      </c>
      <c r="R32" s="705" t="s">
        <v>14</v>
      </c>
      <c r="S32" s="706">
        <f t="shared" si="10"/>
        <v>100</v>
      </c>
      <c r="T32" s="705" t="s">
        <v>14</v>
      </c>
      <c r="U32" s="706">
        <f t="shared" si="11"/>
        <v>100</v>
      </c>
      <c r="V32" s="705" t="s">
        <v>14</v>
      </c>
      <c r="W32" s="706">
        <f t="shared" si="12"/>
        <v>100</v>
      </c>
      <c r="X32" s="1355"/>
      <c r="Y32" s="374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2" t="s">
        <v>1696</v>
      </c>
      <c r="Q37" s="1352" t="str">
        <f t="shared" si="14"/>
        <v>工程地质条件</v>
      </c>
      <c r="R37" s="705" t="s">
        <v>14</v>
      </c>
      <c r="S37" s="706">
        <f t="shared" si="10"/>
        <v>100</v>
      </c>
      <c r="T37" s="705" t="s">
        <v>14</v>
      </c>
      <c r="U37" s="706">
        <f t="shared" si="11"/>
        <v>100</v>
      </c>
      <c r="V37" s="705" t="s">
        <v>14</v>
      </c>
      <c r="W37" s="706">
        <f t="shared" si="12"/>
        <v>100</v>
      </c>
      <c r="X37" s="1355"/>
      <c r="Y37" s="374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35" t="str">
        <f>A41</f>
        <v>成交单价</v>
      </c>
      <c r="Q41" s="3735"/>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5" t="str">
        <f>A42</f>
        <v>比较价值（元/平方米）</v>
      </c>
      <c r="Q42" s="3735"/>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2" t="str">
        <f>A43</f>
        <v>估价对象XX用房的比较价值（楼面单价，元/平方米）</v>
      </c>
      <c r="Q43" s="3733"/>
      <c r="R43" s="3764" t="e">
        <f>ROUND(IF(D42="简单平均",AVERAGE(R42:W42),R42*F42+T42*H42+V42*J42),0)</f>
        <v>#DIV/0!</v>
      </c>
      <c r="S43" s="3764"/>
      <c r="T43" s="3764"/>
      <c r="U43" s="3764"/>
      <c r="V43" s="3764"/>
      <c r="W43" s="376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8" t="s">
        <v>1887</v>
      </c>
      <c r="H50" s="376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114107.98000000001</v>
      </c>
      <c r="F51" s="639" t="e">
        <f t="shared" ref="F51:F60" si="15">ROUND(B51*E51/10000,0)</f>
        <v>#DIV/0!</v>
      </c>
      <c r="G51" s="3717"/>
      <c r="H51" s="373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236852.67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79938</v>
      </c>
      <c r="C2" s="2145" t="s">
        <v>2074</v>
      </c>
      <c r="D2" s="2145" t="s">
        <v>2075</v>
      </c>
      <c r="E2" s="2611">
        <f ca="1">SUMIF(E6:E13,"&lt;&gt;#ref!",E6:E13)</f>
        <v>236852.66999999998</v>
      </c>
      <c r="F2" s="2792"/>
      <c r="G2" s="2792"/>
      <c r="H2" s="2792"/>
      <c r="I2" s="2792"/>
      <c r="J2" s="2792"/>
      <c r="K2" s="2792"/>
      <c r="L2" s="2792"/>
      <c r="M2" s="2792"/>
      <c r="N2" s="2792"/>
      <c r="O2" s="2792"/>
      <c r="P2" s="2792"/>
    </row>
    <row r="3" spans="1:16" ht="15.75">
      <c r="A3" s="2145" t="s">
        <v>2076</v>
      </c>
      <c r="B3" s="2601">
        <f ca="1">ROUND(B2*10000/E2,0)</f>
        <v>3375</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79938</v>
      </c>
      <c r="C6" s="2145" t="s">
        <v>2074</v>
      </c>
      <c r="D6" s="2792"/>
      <c r="E6" s="2611">
        <f ca="1">SUMIF(INDIRECT("'"&amp;A6&amp;"'"&amp;"!C:C"),"建筑面积",INDIRECT("'"&amp;A6&amp;"'"&amp;"!D:D"))</f>
        <v>236852.66999999998</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E87" sqref="E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236852.66999999998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79938</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4790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3375</v>
      </c>
      <c r="C3" s="1999" t="s">
        <v>1941</v>
      </c>
      <c r="D3" s="2000" t="s">
        <v>1942</v>
      </c>
      <c r="E3" s="3419" t="s">
        <v>2487</v>
      </c>
      <c r="F3" s="2004" t="s">
        <v>3470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3776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83"/>
      <c r="B4" s="3784"/>
      <c r="C4" s="3784"/>
      <c r="D4" s="3785"/>
      <c r="E4" s="3785"/>
      <c r="F4" s="3785"/>
      <c r="G4" s="3785"/>
      <c r="H4" s="3785"/>
      <c r="I4" s="3785"/>
      <c r="J4" s="378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3191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2814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2705</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82"/>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8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7" t="s">
        <v>3260</v>
      </c>
      <c r="B20" s="167" t="s">
        <v>1994</v>
      </c>
      <c r="C20" s="3324">
        <f>ROUND(IF(F21="与级别开发程度一致",0,(G21-E21)/C21),0)</f>
        <v>-75</v>
      </c>
      <c r="D20" s="3340" t="s">
        <v>1998</v>
      </c>
      <c r="E20" s="3341"/>
      <c r="F20" s="3793" t="s">
        <v>1995</v>
      </c>
      <c r="G20" s="3794"/>
      <c r="H20" s="3325" t="s">
        <v>3472</v>
      </c>
      <c r="I20" s="3325" t="s">
        <v>3473</v>
      </c>
      <c r="J20" s="3326" t="s">
        <v>3474</v>
      </c>
      <c r="K20" s="2047" t="s">
        <v>3475</v>
      </c>
      <c r="L20" s="2047" t="s">
        <v>3476</v>
      </c>
      <c r="M20" s="2047" t="s">
        <v>3477</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8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3471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1.5</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45106</v>
      </c>
      <c r="H23" s="3342" t="s">
        <v>3262</v>
      </c>
      <c r="I23" s="3343" t="str">
        <f>IF(H23="季度增幅（自定义）",SUMIF(N25:N28,E2,O25:O28),"")</f>
        <v/>
      </c>
      <c r="J23" s="3445" t="s">
        <v>3261</v>
      </c>
      <c r="K23" s="1125"/>
      <c r="L23" s="2055" t="s">
        <v>2004</v>
      </c>
      <c r="M23" s="1328">
        <f>ROUND(SUMIF(地价!B2:G2,E2,地价!B16:G16),0)</f>
        <v>318</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0.87729999999999997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33.07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1.0583</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1.0138</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79938</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3375</v>
      </c>
      <c r="D33" s="2098">
        <f>'数据-基础表'!A3</f>
        <v>236852.66999999998</v>
      </c>
      <c r="E33" s="773">
        <f>ROUND(C33*D33/10000,0)</f>
        <v>79938</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506</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1"/>
      <c r="B37" s="2113" t="s">
        <v>2036</v>
      </c>
      <c r="C37" s="175">
        <f>ROUND(D5*C22*C23*C24*C28*F37,0)</f>
        <v>1914</v>
      </c>
      <c r="D37" s="2098"/>
      <c r="E37" s="171">
        <f>ROUND(C37*D37/10000,0)</f>
        <v>0</v>
      </c>
      <c r="F37" s="171">
        <f>SUMIF(修正!A57:A68,G2,修正!B57:B68)</f>
        <v>0.6</v>
      </c>
      <c r="G37" s="171">
        <f>ROUND(IF(E2="工业",C37*$M$42,C37*$M$41),0)</f>
        <v>287</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2"/>
      <c r="B38" s="2041" t="s">
        <v>2037</v>
      </c>
      <c r="C38" s="175">
        <f>ROUND(D5*C22*C23*C24*C28*F38,0)</f>
        <v>957</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2"/>
      <c r="B39" s="2041" t="s">
        <v>3265</v>
      </c>
      <c r="C39" s="175">
        <f>ROUND(D5*C22*C23*C24*C28*F39,0)</f>
        <v>797</v>
      </c>
      <c r="D39" s="2098"/>
      <c r="E39" s="171">
        <f t="shared" si="4"/>
        <v>0</v>
      </c>
      <c r="F39" s="171">
        <f>SUMIF(修正!A57:A68,G2,修正!D57:D68)</f>
        <v>0.25</v>
      </c>
      <c r="G39" s="171">
        <f>ROUND(IF(E2="工业",C39*$M$42,C39*$M$41),0)</f>
        <v>120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797</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3478</v>
      </c>
      <c r="D83" s="1065">
        <f t="shared" ref="D83:D90" si="22">SUMIF($J$82:$N$82,C83,J83:N83)</f>
        <v>6.4999999999999997E-3</v>
      </c>
      <c r="E83" s="744">
        <f>ROUND(SUM(D83:D90),4)</f>
        <v>1.38E-2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3479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3276</v>
      </c>
      <c r="B85" s="2134">
        <f>估价对象房地状况!G17</f>
        <v>0</v>
      </c>
      <c r="C85" s="2044" t="s">
        <v>3478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3480</v>
      </c>
      <c r="D86" s="1065">
        <f t="shared" si="22"/>
        <v>-1.1999999999999999E-3</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3480</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3481</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3478</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3479</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9" t="s">
        <v>3300</v>
      </c>
      <c r="B103" s="3789"/>
      <c r="C103" s="3789"/>
      <c r="D103" s="3789"/>
      <c r="E103" s="3789"/>
      <c r="F103" s="3789"/>
      <c r="G103" s="3789"/>
      <c r="H103" s="3789"/>
      <c r="I103" s="3789"/>
      <c r="J103" s="3789"/>
      <c r="K103" s="3389"/>
      <c r="L103" s="3389"/>
      <c r="M103" s="3389"/>
      <c r="N103" s="3389"/>
    </row>
    <row r="104" spans="1:14">
      <c r="A104" s="3790" t="s">
        <v>3301</v>
      </c>
      <c r="B104" s="3790" t="s">
        <v>3302</v>
      </c>
      <c r="C104" s="3390" t="s">
        <v>3303</v>
      </c>
      <c r="D104" s="3391"/>
      <c r="E104" s="3391"/>
      <c r="F104" s="3391"/>
      <c r="G104" s="3391"/>
      <c r="H104" s="3391"/>
      <c r="I104" s="3391"/>
      <c r="J104" s="3392"/>
      <c r="K104" s="3393"/>
      <c r="L104" s="3393"/>
      <c r="M104" s="3393"/>
      <c r="N104" s="3393"/>
    </row>
    <row r="105" spans="1:14">
      <c r="A105" s="3790"/>
      <c r="B105" s="3790"/>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76"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7"/>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9" t="s">
        <v>3317</v>
      </c>
      <c r="B113" s="3779"/>
      <c r="C113" s="3779"/>
      <c r="D113" s="3779"/>
      <c r="E113" s="3779"/>
      <c r="F113" s="3779"/>
      <c r="G113" s="3779"/>
      <c r="H113" s="3779"/>
      <c r="I113" s="3779"/>
      <c r="J113" s="377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0.64319999999999999</v>
      </c>
      <c r="E116" s="2000" t="s">
        <v>3320</v>
      </c>
      <c r="F116" s="3401" t="str">
        <f>E2</f>
        <v>工业</v>
      </c>
      <c r="G116" s="2000" t="s">
        <v>3321</v>
      </c>
      <c r="H116" s="3401" t="str">
        <f>G2</f>
        <v>六级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02" t="s">
        <v>2611</v>
      </c>
      <c r="B20" s="3795" t="s">
        <v>2632</v>
      </c>
      <c r="C20" s="3102" t="s">
        <v>2443</v>
      </c>
      <c r="D20" s="3103"/>
      <c r="E20" s="3104">
        <v>1</v>
      </c>
      <c r="F20" s="3105" t="s">
        <v>2444</v>
      </c>
      <c r="G20" s="3105"/>
    </row>
    <row r="21" spans="1:13" ht="19.5" customHeight="1">
      <c r="A21" s="3803"/>
      <c r="B21" s="3796"/>
      <c r="C21" s="3106" t="s">
        <v>2445</v>
      </c>
      <c r="D21" s="3107"/>
      <c r="E21" s="3108">
        <v>1</v>
      </c>
      <c r="F21" s="3105" t="s">
        <v>2446</v>
      </c>
      <c r="G21" s="3105"/>
    </row>
    <row r="22" spans="1:13" ht="19.5" customHeight="1">
      <c r="A22" s="3803"/>
      <c r="B22" s="3796"/>
      <c r="C22" s="3106" t="s">
        <v>2447</v>
      </c>
      <c r="D22" s="3107"/>
      <c r="E22" s="3108">
        <v>0.9</v>
      </c>
      <c r="F22" s="3105" t="s">
        <v>2448</v>
      </c>
      <c r="G22" s="3105"/>
    </row>
    <row r="23" spans="1:13" ht="19.5" customHeight="1">
      <c r="A23" s="3803"/>
      <c r="B23" s="3796"/>
      <c r="C23" s="3106" t="s">
        <v>2449</v>
      </c>
      <c r="D23" s="3107"/>
      <c r="E23" s="3108">
        <v>0.9</v>
      </c>
      <c r="F23" s="3105" t="s">
        <v>2450</v>
      </c>
      <c r="G23" s="3105"/>
    </row>
    <row r="24" spans="1:13" ht="19.5" customHeight="1">
      <c r="A24" s="3803"/>
      <c r="B24" s="3796"/>
      <c r="C24" s="3106" t="s">
        <v>2451</v>
      </c>
      <c r="D24" s="3107"/>
      <c r="E24" s="3108">
        <v>0.8</v>
      </c>
      <c r="F24" s="3105" t="s">
        <v>2452</v>
      </c>
      <c r="G24" s="3105"/>
    </row>
    <row r="25" spans="1:13" ht="19.5" customHeight="1" thickBot="1">
      <c r="A25" s="3804"/>
      <c r="B25" s="379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98" t="s">
        <v>2635</v>
      </c>
      <c r="B27" s="3795" t="s">
        <v>2616</v>
      </c>
      <c r="C27" s="3102" t="s">
        <v>2456</v>
      </c>
      <c r="D27" s="3103"/>
      <c r="E27" s="3104">
        <v>1</v>
      </c>
      <c r="F27" s="3105" t="s">
        <v>2457</v>
      </c>
      <c r="G27" s="3105"/>
    </row>
    <row r="28" spans="1:13" ht="19.5" customHeight="1">
      <c r="A28" s="3799"/>
      <c r="B28" s="3796"/>
      <c r="C28" s="3106" t="s">
        <v>2458</v>
      </c>
      <c r="D28" s="3107"/>
      <c r="E28" s="3108">
        <v>1</v>
      </c>
      <c r="F28" s="3105" t="s">
        <v>2459</v>
      </c>
      <c r="G28" s="3105"/>
    </row>
    <row r="29" spans="1:13" ht="19.5" customHeight="1">
      <c r="A29" s="3799"/>
      <c r="B29" s="3796"/>
      <c r="C29" s="3106" t="s">
        <v>2460</v>
      </c>
      <c r="D29" s="3107"/>
      <c r="E29" s="3108">
        <v>0.8</v>
      </c>
      <c r="F29" s="3105" t="s">
        <v>2461</v>
      </c>
      <c r="G29" s="3105"/>
    </row>
    <row r="30" spans="1:13" ht="19.5" customHeight="1">
      <c r="A30" s="3799"/>
      <c r="B30" s="3796"/>
      <c r="C30" s="3106" t="s">
        <v>2462</v>
      </c>
      <c r="D30" s="3107"/>
      <c r="E30" s="3108">
        <v>0.8</v>
      </c>
      <c r="F30" s="3105" t="s">
        <v>2463</v>
      </c>
      <c r="G30" s="3105"/>
    </row>
    <row r="31" spans="1:13" ht="19.5" customHeight="1">
      <c r="A31" s="3799"/>
      <c r="B31" s="3796"/>
      <c r="C31" s="3106" t="s">
        <v>2464</v>
      </c>
      <c r="D31" s="3107"/>
      <c r="E31" s="3108">
        <v>0.8</v>
      </c>
      <c r="F31" s="3105" t="s">
        <v>2465</v>
      </c>
      <c r="G31" s="3105"/>
    </row>
    <row r="32" spans="1:13" ht="19.5" customHeight="1">
      <c r="A32" s="3799"/>
      <c r="B32" s="3796"/>
      <c r="C32" s="3106" t="s">
        <v>2466</v>
      </c>
      <c r="D32" s="3107"/>
      <c r="E32" s="3108">
        <v>0.7</v>
      </c>
      <c r="F32" s="3105" t="s">
        <v>2467</v>
      </c>
      <c r="G32" s="3105"/>
    </row>
    <row r="33" spans="1:7" ht="19.5" customHeight="1">
      <c r="A33" s="3799"/>
      <c r="B33" s="3796"/>
      <c r="C33" s="3106" t="s">
        <v>2468</v>
      </c>
      <c r="D33" s="3107"/>
      <c r="E33" s="3108">
        <v>0.8</v>
      </c>
      <c r="F33" s="3105" t="s">
        <v>2469</v>
      </c>
      <c r="G33" s="3105"/>
    </row>
    <row r="34" spans="1:7" ht="19.5" customHeight="1">
      <c r="A34" s="3799"/>
      <c r="B34" s="3796"/>
      <c r="C34" s="3106" t="s">
        <v>2470</v>
      </c>
      <c r="D34" s="3107"/>
      <c r="E34" s="3108">
        <v>0.6</v>
      </c>
      <c r="F34" s="3105" t="s">
        <v>2471</v>
      </c>
      <c r="G34" s="3105"/>
    </row>
    <row r="35" spans="1:7" ht="19.5" customHeight="1">
      <c r="A35" s="3799"/>
      <c r="B35" s="3796"/>
      <c r="C35" s="3106" t="s">
        <v>2472</v>
      </c>
      <c r="D35" s="3107"/>
      <c r="E35" s="3108">
        <v>0.2</v>
      </c>
      <c r="F35" s="3105" t="s">
        <v>2473</v>
      </c>
      <c r="G35" s="3105"/>
    </row>
    <row r="36" spans="1:7" ht="19.5" customHeight="1">
      <c r="A36" s="3799"/>
      <c r="B36" s="3796"/>
      <c r="C36" s="3106" t="s">
        <v>2474</v>
      </c>
      <c r="D36" s="3107"/>
      <c r="E36" s="3108">
        <v>0.2</v>
      </c>
      <c r="F36" s="3105" t="s">
        <v>2475</v>
      </c>
      <c r="G36" s="3105"/>
    </row>
    <row r="37" spans="1:7" ht="19.5" customHeight="1">
      <c r="A37" s="3799"/>
      <c r="B37" s="3801" t="s">
        <v>2636</v>
      </c>
      <c r="C37" s="3106" t="s">
        <v>2476</v>
      </c>
      <c r="D37" s="3107"/>
      <c r="E37" s="3108">
        <v>0.6</v>
      </c>
      <c r="F37" s="3105" t="s">
        <v>2477</v>
      </c>
      <c r="G37" s="3105"/>
    </row>
    <row r="38" spans="1:7" ht="19.5" customHeight="1">
      <c r="A38" s="3799"/>
      <c r="B38" s="3796"/>
      <c r="C38" s="3106" t="s">
        <v>2478</v>
      </c>
      <c r="D38" s="3107"/>
      <c r="E38" s="3108">
        <v>0.6</v>
      </c>
      <c r="F38" s="3105" t="s">
        <v>2479</v>
      </c>
      <c r="G38" s="3105"/>
    </row>
    <row r="39" spans="1:7" ht="19.5" customHeight="1" thickBot="1">
      <c r="A39" s="3800"/>
      <c r="B39" s="379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02" t="s">
        <v>2614</v>
      </c>
      <c r="B41" s="3795" t="s">
        <v>2638</v>
      </c>
      <c r="C41" s="3102" t="s">
        <v>2483</v>
      </c>
      <c r="D41" s="3103"/>
      <c r="E41" s="3104">
        <v>1</v>
      </c>
      <c r="F41" s="3105" t="s">
        <v>2484</v>
      </c>
      <c r="G41" s="3105"/>
    </row>
    <row r="42" spans="1:7" ht="19.5" customHeight="1">
      <c r="A42" s="3803"/>
      <c r="B42" s="3796"/>
      <c r="C42" s="3106" t="s">
        <v>2485</v>
      </c>
      <c r="D42" s="3107"/>
      <c r="E42" s="3108">
        <v>1</v>
      </c>
      <c r="F42" s="3105" t="s">
        <v>2486</v>
      </c>
      <c r="G42" s="3105"/>
    </row>
    <row r="43" spans="1:7" ht="19.5" customHeight="1">
      <c r="A43" s="3803"/>
      <c r="B43" s="3805"/>
      <c r="C43" s="3106" t="s">
        <v>2487</v>
      </c>
      <c r="D43" s="3107"/>
      <c r="E43" s="3108">
        <v>1.5</v>
      </c>
      <c r="F43" s="3105" t="s">
        <v>2488</v>
      </c>
      <c r="G43" s="3105"/>
    </row>
    <row r="44" spans="1:7" ht="19.5" customHeight="1">
      <c r="A44" s="3803"/>
      <c r="B44" s="3117" t="s">
        <v>2639</v>
      </c>
      <c r="C44" s="3106" t="s">
        <v>2640</v>
      </c>
      <c r="D44" s="3107"/>
      <c r="E44" s="3108">
        <v>2</v>
      </c>
      <c r="F44" s="3105" t="s">
        <v>2489</v>
      </c>
      <c r="G44" s="3105"/>
    </row>
    <row r="45" spans="1:7" ht="19.5" customHeight="1">
      <c r="A45" s="3803"/>
      <c r="B45" s="3801" t="s">
        <v>2641</v>
      </c>
      <c r="C45" s="3106" t="s">
        <v>2490</v>
      </c>
      <c r="D45" s="3107"/>
      <c r="E45" s="3108">
        <v>1</v>
      </c>
      <c r="F45" s="3105" t="s">
        <v>2491</v>
      </c>
      <c r="G45" s="3105"/>
    </row>
    <row r="46" spans="1:7" ht="19.5" customHeight="1">
      <c r="A46" s="3803"/>
      <c r="B46" s="3796"/>
      <c r="C46" s="3106" t="s">
        <v>2492</v>
      </c>
      <c r="D46" s="3107"/>
      <c r="E46" s="3108">
        <v>1</v>
      </c>
      <c r="F46" s="3105" t="s">
        <v>2493</v>
      </c>
      <c r="G46" s="3105"/>
    </row>
    <row r="47" spans="1:7" ht="19.5" customHeight="1">
      <c r="A47" s="3803"/>
      <c r="B47" s="3796"/>
      <c r="C47" s="3106" t="s">
        <v>2494</v>
      </c>
      <c r="D47" s="3107"/>
      <c r="E47" s="3108">
        <v>1</v>
      </c>
      <c r="F47" s="3105" t="s">
        <v>2495</v>
      </c>
      <c r="G47" s="3105"/>
    </row>
    <row r="48" spans="1:7" ht="19.5" customHeight="1">
      <c r="A48" s="3803"/>
      <c r="B48" s="3796"/>
      <c r="C48" s="3106" t="s">
        <v>2496</v>
      </c>
      <c r="D48" s="3107"/>
      <c r="E48" s="3108">
        <v>1</v>
      </c>
      <c r="F48" s="3105" t="s">
        <v>2497</v>
      </c>
      <c r="G48" s="3105"/>
    </row>
    <row r="49" spans="1:7" ht="19.5" customHeight="1">
      <c r="A49" s="3803"/>
      <c r="B49" s="3796"/>
      <c r="C49" s="3106" t="s">
        <v>2498</v>
      </c>
      <c r="D49" s="3107"/>
      <c r="E49" s="3108">
        <v>1</v>
      </c>
      <c r="F49" s="3105" t="s">
        <v>2499</v>
      </c>
      <c r="G49" s="3105"/>
    </row>
    <row r="50" spans="1:7" ht="19.5" customHeight="1">
      <c r="A50" s="3803"/>
      <c r="B50" s="3796"/>
      <c r="C50" s="3106" t="s">
        <v>2500</v>
      </c>
      <c r="D50" s="3107"/>
      <c r="E50" s="3108">
        <v>1</v>
      </c>
      <c r="F50" s="3105" t="s">
        <v>2501</v>
      </c>
      <c r="G50" s="3105"/>
    </row>
    <row r="51" spans="1:7" ht="19.5" customHeight="1" thickBot="1">
      <c r="A51" s="3804"/>
      <c r="B51" s="379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01" t="s">
        <v>2655</v>
      </c>
      <c r="C73" s="3091" t="s">
        <v>2656</v>
      </c>
      <c r="D73" s="3091" t="s">
        <v>2657</v>
      </c>
      <c r="E73" s="3117">
        <v>0.2</v>
      </c>
      <c r="F73" s="3117">
        <v>25</v>
      </c>
    </row>
    <row r="74" spans="1:7" ht="24">
      <c r="A74" s="3117">
        <v>2</v>
      </c>
      <c r="B74" s="3796"/>
      <c r="C74" s="3091" t="s">
        <v>2658</v>
      </c>
      <c r="D74" s="3091" t="s">
        <v>2659</v>
      </c>
      <c r="E74" s="3117">
        <v>0.2</v>
      </c>
      <c r="F74" s="3117">
        <v>25</v>
      </c>
    </row>
    <row r="75" spans="1:7" ht="24">
      <c r="A75" s="3117">
        <v>3</v>
      </c>
      <c r="B75" s="3796"/>
      <c r="C75" s="3091" t="s">
        <v>2660</v>
      </c>
      <c r="D75" s="3091" t="s">
        <v>2661</v>
      </c>
      <c r="E75" s="3117">
        <v>0.2</v>
      </c>
      <c r="F75" s="3117">
        <v>25</v>
      </c>
    </row>
    <row r="76" spans="1:7" ht="13.5">
      <c r="A76" s="3117">
        <v>4</v>
      </c>
      <c r="B76" s="3796"/>
      <c r="C76" s="3091" t="s">
        <v>2662</v>
      </c>
      <c r="D76" s="3091" t="s">
        <v>2663</v>
      </c>
      <c r="E76" s="3117">
        <v>0.15</v>
      </c>
      <c r="F76" s="3117">
        <v>20</v>
      </c>
    </row>
    <row r="77" spans="1:7" ht="24">
      <c r="A77" s="3117">
        <v>5</v>
      </c>
      <c r="B77" s="3796"/>
      <c r="C77" s="3091" t="s">
        <v>2664</v>
      </c>
      <c r="D77" s="3091" t="s">
        <v>2665</v>
      </c>
      <c r="E77" s="3117">
        <v>0.15</v>
      </c>
      <c r="F77" s="3117">
        <v>20</v>
      </c>
    </row>
    <row r="78" spans="1:7" ht="24">
      <c r="A78" s="3117">
        <v>6</v>
      </c>
      <c r="B78" s="3796"/>
      <c r="C78" s="3091" t="s">
        <v>2666</v>
      </c>
      <c r="D78" s="3091" t="s">
        <v>2667</v>
      </c>
      <c r="E78" s="3117">
        <v>0.15</v>
      </c>
      <c r="F78" s="3117">
        <v>20</v>
      </c>
    </row>
    <row r="79" spans="1:7" ht="24">
      <c r="A79" s="3117">
        <v>7</v>
      </c>
      <c r="B79" s="3796"/>
      <c r="C79" s="3091" t="s">
        <v>2668</v>
      </c>
      <c r="D79" s="3091" t="s">
        <v>2669</v>
      </c>
      <c r="E79" s="3117">
        <v>0.15</v>
      </c>
      <c r="F79" s="3117">
        <v>20</v>
      </c>
    </row>
    <row r="80" spans="1:7" ht="24">
      <c r="A80" s="3117">
        <v>8</v>
      </c>
      <c r="B80" s="3796"/>
      <c r="C80" s="3091" t="s">
        <v>2670</v>
      </c>
      <c r="D80" s="3091" t="s">
        <v>2671</v>
      </c>
      <c r="E80" s="3117">
        <v>0.1</v>
      </c>
      <c r="F80" s="3117">
        <v>15</v>
      </c>
    </row>
    <row r="81" spans="1:6" ht="24">
      <c r="A81" s="3117">
        <v>9</v>
      </c>
      <c r="B81" s="3796"/>
      <c r="C81" s="3091" t="s">
        <v>2672</v>
      </c>
      <c r="D81" s="3091" t="s">
        <v>2673</v>
      </c>
      <c r="E81" s="3117">
        <v>0.1</v>
      </c>
      <c r="F81" s="3117">
        <v>15</v>
      </c>
    </row>
    <row r="82" spans="1:6" ht="24">
      <c r="A82" s="3117">
        <v>10</v>
      </c>
      <c r="B82" s="3796"/>
      <c r="C82" s="3091" t="s">
        <v>2674</v>
      </c>
      <c r="D82" s="3091" t="s">
        <v>2675</v>
      </c>
      <c r="E82" s="3117">
        <v>0.1</v>
      </c>
      <c r="F82" s="3117">
        <v>15</v>
      </c>
    </row>
    <row r="83" spans="1:6" ht="24">
      <c r="A83" s="3117">
        <v>11</v>
      </c>
      <c r="B83" s="3796"/>
      <c r="C83" s="3091" t="s">
        <v>2676</v>
      </c>
      <c r="D83" s="3091" t="s">
        <v>2677</v>
      </c>
      <c r="E83" s="3117">
        <v>0.1</v>
      </c>
      <c r="F83" s="3117">
        <v>15</v>
      </c>
    </row>
    <row r="84" spans="1:6" ht="24">
      <c r="A84" s="3117">
        <v>12</v>
      </c>
      <c r="B84" s="3796"/>
      <c r="C84" s="3091" t="s">
        <v>2678</v>
      </c>
      <c r="D84" s="3091" t="s">
        <v>2679</v>
      </c>
      <c r="E84" s="3117">
        <v>0.1</v>
      </c>
      <c r="F84" s="3117">
        <v>15</v>
      </c>
    </row>
    <row r="85" spans="1:6" ht="13.5">
      <c r="A85" s="3117">
        <v>13</v>
      </c>
      <c r="B85" s="3796"/>
      <c r="C85" s="3091" t="s">
        <v>2680</v>
      </c>
      <c r="D85" s="3091" t="s">
        <v>2681</v>
      </c>
      <c r="E85" s="3117">
        <v>0.1</v>
      </c>
      <c r="F85" s="3117">
        <v>15</v>
      </c>
    </row>
    <row r="86" spans="1:6" ht="13.5">
      <c r="A86" s="3117">
        <v>14</v>
      </c>
      <c r="B86" s="3796"/>
      <c r="C86" s="3091" t="s">
        <v>2682</v>
      </c>
      <c r="D86" s="3091" t="s">
        <v>2683</v>
      </c>
      <c r="E86" s="3117">
        <v>0.1</v>
      </c>
      <c r="F86" s="3117">
        <v>15</v>
      </c>
    </row>
    <row r="87" spans="1:6" ht="13.5">
      <c r="A87" s="3117">
        <v>15</v>
      </c>
      <c r="B87" s="3796"/>
      <c r="C87" s="3091" t="s">
        <v>2684</v>
      </c>
      <c r="D87" s="3091" t="s">
        <v>2685</v>
      </c>
      <c r="E87" s="3117">
        <v>0.1</v>
      </c>
      <c r="F87" s="3117">
        <v>15</v>
      </c>
    </row>
    <row r="88" spans="1:6" ht="24">
      <c r="A88" s="3117">
        <v>16</v>
      </c>
      <c r="B88" s="3796"/>
      <c r="C88" s="3091" t="s">
        <v>2686</v>
      </c>
      <c r="D88" s="3091" t="s">
        <v>2687</v>
      </c>
      <c r="E88" s="3117">
        <v>0.1</v>
      </c>
      <c r="F88" s="3117">
        <v>15</v>
      </c>
    </row>
    <row r="89" spans="1:6" ht="24">
      <c r="A89" s="3117">
        <v>17</v>
      </c>
      <c r="B89" s="3805"/>
      <c r="C89" s="3091" t="s">
        <v>2688</v>
      </c>
      <c r="D89" s="3091" t="s">
        <v>2689</v>
      </c>
      <c r="E89" s="3117">
        <v>0.1</v>
      </c>
      <c r="F89" s="3117">
        <v>15</v>
      </c>
    </row>
    <row r="90" spans="1:6" ht="13.5">
      <c r="A90" s="3117">
        <v>18</v>
      </c>
      <c r="B90" s="3801" t="s">
        <v>2690</v>
      </c>
      <c r="C90" s="3091" t="s">
        <v>2691</v>
      </c>
      <c r="D90" s="3091" t="s">
        <v>2692</v>
      </c>
      <c r="E90" s="3117">
        <v>0.2</v>
      </c>
      <c r="F90" s="3117">
        <v>25</v>
      </c>
    </row>
    <row r="91" spans="1:6" ht="24">
      <c r="A91" s="3117">
        <v>19</v>
      </c>
      <c r="B91" s="3796"/>
      <c r="C91" s="3091" t="s">
        <v>2693</v>
      </c>
      <c r="D91" s="3091" t="s">
        <v>2694</v>
      </c>
      <c r="E91" s="3117">
        <v>0.2</v>
      </c>
      <c r="F91" s="3117">
        <v>25</v>
      </c>
    </row>
    <row r="92" spans="1:6" ht="13.5">
      <c r="A92" s="3117">
        <v>20</v>
      </c>
      <c r="B92" s="3796"/>
      <c r="C92" s="3091" t="s">
        <v>2695</v>
      </c>
      <c r="D92" s="3091" t="s">
        <v>2696</v>
      </c>
      <c r="E92" s="3117">
        <v>0.15</v>
      </c>
      <c r="F92" s="3117">
        <v>20</v>
      </c>
    </row>
    <row r="93" spans="1:6" ht="13.5">
      <c r="A93" s="3117">
        <v>21</v>
      </c>
      <c r="B93" s="3796"/>
      <c r="C93" s="3091" t="s">
        <v>2697</v>
      </c>
      <c r="D93" s="3091" t="s">
        <v>2698</v>
      </c>
      <c r="E93" s="3117">
        <v>0.15</v>
      </c>
      <c r="F93" s="3117">
        <v>20</v>
      </c>
    </row>
    <row r="94" spans="1:6" ht="13.5">
      <c r="A94" s="3117">
        <v>22</v>
      </c>
      <c r="B94" s="3796"/>
      <c r="C94" s="3091" t="s">
        <v>2699</v>
      </c>
      <c r="D94" s="3091" t="s">
        <v>2700</v>
      </c>
      <c r="E94" s="3117">
        <v>0.15</v>
      </c>
      <c r="F94" s="3117">
        <v>20</v>
      </c>
    </row>
    <row r="95" spans="1:6" ht="36">
      <c r="A95" s="3117">
        <v>23</v>
      </c>
      <c r="B95" s="3796"/>
      <c r="C95" s="3091" t="s">
        <v>2701</v>
      </c>
      <c r="D95" s="3091" t="s">
        <v>2702</v>
      </c>
      <c r="E95" s="3117">
        <v>0.15</v>
      </c>
      <c r="F95" s="3117">
        <v>20</v>
      </c>
    </row>
    <row r="96" spans="1:6" ht="13.5">
      <c r="A96" s="3117">
        <v>24</v>
      </c>
      <c r="B96" s="3796"/>
      <c r="C96" s="3091" t="s">
        <v>2703</v>
      </c>
      <c r="D96" s="3091" t="s">
        <v>2704</v>
      </c>
      <c r="E96" s="3117">
        <v>0.1</v>
      </c>
      <c r="F96" s="3117">
        <v>15</v>
      </c>
    </row>
    <row r="97" spans="1:6" ht="13.5">
      <c r="A97" s="3117">
        <v>25</v>
      </c>
      <c r="B97" s="3796"/>
      <c r="C97" s="3091" t="s">
        <v>2705</v>
      </c>
      <c r="D97" s="3091" t="s">
        <v>2706</v>
      </c>
      <c r="E97" s="3117">
        <v>0.1</v>
      </c>
      <c r="F97" s="3117">
        <v>15</v>
      </c>
    </row>
    <row r="98" spans="1:6" ht="24">
      <c r="A98" s="3117">
        <v>26</v>
      </c>
      <c r="B98" s="3796"/>
      <c r="C98" s="3091" t="s">
        <v>2707</v>
      </c>
      <c r="D98" s="3091" t="s">
        <v>2708</v>
      </c>
      <c r="E98" s="3117">
        <v>0.1</v>
      </c>
      <c r="F98" s="3117">
        <v>15</v>
      </c>
    </row>
    <row r="99" spans="1:6" ht="24">
      <c r="A99" s="3117">
        <v>27</v>
      </c>
      <c r="B99" s="3796"/>
      <c r="C99" s="3091" t="s">
        <v>2709</v>
      </c>
      <c r="D99" s="3091" t="s">
        <v>2710</v>
      </c>
      <c r="E99" s="3117">
        <v>0.1</v>
      </c>
      <c r="F99" s="3117">
        <v>15</v>
      </c>
    </row>
    <row r="100" spans="1:6" ht="13.5">
      <c r="A100" s="3117">
        <v>28</v>
      </c>
      <c r="B100" s="3796"/>
      <c r="C100" s="3091" t="s">
        <v>2711</v>
      </c>
      <c r="D100" s="3091" t="s">
        <v>2712</v>
      </c>
      <c r="E100" s="3117">
        <v>0.1</v>
      </c>
      <c r="F100" s="3117">
        <v>15</v>
      </c>
    </row>
    <row r="101" spans="1:6" ht="13.5">
      <c r="A101" s="3117">
        <v>29</v>
      </c>
      <c r="B101" s="3796"/>
      <c r="C101" s="3091" t="s">
        <v>2713</v>
      </c>
      <c r="D101" s="3091" t="s">
        <v>2714</v>
      </c>
      <c r="E101" s="3117">
        <v>0.1</v>
      </c>
      <c r="F101" s="3117">
        <v>15</v>
      </c>
    </row>
    <row r="102" spans="1:6" ht="13.5">
      <c r="A102" s="3117">
        <v>30</v>
      </c>
      <c r="B102" s="3796"/>
      <c r="C102" s="3091" t="s">
        <v>2715</v>
      </c>
      <c r="D102" s="3091" t="s">
        <v>2716</v>
      </c>
      <c r="E102" s="3117">
        <v>0.1</v>
      </c>
      <c r="F102" s="3117">
        <v>15</v>
      </c>
    </row>
    <row r="103" spans="1:6" ht="24">
      <c r="A103" s="3117">
        <v>31</v>
      </c>
      <c r="B103" s="3796"/>
      <c r="C103" s="3091" t="s">
        <v>2717</v>
      </c>
      <c r="D103" s="3091" t="s">
        <v>2718</v>
      </c>
      <c r="E103" s="3117">
        <v>0.1</v>
      </c>
      <c r="F103" s="3117">
        <v>15</v>
      </c>
    </row>
    <row r="104" spans="1:6" ht="24">
      <c r="A104" s="3117">
        <v>32</v>
      </c>
      <c r="B104" s="3796"/>
      <c r="C104" s="3091" t="s">
        <v>2719</v>
      </c>
      <c r="D104" s="3091" t="s">
        <v>2720</v>
      </c>
      <c r="E104" s="3117">
        <v>0.1</v>
      </c>
      <c r="F104" s="3117">
        <v>15</v>
      </c>
    </row>
    <row r="105" spans="1:6" ht="24">
      <c r="A105" s="3117">
        <v>33</v>
      </c>
      <c r="B105" s="3796"/>
      <c r="C105" s="3091" t="s">
        <v>2721</v>
      </c>
      <c r="D105" s="3091" t="s">
        <v>2722</v>
      </c>
      <c r="E105" s="3117">
        <v>0.1</v>
      </c>
      <c r="F105" s="3117">
        <v>15</v>
      </c>
    </row>
    <row r="106" spans="1:6" ht="24">
      <c r="A106" s="3117">
        <v>34</v>
      </c>
      <c r="B106" s="3805"/>
      <c r="C106" s="3091" t="s">
        <v>2723</v>
      </c>
      <c r="D106" s="3091" t="s">
        <v>2724</v>
      </c>
      <c r="E106" s="3117">
        <v>0.1</v>
      </c>
      <c r="F106" s="3117">
        <v>15</v>
      </c>
    </row>
    <row r="107" spans="1:6" ht="24">
      <c r="A107" s="3117">
        <v>35</v>
      </c>
      <c r="B107" s="3801" t="s">
        <v>2725</v>
      </c>
      <c r="C107" s="3117" t="s">
        <v>2726</v>
      </c>
      <c r="D107" s="3091" t="s">
        <v>2727</v>
      </c>
      <c r="E107" s="3117">
        <v>0.15</v>
      </c>
      <c r="F107" s="3117">
        <v>20</v>
      </c>
    </row>
    <row r="108" spans="1:6" ht="13.5">
      <c r="A108" s="3117">
        <v>36</v>
      </c>
      <c r="B108" s="3796"/>
      <c r="C108" s="3117" t="s">
        <v>2728</v>
      </c>
      <c r="D108" s="3091" t="s">
        <v>2729</v>
      </c>
      <c r="E108" s="3117">
        <v>0.15</v>
      </c>
      <c r="F108" s="3117">
        <v>20</v>
      </c>
    </row>
    <row r="109" spans="1:6" ht="13.5">
      <c r="A109" s="3117">
        <v>37</v>
      </c>
      <c r="B109" s="3796"/>
      <c r="C109" s="3117" t="s">
        <v>2730</v>
      </c>
      <c r="D109" s="3091" t="s">
        <v>2731</v>
      </c>
      <c r="E109" s="3117">
        <v>0.15</v>
      </c>
      <c r="F109" s="3117">
        <v>20</v>
      </c>
    </row>
    <row r="110" spans="1:6" ht="13.5">
      <c r="A110" s="3117">
        <v>38</v>
      </c>
      <c r="B110" s="3796"/>
      <c r="C110" s="3117" t="s">
        <v>2732</v>
      </c>
      <c r="D110" s="3091" t="s">
        <v>2733</v>
      </c>
      <c r="E110" s="3117">
        <v>0.1</v>
      </c>
      <c r="F110" s="3117">
        <v>15</v>
      </c>
    </row>
    <row r="111" spans="1:6" ht="24">
      <c r="A111" s="3117">
        <v>39</v>
      </c>
      <c r="B111" s="3796"/>
      <c r="C111" s="3117" t="s">
        <v>2734</v>
      </c>
      <c r="D111" s="3091" t="s">
        <v>2735</v>
      </c>
      <c r="E111" s="3117">
        <v>0.1</v>
      </c>
      <c r="F111" s="3117">
        <v>15</v>
      </c>
    </row>
    <row r="112" spans="1:6" ht="24">
      <c r="A112" s="3117">
        <v>40</v>
      </c>
      <c r="B112" s="3805"/>
      <c r="C112" s="3117" t="s">
        <v>2736</v>
      </c>
      <c r="D112" s="3091" t="s">
        <v>2737</v>
      </c>
      <c r="E112" s="3117">
        <v>0.1</v>
      </c>
      <c r="F112" s="3117">
        <v>15</v>
      </c>
    </row>
    <row r="113" spans="1:6" ht="13.5">
      <c r="A113" s="3117">
        <v>41</v>
      </c>
      <c r="B113" s="3806" t="s">
        <v>2738</v>
      </c>
      <c r="C113" s="3117" t="s">
        <v>2739</v>
      </c>
      <c r="D113" s="3091" t="s">
        <v>2740</v>
      </c>
      <c r="E113" s="3117">
        <v>0.1</v>
      </c>
      <c r="F113" s="3117">
        <v>15</v>
      </c>
    </row>
    <row r="114" spans="1:6" ht="13.5">
      <c r="A114" s="3117">
        <v>42</v>
      </c>
      <c r="B114" s="3806"/>
      <c r="C114" s="3117" t="s">
        <v>2741</v>
      </c>
      <c r="D114" s="3091" t="s">
        <v>2742</v>
      </c>
      <c r="E114" s="3117">
        <v>0.1</v>
      </c>
      <c r="F114" s="3117">
        <v>15</v>
      </c>
    </row>
    <row r="115" spans="1:6" ht="24">
      <c r="A115" s="3117">
        <v>43</v>
      </c>
      <c r="B115" s="3806"/>
      <c r="C115" s="3117" t="s">
        <v>2743</v>
      </c>
      <c r="D115" s="3091" t="s">
        <v>2744</v>
      </c>
      <c r="E115" s="3117">
        <v>0.1</v>
      </c>
      <c r="F115" s="3117">
        <v>15</v>
      </c>
    </row>
    <row r="116" spans="1:6" ht="13.5">
      <c r="A116" s="3117">
        <v>44</v>
      </c>
      <c r="B116" s="3801" t="s">
        <v>2745</v>
      </c>
      <c r="C116" s="3117" t="s">
        <v>2746</v>
      </c>
      <c r="D116" s="3091" t="s">
        <v>2747</v>
      </c>
      <c r="E116" s="3117">
        <v>0.1</v>
      </c>
      <c r="F116" s="3117">
        <v>15</v>
      </c>
    </row>
    <row r="117" spans="1:6" ht="24">
      <c r="A117" s="3117">
        <v>45</v>
      </c>
      <c r="B117" s="3805"/>
      <c r="C117" s="3091" t="s">
        <v>2748</v>
      </c>
      <c r="D117" s="3091" t="s">
        <v>2749</v>
      </c>
      <c r="E117" s="3117">
        <v>0.1</v>
      </c>
      <c r="F117" s="3117">
        <v>15</v>
      </c>
    </row>
    <row r="118" spans="1:6" ht="24">
      <c r="A118" s="3117">
        <v>46</v>
      </c>
      <c r="B118" s="3801" t="s">
        <v>2750</v>
      </c>
      <c r="C118" s="3117" t="s">
        <v>2751</v>
      </c>
      <c r="D118" s="3091" t="s">
        <v>2752</v>
      </c>
      <c r="E118" s="3117">
        <v>0.1</v>
      </c>
      <c r="F118" s="3117">
        <v>15</v>
      </c>
    </row>
    <row r="119" spans="1:6" ht="24">
      <c r="A119" s="3117">
        <v>47</v>
      </c>
      <c r="B119" s="3805"/>
      <c r="C119" s="3117" t="s">
        <v>2753</v>
      </c>
      <c r="D119" s="3091" t="s">
        <v>2754</v>
      </c>
      <c r="E119" s="3117">
        <v>0.1</v>
      </c>
      <c r="F119" s="3117">
        <v>15</v>
      </c>
    </row>
    <row r="120" spans="1:6" ht="13.5">
      <c r="A120" s="3117">
        <v>48</v>
      </c>
      <c r="B120" s="3801" t="s">
        <v>2755</v>
      </c>
      <c r="C120" s="3117" t="s">
        <v>2756</v>
      </c>
      <c r="D120" s="3091" t="s">
        <v>2757</v>
      </c>
      <c r="E120" s="3117">
        <v>0.1</v>
      </c>
      <c r="F120" s="3117">
        <v>15</v>
      </c>
    </row>
    <row r="121" spans="1:6" ht="13.5">
      <c r="A121" s="3117">
        <v>49</v>
      </c>
      <c r="B121" s="3805"/>
      <c r="C121" s="3117" t="s">
        <v>2758</v>
      </c>
      <c r="D121" s="3091" t="s">
        <v>2759</v>
      </c>
      <c r="E121" s="3117">
        <v>0.1</v>
      </c>
      <c r="F121" s="3117">
        <v>15</v>
      </c>
    </row>
    <row r="122" spans="1:6" ht="24">
      <c r="A122" s="3117">
        <v>50</v>
      </c>
      <c r="B122" s="3806" t="s">
        <v>2760</v>
      </c>
      <c r="C122" s="3117" t="s">
        <v>2761</v>
      </c>
      <c r="D122" s="3091" t="s">
        <v>2762</v>
      </c>
      <c r="E122" s="3117">
        <v>0.1</v>
      </c>
      <c r="F122" s="3117">
        <v>15</v>
      </c>
    </row>
    <row r="123" spans="1:6" ht="24">
      <c r="A123" s="3117">
        <v>51</v>
      </c>
      <c r="B123" s="3806"/>
      <c r="C123" s="3117" t="s">
        <v>2763</v>
      </c>
      <c r="D123" s="3091" t="s">
        <v>2764</v>
      </c>
      <c r="E123" s="3117">
        <v>0.1</v>
      </c>
      <c r="F123" s="3117">
        <v>15</v>
      </c>
    </row>
    <row r="124" spans="1:6" ht="24">
      <c r="A124" s="3117">
        <v>52</v>
      </c>
      <c r="B124" s="3806" t="s">
        <v>2765</v>
      </c>
      <c r="C124" s="3117" t="s">
        <v>2766</v>
      </c>
      <c r="D124" s="3091" t="s">
        <v>2767</v>
      </c>
      <c r="E124" s="3117">
        <v>0.1</v>
      </c>
      <c r="F124" s="3117">
        <v>15</v>
      </c>
    </row>
    <row r="125" spans="1:6" ht="24">
      <c r="A125" s="3117">
        <v>53</v>
      </c>
      <c r="B125" s="380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06" t="s">
        <v>2773</v>
      </c>
      <c r="C127" s="3117" t="s">
        <v>2774</v>
      </c>
      <c r="D127" s="3091" t="s">
        <v>2775</v>
      </c>
      <c r="E127" s="3117">
        <v>0.1</v>
      </c>
      <c r="F127" s="3117">
        <v>15</v>
      </c>
    </row>
    <row r="128" spans="1:6" ht="13.5">
      <c r="A128" s="3117">
        <v>56</v>
      </c>
      <c r="B128" s="3806"/>
      <c r="C128" s="3117" t="s">
        <v>2776</v>
      </c>
      <c r="D128" s="3091" t="s">
        <v>2777</v>
      </c>
      <c r="E128" s="3117">
        <v>0.1</v>
      </c>
      <c r="F128" s="3117">
        <v>15</v>
      </c>
    </row>
    <row r="129" spans="1:6" ht="24">
      <c r="A129" s="3117">
        <v>57</v>
      </c>
      <c r="B129" s="3806"/>
      <c r="C129" s="3117" t="s">
        <v>2778</v>
      </c>
      <c r="D129" s="3091" t="s">
        <v>2779</v>
      </c>
      <c r="E129" s="3117">
        <v>0.1</v>
      </c>
      <c r="F129" s="3117">
        <v>15</v>
      </c>
    </row>
    <row r="130" spans="1:6" ht="24">
      <c r="A130" s="3117">
        <v>58</v>
      </c>
      <c r="B130" s="3806" t="s">
        <v>2780</v>
      </c>
      <c r="C130" s="3117" t="s">
        <v>2781</v>
      </c>
      <c r="D130" s="3091" t="s">
        <v>2782</v>
      </c>
      <c r="E130" s="3117">
        <v>0.1</v>
      </c>
      <c r="F130" s="3117">
        <v>15</v>
      </c>
    </row>
    <row r="131" spans="1:6" ht="13.5">
      <c r="A131" s="3117">
        <v>59</v>
      </c>
      <c r="B131" s="3806"/>
      <c r="C131" s="3117" t="s">
        <v>2783</v>
      </c>
      <c r="D131" s="3091" t="s">
        <v>2784</v>
      </c>
      <c r="E131" s="3117">
        <v>0.1</v>
      </c>
      <c r="F131" s="3117">
        <v>15</v>
      </c>
    </row>
    <row r="132" spans="1:6" ht="13.5">
      <c r="A132" s="3117">
        <v>60</v>
      </c>
      <c r="B132" s="3801" t="s">
        <v>2785</v>
      </c>
      <c r="C132" s="3117" t="s">
        <v>2786</v>
      </c>
      <c r="D132" s="3091" t="s">
        <v>2787</v>
      </c>
      <c r="E132" s="3117">
        <v>0.1</v>
      </c>
      <c r="F132" s="3117">
        <v>15</v>
      </c>
    </row>
    <row r="133" spans="1:6" ht="13.5">
      <c r="A133" s="3117">
        <v>61</v>
      </c>
      <c r="B133" s="380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06" t="s">
        <v>2793</v>
      </c>
      <c r="C135" s="3117" t="s">
        <v>2794</v>
      </c>
      <c r="D135" s="3091" t="s">
        <v>2795</v>
      </c>
      <c r="E135" s="3117">
        <v>0.1</v>
      </c>
      <c r="F135" s="3117">
        <v>15</v>
      </c>
    </row>
    <row r="136" spans="1:6" ht="13.5">
      <c r="A136" s="3117">
        <v>64</v>
      </c>
      <c r="B136" s="380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215087</v>
      </c>
      <c r="E5" s="1491"/>
    </row>
    <row r="6" spans="1:5" ht="15.75">
      <c r="A6" s="1491"/>
      <c r="B6" s="3480"/>
      <c r="C6" s="1494" t="s">
        <v>911</v>
      </c>
      <c r="D6" s="850" t="str">
        <f ca="1">NUMBERSTRING(INT(D5*10000),2)&amp;"元整"</f>
        <v>贰拾壹亿伍仟零捌拾柒万元整</v>
      </c>
      <c r="E6" s="1491"/>
    </row>
    <row r="7" spans="1:5" ht="15.75">
      <c r="A7" s="1491"/>
      <c r="B7" s="3485"/>
      <c r="C7" s="1495" t="s">
        <v>912</v>
      </c>
      <c r="D7" s="851">
        <f ca="1">结果表!H102</f>
        <v>18849</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215087</v>
      </c>
      <c r="E13" s="1491"/>
    </row>
    <row r="14" spans="1:5" ht="15.75">
      <c r="A14" s="1491"/>
      <c r="B14" s="3480"/>
      <c r="C14" s="1494" t="s">
        <v>911</v>
      </c>
      <c r="D14" s="850" t="str">
        <f ca="1">NUMBERSTRING(INT(D13*10000),2)&amp;"元整"</f>
        <v>贰拾壹亿伍仟零捌拾柒万元整</v>
      </c>
      <c r="E14" s="1491"/>
    </row>
    <row r="15" spans="1:5" ht="15">
      <c r="A15" s="1491"/>
      <c r="B15" s="3485"/>
      <c r="C15" s="1495" t="s">
        <v>921</v>
      </c>
      <c r="D15" s="859">
        <f ca="1">结果表!H108</f>
        <v>18849</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73430</v>
      </c>
      <c r="C2" s="2" t="s">
        <v>106</v>
      </c>
      <c r="D2" s="199"/>
      <c r="E2" s="199"/>
      <c r="F2" s="199"/>
      <c r="G2" s="199"/>
    </row>
    <row r="3" spans="1:7" s="200" customFormat="1" ht="18" customHeight="1" thickBot="1">
      <c r="A3" s="203" t="s">
        <v>58</v>
      </c>
      <c r="B3" s="204">
        <f ca="1">ROUND(B2*10000/'数据-汇总表'!E3,0)</f>
        <v>6435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114107.98000000001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114107.98000000001</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1670</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165</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38739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34232</v>
      </c>
      <c r="D34" s="217"/>
      <c r="E34" s="220"/>
      <c r="F34" s="257">
        <f>IF('数据-取费表'!B24=0,1,'数据-取费表'!N16)</f>
        <v>1</v>
      </c>
      <c r="G34" s="219" t="s">
        <v>89</v>
      </c>
    </row>
    <row r="35" spans="1:7" ht="13.5" customHeight="1">
      <c r="A35" s="780" t="s">
        <v>351</v>
      </c>
      <c r="B35" s="215" t="s">
        <v>33</v>
      </c>
      <c r="C35" s="220">
        <f>ROUND(C34*F35,0)</f>
        <v>1712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114107.98000000001</v>
      </c>
      <c r="E37" s="249">
        <f>'数据-取费表'!B35</f>
        <v>200</v>
      </c>
      <c r="F37" s="259"/>
      <c r="G37" s="261" t="s">
        <v>92</v>
      </c>
    </row>
    <row r="38" spans="1:7" ht="13.5" customHeight="1">
      <c r="A38" s="780" t="s">
        <v>354</v>
      </c>
      <c r="B38" s="215" t="s">
        <v>36</v>
      </c>
      <c r="C38" s="220">
        <f>ROUND(C34*F38,0)</f>
        <v>513</v>
      </c>
      <c r="D38" s="220"/>
      <c r="E38" s="220"/>
      <c r="F38" s="259">
        <f>'数据-取费表'!B36</f>
        <v>1.4999999999999999E-2</v>
      </c>
      <c r="G38" s="219" t="s">
        <v>90</v>
      </c>
    </row>
    <row r="39" spans="1:7" s="214" customFormat="1" ht="13.5" customHeight="1">
      <c r="A39" s="777" t="s">
        <v>338</v>
      </c>
      <c r="B39" s="210" t="s">
        <v>77</v>
      </c>
      <c r="C39" s="232">
        <f>ROUND(C33*F20,0)</f>
        <v>775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1403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1375</v>
      </c>
      <c r="D42" s="238"/>
      <c r="E42" s="238"/>
      <c r="F42" s="239"/>
      <c r="G42" s="3671" t="s">
        <v>94</v>
      </c>
    </row>
    <row r="43" spans="1:7" ht="13.5" customHeight="1">
      <c r="A43" s="780" t="s">
        <v>347</v>
      </c>
      <c r="B43" s="215" t="s">
        <v>426</v>
      </c>
      <c r="C43" s="238">
        <f ca="1">ROUND(IF('数据-取费表'!B22&lt;=1,C39*F22*'数据-取费表'!B21/2,C39*(POWER((1+F22),'数据-取费表'!B21/2)-1)),0)</f>
        <v>28</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7903</v>
      </c>
      <c r="D45" s="235">
        <f>C47</f>
        <v>4.0000000000000001E-3</v>
      </c>
      <c r="E45" s="236" t="s">
        <v>102</v>
      </c>
      <c r="F45" s="246"/>
      <c r="G45" s="247" t="s">
        <v>434</v>
      </c>
    </row>
    <row r="46" spans="1:7" s="214" customFormat="1" ht="13.5" customHeight="1">
      <c r="A46" s="780" t="s">
        <v>349</v>
      </c>
      <c r="B46" s="248" t="s">
        <v>427</v>
      </c>
      <c r="C46" s="249">
        <f>ROUND((C33+C39)*F27,0)</f>
        <v>7903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52897</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41260</v>
      </c>
      <c r="D51" s="232"/>
      <c r="E51" s="232"/>
      <c r="F51" s="264"/>
      <c r="G51" s="234" t="s">
        <v>37</v>
      </c>
    </row>
    <row r="52" spans="1:7" s="208" customFormat="1" ht="16.5" thickBot="1">
      <c r="A52" s="265" t="s">
        <v>38</v>
      </c>
      <c r="B52" s="266"/>
      <c r="C52" s="267">
        <f ca="1">C31+C51</f>
        <v>73430</v>
      </c>
      <c r="D52" s="266"/>
      <c r="E52" s="266"/>
      <c r="F52" s="266"/>
      <c r="G52" s="268"/>
    </row>
    <row r="55" spans="1:7" ht="15">
      <c r="B55" s="270" t="s">
        <v>39</v>
      </c>
      <c r="C55" s="271"/>
    </row>
    <row r="56" spans="1:7">
      <c r="B56" s="273" t="s">
        <v>40</v>
      </c>
      <c r="C56" s="274">
        <f ca="1">ROUND(C51/C52,3)</f>
        <v>0.56200000000000006</v>
      </c>
    </row>
    <row r="57" spans="1:7">
      <c r="B57" s="273" t="s">
        <v>41</v>
      </c>
      <c r="C57" s="275">
        <f ca="1">1-C56</f>
        <v>0.43799999999999994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9" t="s">
        <v>2845</v>
      </c>
      <c r="B1" s="3809"/>
      <c r="C1" s="3809"/>
      <c r="D1" s="3809"/>
      <c r="E1" s="3809"/>
      <c r="F1" s="3809"/>
      <c r="G1" s="3810"/>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07"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08"/>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1" t="s">
        <v>3187</v>
      </c>
      <c r="B1" s="3811"/>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2" t="s">
        <v>3238</v>
      </c>
      <c r="B1" s="3812"/>
      <c r="C1" s="3812"/>
      <c r="D1" s="3812"/>
      <c r="E1" s="3812"/>
      <c r="F1" s="3813"/>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45106</v>
      </c>
      <c r="B1" s="3209" t="s">
        <v>2844</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14" t="s">
        <v>2832</v>
      </c>
      <c r="S21" s="3815"/>
      <c r="T21" s="3815"/>
      <c r="U21" s="3815"/>
      <c r="V21" s="3815"/>
      <c r="W21" s="3815"/>
      <c r="X21" s="3164"/>
      <c r="Y21" s="3814" t="s">
        <v>2833</v>
      </c>
      <c r="Z21" s="3815"/>
      <c r="AA21" s="3815"/>
      <c r="AB21" s="3815"/>
      <c r="AC21" s="3815"/>
      <c r="AD21" s="3815"/>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1.0344</v>
      </c>
      <c r="T25" s="3182">
        <f>ROUND(IF([3]项目基本情况!$B$8="出让",SUMPRODUCT(PRODUCT(1+M25:M$36)),SUMPRODUCT(PRODUCT(1+M25:M$35))),4)</f>
        <v>1.0224</v>
      </c>
      <c r="U25" s="3182">
        <f>ROUND(IF([3]项目基本情况!$B$8="出让",SUMPRODUCT(PRODUCT(1+N25:N$36)),SUMPRODUCT(PRODUCT(1+N25:N$35))),4)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1.0344</v>
      </c>
      <c r="T26" s="3182">
        <f>ROUND(IF([3]项目基本情况!$B$8="出让",SUMPRODUCT(PRODUCT(1+M26:M$36)),SUMPRODUCT(PRODUCT(1+M26:M$35))),4)</f>
        <v>1.0224</v>
      </c>
      <c r="U26" s="3182">
        <f>ROUND(IF([3]项目基本情况!$B$8="出让",SUMPRODUCT(PRODUCT(1+N26:N$36)),SUMPRODUCT(PRODUCT(1+N26:N$35))),4)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ROUND(IF([3]项目基本情况!$B$8="出让",SUMPRODUCT(PRODUCT(1+L27:L$36)),SUMPRODUCT(PRODUCT(1+L27:L$35))),4)</f>
        <v>1.0344</v>
      </c>
      <c r="T27" s="3182">
        <f>ROUND(IF([3]项目基本情况!$B$8="出让",SUMPRODUCT(PRODUCT(1+M27:M$36)),SUMPRODUCT(PRODUCT(1+M27:M$35))),4)</f>
        <v>1.0224</v>
      </c>
      <c r="U27" s="3182">
        <f>ROUND(IF([3]项目基本情况!$B$8="出让",SUMPRODUCT(PRODUCT(1+N27:N$36)),SUMPRODUCT(PRODUCT(1+N27:N$35))),4)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ROUND(IF([3]项目基本情况!$B$8="出让",SUMPRODUCT(PRODUCT(1+L28:L$36)),SUMPRODUCT(PRODUCT(1+L28:L$35))),4)</f>
        <v>1.0344</v>
      </c>
      <c r="T28" s="3191">
        <f>ROUND(IF([3]项目基本情况!$B$8="出让",SUMPRODUCT(PRODUCT(1+M28:M$36)),SUMPRODUCT(PRODUCT(1+M28:M$35))),4)</f>
        <v>1.0224</v>
      </c>
      <c r="U28" s="3191">
        <f>ROUND(IF([3]项目基本情况!$B$8="出让",SUMPRODUCT(PRODUCT(1+N28:N$36)),SUMPRODUCT(PRODUCT(1+N28:N$35))),4)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
  <sheetViews>
    <sheetView workbookViewId="0">
      <selection activeCell="L39" sqref="L39"/>
    </sheetView>
  </sheetViews>
  <sheetFormatPr defaultRowHeight="13.5"/>
  <cols>
    <col min="2" max="2" width="18.5" customWidth="1"/>
    <col min="3" max="3" width="12.75" bestFit="1" customWidth="1"/>
  </cols>
  <sheetData>
    <row r="2" spans="2:5">
      <c r="B2" s="3450" t="s">
        <v>3750</v>
      </c>
      <c r="C2" s="3450" t="s">
        <v>3752</v>
      </c>
      <c r="D2" s="3450" t="s">
        <v>3754</v>
      </c>
    </row>
    <row r="3" spans="2:5">
      <c r="B3" s="3827" t="s">
        <v>3751</v>
      </c>
      <c r="C3">
        <f>租赁台账!J32</f>
        <v>300</v>
      </c>
      <c r="D3">
        <f>租赁台账!M32</f>
        <v>0.52153499999999997</v>
      </c>
      <c r="E3">
        <f>D3*C3</f>
        <v>156.4605</v>
      </c>
    </row>
    <row r="4" spans="2:5">
      <c r="B4" s="3828"/>
      <c r="C4">
        <f>租赁台账!J34</f>
        <v>23270.82</v>
      </c>
      <c r="D4">
        <f>租赁台账!M34+租赁台账!M35</f>
        <v>5.1029650000000002</v>
      </c>
      <c r="E4">
        <f t="shared" ref="E4:E7" si="0">D4*C4</f>
        <v>118750.1799813</v>
      </c>
    </row>
    <row r="5" spans="2:5">
      <c r="B5" s="3828"/>
      <c r="C5">
        <f>租赁台账!J36</f>
        <v>23300.57</v>
      </c>
      <c r="D5">
        <f>租赁台账!M36+租赁台账!M38</f>
        <v>5.1029650000000002</v>
      </c>
      <c r="E5">
        <f t="shared" si="0"/>
        <v>118901.99319005001</v>
      </c>
    </row>
    <row r="6" spans="2:5">
      <c r="B6" s="3828"/>
      <c r="C6">
        <f>租赁台账!J39</f>
        <v>642.77</v>
      </c>
      <c r="D6">
        <f>租赁台账!M39+租赁台账!M41</f>
        <v>5.1029650000000002</v>
      </c>
      <c r="E6">
        <f t="shared" si="0"/>
        <v>3280.0328130500002</v>
      </c>
    </row>
    <row r="7" spans="2:5">
      <c r="B7" s="3828"/>
      <c r="C7">
        <f>租赁台账!J42</f>
        <v>12611.92</v>
      </c>
      <c r="D7">
        <f>租赁台账!M42+租赁台账!M44</f>
        <v>5.1029650000000002</v>
      </c>
      <c r="E7">
        <f t="shared" si="0"/>
        <v>64358.1863428</v>
      </c>
    </row>
    <row r="8" spans="2:5">
      <c r="B8" s="3450" t="s">
        <v>3753</v>
      </c>
      <c r="C8">
        <f>SUM(C3:C7)</f>
        <v>60126.079999999994</v>
      </c>
      <c r="D8" s="3477">
        <f>ROUND(E8/C8,2)</f>
        <v>5.08</v>
      </c>
      <c r="E8">
        <f>SUM(E3:E7)</f>
        <v>305446.85282720003</v>
      </c>
    </row>
    <row r="10" spans="2:5">
      <c r="B10" s="3827" t="s">
        <v>3755</v>
      </c>
      <c r="C10">
        <f>租赁台账!J2</f>
        <v>1707.43</v>
      </c>
      <c r="D10">
        <f>租赁台账!M2+租赁台账!M3</f>
        <v>5.1418670000000004</v>
      </c>
      <c r="E10">
        <f>D10*C10</f>
        <v>8779.3779718100013</v>
      </c>
    </row>
    <row r="11" spans="2:5">
      <c r="B11" s="3828"/>
      <c r="C11">
        <f>租赁台账!J4</f>
        <v>624.29</v>
      </c>
      <c r="D11">
        <f>租赁台账!M4+租赁台账!M5</f>
        <v>6.5234620000000003</v>
      </c>
      <c r="E11">
        <f t="shared" ref="E11:E23" si="1">D11*C11</f>
        <v>4072.5320919800001</v>
      </c>
    </row>
    <row r="12" spans="2:5">
      <c r="B12" s="3828"/>
      <c r="C12">
        <f>租赁台账!J6</f>
        <v>45</v>
      </c>
      <c r="D12">
        <f>租赁台账!M6+租赁台账!M7</f>
        <v>6.5784330000000004</v>
      </c>
      <c r="E12">
        <f t="shared" si="1"/>
        <v>296.02948500000002</v>
      </c>
    </row>
    <row r="13" spans="2:5">
      <c r="B13" s="3828"/>
      <c r="C13">
        <f>租赁台账!J8</f>
        <v>86.67</v>
      </c>
      <c r="D13">
        <f>租赁台账!M8</f>
        <v>7.6339199999999998</v>
      </c>
      <c r="E13">
        <f t="shared" si="1"/>
        <v>661.63184639999997</v>
      </c>
    </row>
    <row r="14" spans="2:5">
      <c r="B14" s="3828"/>
      <c r="C14">
        <f>租赁台账!J9</f>
        <v>1763.01</v>
      </c>
      <c r="D14">
        <f>租赁台账!M11+租赁台账!M16</f>
        <v>5.1418670000000004</v>
      </c>
      <c r="E14">
        <f t="shared" si="1"/>
        <v>9065.1629396700009</v>
      </c>
    </row>
    <row r="15" spans="2:5">
      <c r="B15" s="3828"/>
      <c r="C15">
        <f>租赁台账!J20</f>
        <v>406.82</v>
      </c>
      <c r="D15">
        <f>租赁台账!M22+租赁台账!M27</f>
        <v>6.5234620000000003</v>
      </c>
      <c r="E15">
        <f t="shared" si="1"/>
        <v>2653.87481084</v>
      </c>
    </row>
    <row r="16" spans="2:5">
      <c r="B16" s="3828"/>
      <c r="C16">
        <f>租赁台账!J45</f>
        <v>2367.1</v>
      </c>
      <c r="D16">
        <f>租赁台账!M47+租赁台账!M49</f>
        <v>5.1418670000000004</v>
      </c>
      <c r="E16">
        <f t="shared" si="1"/>
        <v>12171.3133757</v>
      </c>
    </row>
    <row r="17" spans="1:5">
      <c r="B17" s="3828"/>
      <c r="C17">
        <f>租赁台账!J50</f>
        <v>381.26</v>
      </c>
      <c r="D17">
        <f>租赁台账!M52+租赁台账!M54</f>
        <v>6.5234620000000003</v>
      </c>
      <c r="E17">
        <f t="shared" si="1"/>
        <v>2487.1351221200002</v>
      </c>
    </row>
    <row r="18" spans="1:5">
      <c r="B18" s="3828"/>
      <c r="C18">
        <f>租赁台账!J55</f>
        <v>5871.35</v>
      </c>
      <c r="D18">
        <f>租赁台账!M55+租赁台账!M56</f>
        <v>5.1418670000000004</v>
      </c>
      <c r="E18">
        <f t="shared" si="1"/>
        <v>30189.700810450006</v>
      </c>
    </row>
    <row r="19" spans="1:5">
      <c r="B19" s="3828"/>
      <c r="C19">
        <f>租赁台账!J57</f>
        <v>1955.14</v>
      </c>
      <c r="D19">
        <f>租赁台账!M57+租赁台账!M58</f>
        <v>6.5234620000000003</v>
      </c>
      <c r="E19">
        <f t="shared" si="1"/>
        <v>12754.281494680001</v>
      </c>
    </row>
    <row r="20" spans="1:5">
      <c r="B20" s="3828"/>
      <c r="C20">
        <f>租赁台账!J59</f>
        <v>8218.1</v>
      </c>
      <c r="D20">
        <f>租赁台账!M59+租赁台账!M63</f>
        <v>5.131691</v>
      </c>
      <c r="E20">
        <f t="shared" si="1"/>
        <v>42172.749807100001</v>
      </c>
    </row>
    <row r="21" spans="1:5">
      <c r="B21" s="3828"/>
      <c r="C21">
        <f>租赁台账!J65</f>
        <v>2377.02</v>
      </c>
      <c r="D21">
        <f>租赁台账!M65+租赁台账!M69</f>
        <v>6.5032160000000001</v>
      </c>
      <c r="E21">
        <f t="shared" si="1"/>
        <v>15458.27449632</v>
      </c>
    </row>
    <row r="22" spans="1:5">
      <c r="B22" s="3828"/>
      <c r="C22">
        <f>租赁台账!J71</f>
        <v>2942.05</v>
      </c>
      <c r="D22">
        <f>租赁台账!M74+租赁台账!M78</f>
        <v>5.4395420000000003</v>
      </c>
      <c r="E22">
        <f t="shared" si="1"/>
        <v>16003.404541100002</v>
      </c>
    </row>
    <row r="23" spans="1:5">
      <c r="B23" s="3828"/>
      <c r="C23">
        <f>租赁台账!J80</f>
        <v>632.61</v>
      </c>
      <c r="D23">
        <f>租赁台账!M83+租赁台账!M87</f>
        <v>6.8933770000000001</v>
      </c>
      <c r="E23">
        <f t="shared" si="1"/>
        <v>4360.8192239700002</v>
      </c>
    </row>
    <row r="24" spans="1:5">
      <c r="B24" s="3450" t="s">
        <v>3753</v>
      </c>
      <c r="C24">
        <f>SUM(C10:C23)</f>
        <v>29377.85</v>
      </c>
      <c r="D24" s="3477">
        <f>ROUND(E24/C24,2)</f>
        <v>5.48</v>
      </c>
      <c r="E24">
        <f>SUM(E10:E23)</f>
        <v>161126.28801714003</v>
      </c>
    </row>
    <row r="26" spans="1:5">
      <c r="A26" s="3450" t="s">
        <v>3758</v>
      </c>
      <c r="B26" s="3450" t="s">
        <v>3756</v>
      </c>
      <c r="C26">
        <f>面积清单!G7+面积清单!G8</f>
        <v>53741.84</v>
      </c>
      <c r="D26">
        <f>ROUND(E27/C26,0)</f>
        <v>4</v>
      </c>
      <c r="E26">
        <f>D26*C26</f>
        <v>214967.36</v>
      </c>
    </row>
    <row r="27" spans="1:5">
      <c r="B27" s="3450" t="s">
        <v>3757</v>
      </c>
      <c r="C27">
        <v>38588</v>
      </c>
      <c r="D27">
        <v>5.5</v>
      </c>
      <c r="E27">
        <f>D27*C27</f>
        <v>212234</v>
      </c>
    </row>
    <row r="28" spans="1:5">
      <c r="A28" s="3450" t="s">
        <v>3759</v>
      </c>
      <c r="B28" s="3450" t="s">
        <v>3760</v>
      </c>
      <c r="C28">
        <f>面积清单!G3+面积清单!G6</f>
        <v>60366.14</v>
      </c>
      <c r="D28">
        <v>5</v>
      </c>
      <c r="E28">
        <f>D28*C28</f>
        <v>301830.7</v>
      </c>
    </row>
    <row r="29" spans="1:5">
      <c r="A29" s="3450" t="s">
        <v>3761</v>
      </c>
      <c r="C29">
        <f>C26+C28</f>
        <v>114107.98</v>
      </c>
      <c r="D29" s="3477">
        <f>ROUND(E29/C29,2)</f>
        <v>4.53</v>
      </c>
      <c r="E29">
        <f>E26+E28</f>
        <v>516798.06</v>
      </c>
    </row>
  </sheetData>
  <mergeCells count="2">
    <mergeCell ref="B3:B7"/>
    <mergeCell ref="B10:B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8"/>
  <sheetViews>
    <sheetView topLeftCell="A10" workbookViewId="0">
      <selection activeCell="J36" activeCellId="2" sqref="J31 J33 J36"/>
    </sheetView>
  </sheetViews>
  <sheetFormatPr defaultRowHeight="13.5"/>
  <cols>
    <col min="4" max="4" width="12.25" customWidth="1"/>
    <col min="6" max="6" width="14.75" customWidth="1"/>
    <col min="7" max="7" width="11.375" customWidth="1"/>
    <col min="8" max="8" width="16.375" customWidth="1"/>
  </cols>
  <sheetData>
    <row r="1" spans="1:92" ht="14.1" customHeight="1">
      <c r="A1" s="3473" t="s">
        <v>3486</v>
      </c>
      <c r="B1" s="3473" t="s">
        <v>3487</v>
      </c>
      <c r="C1" s="3473" t="s">
        <v>3488</v>
      </c>
      <c r="D1" s="3473" t="s">
        <v>3489</v>
      </c>
      <c r="E1" s="3473" t="s">
        <v>3490</v>
      </c>
      <c r="F1" s="3473" t="s">
        <v>3491</v>
      </c>
      <c r="G1" s="3473" t="s">
        <v>3492</v>
      </c>
      <c r="H1" s="3473" t="s">
        <v>3493</v>
      </c>
      <c r="I1" s="3473" t="s">
        <v>3494</v>
      </c>
      <c r="J1" s="3473" t="s">
        <v>3495</v>
      </c>
      <c r="K1" s="3473" t="s">
        <v>3496</v>
      </c>
      <c r="L1" s="3473" t="s">
        <v>3497</v>
      </c>
      <c r="M1" s="3473" t="s">
        <v>3498</v>
      </c>
      <c r="N1" s="3473" t="s">
        <v>3499</v>
      </c>
      <c r="O1" s="3473" t="s">
        <v>3500</v>
      </c>
      <c r="P1" s="3473" t="s">
        <v>3501</v>
      </c>
      <c r="Q1" s="3473" t="s">
        <v>3502</v>
      </c>
      <c r="R1" s="3473" t="s">
        <v>3503</v>
      </c>
      <c r="S1" s="3473" t="s">
        <v>3504</v>
      </c>
      <c r="T1" s="3473" t="s">
        <v>3505</v>
      </c>
      <c r="U1" s="3473" t="s">
        <v>3506</v>
      </c>
      <c r="V1" s="3473" t="s">
        <v>3507</v>
      </c>
      <c r="W1" s="3473" t="s">
        <v>3508</v>
      </c>
      <c r="X1" s="3473" t="s">
        <v>3509</v>
      </c>
      <c r="Y1" s="3473" t="s">
        <v>3510</v>
      </c>
      <c r="Z1" s="3473" t="s">
        <v>3511</v>
      </c>
      <c r="AA1" s="3473" t="s">
        <v>3512</v>
      </c>
      <c r="AB1" s="3473" t="s">
        <v>3513</v>
      </c>
      <c r="AC1" s="3473" t="s">
        <v>3514</v>
      </c>
      <c r="AD1" s="3473" t="s">
        <v>3515</v>
      </c>
      <c r="AE1" s="3473" t="s">
        <v>3516</v>
      </c>
      <c r="AF1" s="3473" t="s">
        <v>3517</v>
      </c>
      <c r="AG1" s="3474" t="s">
        <v>3518</v>
      </c>
      <c r="AH1" s="3474" t="s">
        <v>3519</v>
      </c>
      <c r="AI1" s="3474" t="s">
        <v>3520</v>
      </c>
      <c r="AJ1" s="3474" t="s">
        <v>3521</v>
      </c>
      <c r="AK1" s="3474" t="s">
        <v>3522</v>
      </c>
      <c r="AL1" s="3474" t="s">
        <v>3523</v>
      </c>
      <c r="AM1" s="3474" t="s">
        <v>3524</v>
      </c>
      <c r="AN1" s="3474" t="s">
        <v>3525</v>
      </c>
      <c r="AO1" s="3474" t="s">
        <v>3526</v>
      </c>
      <c r="AP1" s="3474" t="s">
        <v>3527</v>
      </c>
      <c r="AQ1" s="3474" t="s">
        <v>3528</v>
      </c>
      <c r="AR1" s="3474" t="s">
        <v>3529</v>
      </c>
      <c r="AS1" s="3474" t="s">
        <v>3530</v>
      </c>
      <c r="AT1" s="3474" t="s">
        <v>3531</v>
      </c>
      <c r="AU1" s="3474" t="s">
        <v>3532</v>
      </c>
      <c r="AV1" s="3474" t="s">
        <v>3533</v>
      </c>
      <c r="AW1" s="3474" t="s">
        <v>3534</v>
      </c>
      <c r="AX1" s="3474" t="s">
        <v>3535</v>
      </c>
      <c r="AY1" s="3474" t="s">
        <v>3536</v>
      </c>
      <c r="AZ1" s="3474" t="s">
        <v>3537</v>
      </c>
      <c r="BA1" s="3474" t="s">
        <v>3538</v>
      </c>
      <c r="BB1" s="3474" t="s">
        <v>3539</v>
      </c>
      <c r="BC1" s="3474" t="s">
        <v>3540</v>
      </c>
      <c r="BD1" s="3474" t="s">
        <v>3541</v>
      </c>
      <c r="BE1" s="3474" t="s">
        <v>3542</v>
      </c>
      <c r="BF1" s="3474" t="s">
        <v>3543</v>
      </c>
      <c r="BG1" s="3474" t="s">
        <v>3544</v>
      </c>
      <c r="BH1" s="3474" t="s">
        <v>3545</v>
      </c>
      <c r="BI1" s="3474" t="s">
        <v>3546</v>
      </c>
      <c r="BJ1" s="3474" t="s">
        <v>3547</v>
      </c>
      <c r="BK1" s="3474" t="s">
        <v>3548</v>
      </c>
      <c r="BL1" s="3474" t="s">
        <v>3549</v>
      </c>
      <c r="BM1" s="3474" t="s">
        <v>3550</v>
      </c>
      <c r="BN1" s="3474" t="s">
        <v>3551</v>
      </c>
      <c r="BO1" s="3474" t="s">
        <v>3552</v>
      </c>
      <c r="BP1" s="3474" t="s">
        <v>3553</v>
      </c>
      <c r="BQ1" s="3474" t="s">
        <v>3554</v>
      </c>
      <c r="BR1" s="3474" t="s">
        <v>3555</v>
      </c>
      <c r="BS1" s="3474" t="s">
        <v>3556</v>
      </c>
      <c r="BT1" s="3474" t="s">
        <v>3557</v>
      </c>
      <c r="BU1" s="3474" t="s">
        <v>3558</v>
      </c>
      <c r="BV1" s="3474" t="s">
        <v>3559</v>
      </c>
      <c r="BW1" s="3474" t="s">
        <v>3560</v>
      </c>
      <c r="BX1" s="3474" t="s">
        <v>3561</v>
      </c>
      <c r="BY1" s="3474" t="s">
        <v>3562</v>
      </c>
      <c r="BZ1" s="3474" t="s">
        <v>3563</v>
      </c>
      <c r="CA1" s="3474" t="s">
        <v>3564</v>
      </c>
      <c r="CB1" s="3474" t="s">
        <v>3565</v>
      </c>
      <c r="CC1" s="3474" t="s">
        <v>3566</v>
      </c>
      <c r="CD1" s="3474" t="s">
        <v>3567</v>
      </c>
      <c r="CE1" s="3474" t="s">
        <v>3568</v>
      </c>
      <c r="CF1" s="3474" t="s">
        <v>3569</v>
      </c>
      <c r="CG1" s="3474" t="s">
        <v>3570</v>
      </c>
      <c r="CH1" s="3474" t="s">
        <v>3571</v>
      </c>
      <c r="CI1" s="3474" t="s">
        <v>3572</v>
      </c>
      <c r="CJ1" s="3474" t="s">
        <v>3573</v>
      </c>
      <c r="CK1" s="3474" t="s">
        <v>3574</v>
      </c>
      <c r="CL1" s="3474" t="s">
        <v>3575</v>
      </c>
      <c r="CM1" s="3474" t="s">
        <v>3576</v>
      </c>
      <c r="CN1" s="3474" t="s">
        <v>3577</v>
      </c>
    </row>
    <row r="2" spans="1:92" ht="14.1" customHeight="1">
      <c r="A2" s="3475" t="s">
        <v>3578</v>
      </c>
      <c r="B2" s="3475" t="s">
        <v>3579</v>
      </c>
      <c r="C2" s="3475" t="s">
        <v>3580</v>
      </c>
      <c r="D2" s="3475" t="s">
        <v>3581</v>
      </c>
      <c r="E2" s="3475" t="s">
        <v>3582</v>
      </c>
      <c r="F2" s="3475" t="s">
        <v>3583</v>
      </c>
      <c r="G2" s="3475" t="s">
        <v>3584</v>
      </c>
      <c r="H2" s="3475" t="s">
        <v>3585</v>
      </c>
      <c r="I2" s="3475" t="s">
        <v>3586</v>
      </c>
      <c r="J2" s="3475">
        <v>1707.43</v>
      </c>
      <c r="K2" s="3475" t="s">
        <v>3587</v>
      </c>
      <c r="L2" s="3475" t="s">
        <v>3588</v>
      </c>
      <c r="M2" s="3475">
        <v>4.9619850000000003</v>
      </c>
      <c r="N2" s="3475" t="s">
        <v>3589</v>
      </c>
      <c r="O2" s="3475" t="s">
        <v>3590</v>
      </c>
      <c r="P2" s="3475">
        <v>737469.72</v>
      </c>
      <c r="Q2" s="3475" t="s">
        <v>3591</v>
      </c>
      <c r="R2" s="3475" t="s">
        <v>3592</v>
      </c>
      <c r="S2" s="3475" t="s">
        <v>3593</v>
      </c>
      <c r="T2" s="3475" t="s">
        <v>3592</v>
      </c>
      <c r="U2" s="3475">
        <v>262639.5</v>
      </c>
      <c r="V2" s="3475">
        <v>237222.78</v>
      </c>
      <c r="W2" s="3475">
        <v>262639.5</v>
      </c>
      <c r="X2" s="3475">
        <v>254167.26</v>
      </c>
      <c r="Y2" s="3475">
        <v>262639.5</v>
      </c>
      <c r="Z2" s="3475">
        <v>254167.26</v>
      </c>
      <c r="AA2" s="3475">
        <v>262639.5</v>
      </c>
      <c r="AB2" s="3475">
        <v>262639.5</v>
      </c>
      <c r="AC2" s="3475">
        <v>254167.26</v>
      </c>
      <c r="AD2" s="3475">
        <v>262639.5</v>
      </c>
      <c r="AE2" s="3475">
        <v>254167.26</v>
      </c>
      <c r="AF2" s="3475">
        <v>228750.54</v>
      </c>
      <c r="AG2" s="3476" t="s">
        <v>3594</v>
      </c>
      <c r="AH2" s="3476" t="s">
        <v>3594</v>
      </c>
      <c r="AI2" s="3476" t="s">
        <v>3594</v>
      </c>
      <c r="AJ2" s="3476" t="s">
        <v>3594</v>
      </c>
      <c r="AK2" s="3476" t="s">
        <v>3594</v>
      </c>
      <c r="AL2" s="3476" t="s">
        <v>3594</v>
      </c>
      <c r="AM2" s="3476" t="s">
        <v>3594</v>
      </c>
      <c r="AN2" s="3476" t="s">
        <v>3594</v>
      </c>
      <c r="AO2" s="3476" t="s">
        <v>3594</v>
      </c>
      <c r="AP2" s="3476" t="s">
        <v>3594</v>
      </c>
      <c r="AQ2" s="3476" t="s">
        <v>3594</v>
      </c>
      <c r="AR2" s="3476" t="s">
        <v>3594</v>
      </c>
      <c r="AS2" s="3476" t="s">
        <v>3594</v>
      </c>
      <c r="AT2" s="3476" t="s">
        <v>3594</v>
      </c>
      <c r="AU2" s="3476" t="s">
        <v>3594</v>
      </c>
      <c r="AV2" s="3476" t="s">
        <v>3594</v>
      </c>
      <c r="AW2" s="3476" t="s">
        <v>3594</v>
      </c>
      <c r="AX2" s="3476" t="s">
        <v>3594</v>
      </c>
      <c r="AY2" s="3476" t="s">
        <v>3594</v>
      </c>
      <c r="AZ2" s="3476" t="s">
        <v>3594</v>
      </c>
      <c r="BA2" s="3476" t="s">
        <v>3594</v>
      </c>
      <c r="BB2" s="3476" t="s">
        <v>3594</v>
      </c>
      <c r="BC2" s="3476" t="s">
        <v>3594</v>
      </c>
      <c r="BD2" s="3476" t="s">
        <v>3594</v>
      </c>
      <c r="BE2" s="3476" t="s">
        <v>3594</v>
      </c>
      <c r="BF2" s="3476" t="s">
        <v>3594</v>
      </c>
      <c r="BG2" s="3476" t="s">
        <v>3594</v>
      </c>
      <c r="BH2" s="3476" t="s">
        <v>3594</v>
      </c>
      <c r="BI2" s="3476" t="s">
        <v>3594</v>
      </c>
      <c r="BJ2" s="3476" t="s">
        <v>3594</v>
      </c>
      <c r="BK2" s="3476" t="s">
        <v>3594</v>
      </c>
      <c r="BL2" s="3476" t="s">
        <v>3594</v>
      </c>
      <c r="BM2" s="3476" t="s">
        <v>3594</v>
      </c>
      <c r="BN2" s="3476" t="s">
        <v>3594</v>
      </c>
      <c r="BO2" s="3476" t="s">
        <v>3594</v>
      </c>
      <c r="BP2" s="3476" t="s">
        <v>3594</v>
      </c>
      <c r="BQ2" s="3476" t="s">
        <v>3594</v>
      </c>
      <c r="BR2" s="3476" t="s">
        <v>3594</v>
      </c>
      <c r="BS2" s="3476" t="s">
        <v>3594</v>
      </c>
      <c r="BT2" s="3476" t="s">
        <v>3594</v>
      </c>
      <c r="BU2" s="3476" t="s">
        <v>3594</v>
      </c>
      <c r="BV2" s="3476" t="s">
        <v>3594</v>
      </c>
      <c r="BW2" s="3476" t="s">
        <v>3594</v>
      </c>
      <c r="BX2" s="3476" t="s">
        <v>3594</v>
      </c>
      <c r="BY2" s="3476" t="s">
        <v>3594</v>
      </c>
      <c r="BZ2" s="3476" t="s">
        <v>3594</v>
      </c>
      <c r="CA2" s="3476" t="s">
        <v>3594</v>
      </c>
      <c r="CB2" s="3476" t="s">
        <v>3594</v>
      </c>
      <c r="CC2" s="3476" t="s">
        <v>3594</v>
      </c>
      <c r="CD2" s="3476" t="s">
        <v>3594</v>
      </c>
      <c r="CE2" s="3476" t="s">
        <v>3594</v>
      </c>
      <c r="CF2" s="3476" t="s">
        <v>3594</v>
      </c>
      <c r="CG2" s="3476" t="s">
        <v>3594</v>
      </c>
      <c r="CH2" s="3476" t="s">
        <v>3594</v>
      </c>
      <c r="CI2" s="3476" t="s">
        <v>3594</v>
      </c>
      <c r="CJ2" s="3476" t="s">
        <v>3594</v>
      </c>
      <c r="CK2" s="3476" t="s">
        <v>3594</v>
      </c>
      <c r="CL2" s="3476" t="s">
        <v>3594</v>
      </c>
      <c r="CM2" s="3476" t="s">
        <v>3594</v>
      </c>
      <c r="CN2" s="3476" t="s">
        <v>3594</v>
      </c>
    </row>
    <row r="3" spans="1:92" ht="14.1" customHeight="1">
      <c r="A3" s="3475" t="s">
        <v>3578</v>
      </c>
      <c r="B3" s="3475" t="s">
        <v>3579</v>
      </c>
      <c r="C3" s="3475" t="s">
        <v>3595</v>
      </c>
      <c r="D3" s="3475" t="s">
        <v>3581</v>
      </c>
      <c r="E3" s="3475" t="s">
        <v>3582</v>
      </c>
      <c r="F3" s="3475" t="s">
        <v>3583</v>
      </c>
      <c r="G3" s="3475" t="s">
        <v>3584</v>
      </c>
      <c r="H3" s="3475" t="s">
        <v>3585</v>
      </c>
      <c r="I3" s="3475" t="s">
        <v>3586</v>
      </c>
      <c r="J3" s="3475">
        <v>1707.43</v>
      </c>
      <c r="K3" s="3475" t="s">
        <v>3596</v>
      </c>
      <c r="L3" s="3475" t="s">
        <v>3597</v>
      </c>
      <c r="M3" s="3475">
        <v>0.17988199999999999</v>
      </c>
      <c r="N3" s="3475" t="s">
        <v>3598</v>
      </c>
      <c r="O3" s="3475" t="s">
        <v>3590</v>
      </c>
      <c r="P3" s="3475" t="s">
        <v>3594</v>
      </c>
      <c r="Q3" s="3475" t="s">
        <v>3591</v>
      </c>
      <c r="R3" s="3475" t="s">
        <v>3592</v>
      </c>
      <c r="S3" s="3475" t="s">
        <v>3593</v>
      </c>
      <c r="T3" s="3475" t="s">
        <v>3592</v>
      </c>
      <c r="U3" s="3475">
        <v>9521.2099999999991</v>
      </c>
      <c r="V3" s="3475">
        <v>8599.81</v>
      </c>
      <c r="W3" s="3475">
        <v>9521.2099999999991</v>
      </c>
      <c r="X3" s="3475">
        <v>9214.08</v>
      </c>
      <c r="Y3" s="3475">
        <v>9521.2099999999991</v>
      </c>
      <c r="Z3" s="3475">
        <v>9214.08</v>
      </c>
      <c r="AA3" s="3475">
        <v>9521.2099999999991</v>
      </c>
      <c r="AB3" s="3475">
        <v>9521.2099999999991</v>
      </c>
      <c r="AC3" s="3475">
        <v>9214.08</v>
      </c>
      <c r="AD3" s="3475">
        <v>9521.2099999999991</v>
      </c>
      <c r="AE3" s="3475">
        <v>9214.08</v>
      </c>
      <c r="AF3" s="3475">
        <v>8292.67</v>
      </c>
      <c r="AG3" s="3476" t="s">
        <v>3594</v>
      </c>
      <c r="AH3" s="3476" t="s">
        <v>3594</v>
      </c>
      <c r="AI3" s="3476" t="s">
        <v>3594</v>
      </c>
      <c r="AJ3" s="3476" t="s">
        <v>3594</v>
      </c>
      <c r="AK3" s="3476" t="s">
        <v>3594</v>
      </c>
      <c r="AL3" s="3476" t="s">
        <v>3594</v>
      </c>
      <c r="AM3" s="3476" t="s">
        <v>3594</v>
      </c>
      <c r="AN3" s="3476" t="s">
        <v>3594</v>
      </c>
      <c r="AO3" s="3476" t="s">
        <v>3594</v>
      </c>
      <c r="AP3" s="3476" t="s">
        <v>3594</v>
      </c>
      <c r="AQ3" s="3476" t="s">
        <v>3594</v>
      </c>
      <c r="AR3" s="3476" t="s">
        <v>3594</v>
      </c>
      <c r="AS3" s="3476" t="s">
        <v>3594</v>
      </c>
      <c r="AT3" s="3476" t="s">
        <v>3594</v>
      </c>
      <c r="AU3" s="3476" t="s">
        <v>3594</v>
      </c>
      <c r="AV3" s="3476" t="s">
        <v>3594</v>
      </c>
      <c r="AW3" s="3476" t="s">
        <v>3594</v>
      </c>
      <c r="AX3" s="3476" t="s">
        <v>3594</v>
      </c>
      <c r="AY3" s="3476" t="s">
        <v>3594</v>
      </c>
      <c r="AZ3" s="3476" t="s">
        <v>3594</v>
      </c>
      <c r="BA3" s="3476" t="s">
        <v>3594</v>
      </c>
      <c r="BB3" s="3476" t="s">
        <v>3594</v>
      </c>
      <c r="BC3" s="3476" t="s">
        <v>3594</v>
      </c>
      <c r="BD3" s="3476" t="s">
        <v>3594</v>
      </c>
      <c r="BE3" s="3476" t="s">
        <v>3594</v>
      </c>
      <c r="BF3" s="3476" t="s">
        <v>3594</v>
      </c>
      <c r="BG3" s="3476" t="s">
        <v>3594</v>
      </c>
      <c r="BH3" s="3476" t="s">
        <v>3594</v>
      </c>
      <c r="BI3" s="3476" t="s">
        <v>3594</v>
      </c>
      <c r="BJ3" s="3476" t="s">
        <v>3594</v>
      </c>
      <c r="BK3" s="3476" t="s">
        <v>3594</v>
      </c>
      <c r="BL3" s="3476" t="s">
        <v>3594</v>
      </c>
      <c r="BM3" s="3476" t="s">
        <v>3594</v>
      </c>
      <c r="BN3" s="3476" t="s">
        <v>3594</v>
      </c>
      <c r="BO3" s="3476" t="s">
        <v>3594</v>
      </c>
      <c r="BP3" s="3476" t="s">
        <v>3594</v>
      </c>
      <c r="BQ3" s="3476" t="s">
        <v>3594</v>
      </c>
      <c r="BR3" s="3476" t="s">
        <v>3594</v>
      </c>
      <c r="BS3" s="3476" t="s">
        <v>3594</v>
      </c>
      <c r="BT3" s="3476" t="s">
        <v>3594</v>
      </c>
      <c r="BU3" s="3476" t="s">
        <v>3594</v>
      </c>
      <c r="BV3" s="3476" t="s">
        <v>3594</v>
      </c>
      <c r="BW3" s="3476" t="s">
        <v>3594</v>
      </c>
      <c r="BX3" s="3476" t="s">
        <v>3594</v>
      </c>
      <c r="BY3" s="3476" t="s">
        <v>3594</v>
      </c>
      <c r="BZ3" s="3476" t="s">
        <v>3594</v>
      </c>
      <c r="CA3" s="3476" t="s">
        <v>3594</v>
      </c>
      <c r="CB3" s="3476" t="s">
        <v>3594</v>
      </c>
      <c r="CC3" s="3476" t="s">
        <v>3594</v>
      </c>
      <c r="CD3" s="3476" t="s">
        <v>3594</v>
      </c>
      <c r="CE3" s="3476" t="s">
        <v>3594</v>
      </c>
      <c r="CF3" s="3476" t="s">
        <v>3594</v>
      </c>
      <c r="CG3" s="3476" t="s">
        <v>3594</v>
      </c>
      <c r="CH3" s="3476" t="s">
        <v>3594</v>
      </c>
      <c r="CI3" s="3476" t="s">
        <v>3594</v>
      </c>
      <c r="CJ3" s="3476" t="s">
        <v>3594</v>
      </c>
      <c r="CK3" s="3476" t="s">
        <v>3594</v>
      </c>
      <c r="CL3" s="3476" t="s">
        <v>3594</v>
      </c>
      <c r="CM3" s="3476" t="s">
        <v>3594</v>
      </c>
      <c r="CN3" s="3476" t="s">
        <v>3594</v>
      </c>
    </row>
    <row r="4" spans="1:92" ht="14.1" customHeight="1">
      <c r="A4" s="3475" t="s">
        <v>3578</v>
      </c>
      <c r="B4" s="3475" t="s">
        <v>3579</v>
      </c>
      <c r="C4" s="3475" t="s">
        <v>3599</v>
      </c>
      <c r="D4" s="3475" t="s">
        <v>3581</v>
      </c>
      <c r="E4" s="3475" t="s">
        <v>3582</v>
      </c>
      <c r="F4" s="3475" t="s">
        <v>3583</v>
      </c>
      <c r="G4" s="3475" t="s">
        <v>3584</v>
      </c>
      <c r="H4" s="3475" t="s">
        <v>3600</v>
      </c>
      <c r="I4" s="3475" t="s">
        <v>3586</v>
      </c>
      <c r="J4" s="3475">
        <v>624.29</v>
      </c>
      <c r="K4" s="3475" t="s">
        <v>3601</v>
      </c>
      <c r="L4" s="3475" t="s">
        <v>3602</v>
      </c>
      <c r="M4" s="3475">
        <v>6.1649700000000003</v>
      </c>
      <c r="N4" s="3475" t="s">
        <v>3589</v>
      </c>
      <c r="O4" s="3475" t="s">
        <v>3590</v>
      </c>
      <c r="P4" s="3475" t="s">
        <v>3594</v>
      </c>
      <c r="Q4" s="3475" t="s">
        <v>3591</v>
      </c>
      <c r="R4" s="3475" t="s">
        <v>3592</v>
      </c>
      <c r="S4" s="3475" t="s">
        <v>3593</v>
      </c>
      <c r="T4" s="3475" t="s">
        <v>3592</v>
      </c>
      <c r="U4" s="3475">
        <v>119310.6</v>
      </c>
      <c r="V4" s="3475">
        <v>107764.42</v>
      </c>
      <c r="W4" s="3475">
        <v>119310.6</v>
      </c>
      <c r="X4" s="3475">
        <v>115461.87</v>
      </c>
      <c r="Y4" s="3475">
        <v>119310.6</v>
      </c>
      <c r="Z4" s="3475">
        <v>115461.87</v>
      </c>
      <c r="AA4" s="3475">
        <v>119310.6</v>
      </c>
      <c r="AB4" s="3475">
        <v>119310.6</v>
      </c>
      <c r="AC4" s="3475">
        <v>115461.87</v>
      </c>
      <c r="AD4" s="3475">
        <v>119310.6</v>
      </c>
      <c r="AE4" s="3475">
        <v>115461.87</v>
      </c>
      <c r="AF4" s="3475">
        <v>103915.69</v>
      </c>
      <c r="AG4" s="3476" t="s">
        <v>3594</v>
      </c>
      <c r="AH4" s="3476" t="s">
        <v>3594</v>
      </c>
      <c r="AI4" s="3476" t="s">
        <v>3594</v>
      </c>
      <c r="AJ4" s="3476" t="s">
        <v>3594</v>
      </c>
      <c r="AK4" s="3476" t="s">
        <v>3594</v>
      </c>
      <c r="AL4" s="3476" t="s">
        <v>3594</v>
      </c>
      <c r="AM4" s="3476" t="s">
        <v>3594</v>
      </c>
      <c r="AN4" s="3476" t="s">
        <v>3594</v>
      </c>
      <c r="AO4" s="3476" t="s">
        <v>3594</v>
      </c>
      <c r="AP4" s="3476" t="s">
        <v>3594</v>
      </c>
      <c r="AQ4" s="3476" t="s">
        <v>3594</v>
      </c>
      <c r="AR4" s="3476" t="s">
        <v>3594</v>
      </c>
      <c r="AS4" s="3476" t="s">
        <v>3594</v>
      </c>
      <c r="AT4" s="3476" t="s">
        <v>3594</v>
      </c>
      <c r="AU4" s="3476" t="s">
        <v>3594</v>
      </c>
      <c r="AV4" s="3476" t="s">
        <v>3594</v>
      </c>
      <c r="AW4" s="3476" t="s">
        <v>3594</v>
      </c>
      <c r="AX4" s="3476" t="s">
        <v>3594</v>
      </c>
      <c r="AY4" s="3476" t="s">
        <v>3594</v>
      </c>
      <c r="AZ4" s="3476" t="s">
        <v>3594</v>
      </c>
      <c r="BA4" s="3476" t="s">
        <v>3594</v>
      </c>
      <c r="BB4" s="3476" t="s">
        <v>3594</v>
      </c>
      <c r="BC4" s="3476" t="s">
        <v>3594</v>
      </c>
      <c r="BD4" s="3476" t="s">
        <v>3594</v>
      </c>
      <c r="BE4" s="3476" t="s">
        <v>3594</v>
      </c>
      <c r="BF4" s="3476" t="s">
        <v>3594</v>
      </c>
      <c r="BG4" s="3476" t="s">
        <v>3594</v>
      </c>
      <c r="BH4" s="3476" t="s">
        <v>3594</v>
      </c>
      <c r="BI4" s="3476" t="s">
        <v>3594</v>
      </c>
      <c r="BJ4" s="3476" t="s">
        <v>3594</v>
      </c>
      <c r="BK4" s="3476" t="s">
        <v>3594</v>
      </c>
      <c r="BL4" s="3476" t="s">
        <v>3594</v>
      </c>
      <c r="BM4" s="3476" t="s">
        <v>3594</v>
      </c>
      <c r="BN4" s="3476" t="s">
        <v>3594</v>
      </c>
      <c r="BO4" s="3476" t="s">
        <v>3594</v>
      </c>
      <c r="BP4" s="3476" t="s">
        <v>3594</v>
      </c>
      <c r="BQ4" s="3476" t="s">
        <v>3594</v>
      </c>
      <c r="BR4" s="3476" t="s">
        <v>3594</v>
      </c>
      <c r="BS4" s="3476" t="s">
        <v>3594</v>
      </c>
      <c r="BT4" s="3476" t="s">
        <v>3594</v>
      </c>
      <c r="BU4" s="3476" t="s">
        <v>3594</v>
      </c>
      <c r="BV4" s="3476" t="s">
        <v>3594</v>
      </c>
      <c r="BW4" s="3476" t="s">
        <v>3594</v>
      </c>
      <c r="BX4" s="3476" t="s">
        <v>3594</v>
      </c>
      <c r="BY4" s="3476" t="s">
        <v>3594</v>
      </c>
      <c r="BZ4" s="3476" t="s">
        <v>3594</v>
      </c>
      <c r="CA4" s="3476" t="s">
        <v>3594</v>
      </c>
      <c r="CB4" s="3476" t="s">
        <v>3594</v>
      </c>
      <c r="CC4" s="3476" t="s">
        <v>3594</v>
      </c>
      <c r="CD4" s="3476" t="s">
        <v>3594</v>
      </c>
      <c r="CE4" s="3476" t="s">
        <v>3594</v>
      </c>
      <c r="CF4" s="3476" t="s">
        <v>3594</v>
      </c>
      <c r="CG4" s="3476" t="s">
        <v>3594</v>
      </c>
      <c r="CH4" s="3476" t="s">
        <v>3594</v>
      </c>
      <c r="CI4" s="3476" t="s">
        <v>3594</v>
      </c>
      <c r="CJ4" s="3476" t="s">
        <v>3594</v>
      </c>
      <c r="CK4" s="3476" t="s">
        <v>3594</v>
      </c>
      <c r="CL4" s="3476" t="s">
        <v>3594</v>
      </c>
      <c r="CM4" s="3476" t="s">
        <v>3594</v>
      </c>
      <c r="CN4" s="3476" t="s">
        <v>3594</v>
      </c>
    </row>
    <row r="5" spans="1:92" ht="14.1" customHeight="1">
      <c r="A5" s="3475" t="s">
        <v>3578</v>
      </c>
      <c r="B5" s="3475" t="s">
        <v>3579</v>
      </c>
      <c r="C5" s="3475" t="s">
        <v>3603</v>
      </c>
      <c r="D5" s="3475" t="s">
        <v>3581</v>
      </c>
      <c r="E5" s="3475" t="s">
        <v>3582</v>
      </c>
      <c r="F5" s="3475" t="s">
        <v>3583</v>
      </c>
      <c r="G5" s="3475" t="s">
        <v>3584</v>
      </c>
      <c r="H5" s="3475" t="s">
        <v>3600</v>
      </c>
      <c r="I5" s="3475" t="s">
        <v>3586</v>
      </c>
      <c r="J5" s="3475">
        <v>624.29</v>
      </c>
      <c r="K5" s="3475" t="s">
        <v>3604</v>
      </c>
      <c r="L5" s="3475" t="s">
        <v>3605</v>
      </c>
      <c r="M5" s="3475">
        <v>0.35849199999999998</v>
      </c>
      <c r="N5" s="3475" t="s">
        <v>3598</v>
      </c>
      <c r="O5" s="3475" t="s">
        <v>3590</v>
      </c>
      <c r="P5" s="3475" t="s">
        <v>3594</v>
      </c>
      <c r="Q5" s="3475" t="s">
        <v>3591</v>
      </c>
      <c r="R5" s="3475" t="s">
        <v>3592</v>
      </c>
      <c r="S5" s="3475" t="s">
        <v>3593</v>
      </c>
      <c r="T5" s="3475" t="s">
        <v>3592</v>
      </c>
      <c r="U5" s="3475">
        <v>6937.89</v>
      </c>
      <c r="V5" s="3475">
        <v>6266.48</v>
      </c>
      <c r="W5" s="3475">
        <v>6937.89</v>
      </c>
      <c r="X5" s="3475">
        <v>6714.09</v>
      </c>
      <c r="Y5" s="3475">
        <v>6937.89</v>
      </c>
      <c r="Z5" s="3475">
        <v>6714.09</v>
      </c>
      <c r="AA5" s="3475">
        <v>6937.89</v>
      </c>
      <c r="AB5" s="3475">
        <v>6937.89</v>
      </c>
      <c r="AC5" s="3475">
        <v>6714.09</v>
      </c>
      <c r="AD5" s="3475">
        <v>6937.89</v>
      </c>
      <c r="AE5" s="3475">
        <v>6714.09</v>
      </c>
      <c r="AF5" s="3475">
        <v>6042.68</v>
      </c>
      <c r="AG5" s="3476" t="s">
        <v>3594</v>
      </c>
      <c r="AH5" s="3476" t="s">
        <v>3594</v>
      </c>
      <c r="AI5" s="3476" t="s">
        <v>3594</v>
      </c>
      <c r="AJ5" s="3476" t="s">
        <v>3594</v>
      </c>
      <c r="AK5" s="3476" t="s">
        <v>3594</v>
      </c>
      <c r="AL5" s="3476" t="s">
        <v>3594</v>
      </c>
      <c r="AM5" s="3476" t="s">
        <v>3594</v>
      </c>
      <c r="AN5" s="3476" t="s">
        <v>3594</v>
      </c>
      <c r="AO5" s="3476" t="s">
        <v>3594</v>
      </c>
      <c r="AP5" s="3476" t="s">
        <v>3594</v>
      </c>
      <c r="AQ5" s="3476" t="s">
        <v>3594</v>
      </c>
      <c r="AR5" s="3476" t="s">
        <v>3594</v>
      </c>
      <c r="AS5" s="3476" t="s">
        <v>3594</v>
      </c>
      <c r="AT5" s="3476" t="s">
        <v>3594</v>
      </c>
      <c r="AU5" s="3476" t="s">
        <v>3594</v>
      </c>
      <c r="AV5" s="3476" t="s">
        <v>3594</v>
      </c>
      <c r="AW5" s="3476" t="s">
        <v>3594</v>
      </c>
      <c r="AX5" s="3476" t="s">
        <v>3594</v>
      </c>
      <c r="AY5" s="3476" t="s">
        <v>3594</v>
      </c>
      <c r="AZ5" s="3476" t="s">
        <v>3594</v>
      </c>
      <c r="BA5" s="3476" t="s">
        <v>3594</v>
      </c>
      <c r="BB5" s="3476" t="s">
        <v>3594</v>
      </c>
      <c r="BC5" s="3476" t="s">
        <v>3594</v>
      </c>
      <c r="BD5" s="3476" t="s">
        <v>3594</v>
      </c>
      <c r="BE5" s="3476" t="s">
        <v>3594</v>
      </c>
      <c r="BF5" s="3476" t="s">
        <v>3594</v>
      </c>
      <c r="BG5" s="3476" t="s">
        <v>3594</v>
      </c>
      <c r="BH5" s="3476" t="s">
        <v>3594</v>
      </c>
      <c r="BI5" s="3476" t="s">
        <v>3594</v>
      </c>
      <c r="BJ5" s="3476" t="s">
        <v>3594</v>
      </c>
      <c r="BK5" s="3476" t="s">
        <v>3594</v>
      </c>
      <c r="BL5" s="3476" t="s">
        <v>3594</v>
      </c>
      <c r="BM5" s="3476" t="s">
        <v>3594</v>
      </c>
      <c r="BN5" s="3476" t="s">
        <v>3594</v>
      </c>
      <c r="BO5" s="3476" t="s">
        <v>3594</v>
      </c>
      <c r="BP5" s="3476" t="s">
        <v>3594</v>
      </c>
      <c r="BQ5" s="3476" t="s">
        <v>3594</v>
      </c>
      <c r="BR5" s="3476" t="s">
        <v>3594</v>
      </c>
      <c r="BS5" s="3476" t="s">
        <v>3594</v>
      </c>
      <c r="BT5" s="3476" t="s">
        <v>3594</v>
      </c>
      <c r="BU5" s="3476" t="s">
        <v>3594</v>
      </c>
      <c r="BV5" s="3476" t="s">
        <v>3594</v>
      </c>
      <c r="BW5" s="3476" t="s">
        <v>3594</v>
      </c>
      <c r="BX5" s="3476" t="s">
        <v>3594</v>
      </c>
      <c r="BY5" s="3476" t="s">
        <v>3594</v>
      </c>
      <c r="BZ5" s="3476" t="s">
        <v>3594</v>
      </c>
      <c r="CA5" s="3476" t="s">
        <v>3594</v>
      </c>
      <c r="CB5" s="3476" t="s">
        <v>3594</v>
      </c>
      <c r="CC5" s="3476" t="s">
        <v>3594</v>
      </c>
      <c r="CD5" s="3476" t="s">
        <v>3594</v>
      </c>
      <c r="CE5" s="3476" t="s">
        <v>3594</v>
      </c>
      <c r="CF5" s="3476" t="s">
        <v>3594</v>
      </c>
      <c r="CG5" s="3476" t="s">
        <v>3594</v>
      </c>
      <c r="CH5" s="3476" t="s">
        <v>3594</v>
      </c>
      <c r="CI5" s="3476" t="s">
        <v>3594</v>
      </c>
      <c r="CJ5" s="3476" t="s">
        <v>3594</v>
      </c>
      <c r="CK5" s="3476" t="s">
        <v>3594</v>
      </c>
      <c r="CL5" s="3476" t="s">
        <v>3594</v>
      </c>
      <c r="CM5" s="3476" t="s">
        <v>3594</v>
      </c>
      <c r="CN5" s="3476" t="s">
        <v>3594</v>
      </c>
    </row>
    <row r="6" spans="1:92" ht="14.1" customHeight="1">
      <c r="A6" s="3475" t="s">
        <v>3606</v>
      </c>
      <c r="B6" s="3475" t="s">
        <v>3607</v>
      </c>
      <c r="C6" s="3475" t="s">
        <v>3580</v>
      </c>
      <c r="D6" s="3475" t="s">
        <v>3608</v>
      </c>
      <c r="E6" s="3475" t="s">
        <v>3609</v>
      </c>
      <c r="F6" s="3475" t="s">
        <v>3583</v>
      </c>
      <c r="G6" s="3475" t="s">
        <v>3610</v>
      </c>
      <c r="H6" s="3475" t="s">
        <v>3611</v>
      </c>
      <c r="I6" s="3475" t="s">
        <v>3612</v>
      </c>
      <c r="J6" s="3475">
        <v>45</v>
      </c>
      <c r="K6" s="3475" t="s">
        <v>3601</v>
      </c>
      <c r="L6" s="3475" t="s">
        <v>3602</v>
      </c>
      <c r="M6" s="3475">
        <v>6.2140050000000002</v>
      </c>
      <c r="N6" s="3475" t="s">
        <v>3589</v>
      </c>
      <c r="O6" s="3475" t="s">
        <v>3590</v>
      </c>
      <c r="P6" s="3475">
        <v>47025</v>
      </c>
      <c r="Q6" s="3475" t="s">
        <v>3591</v>
      </c>
      <c r="R6" s="3475" t="s">
        <v>3592</v>
      </c>
      <c r="S6" s="3475" t="s">
        <v>3613</v>
      </c>
      <c r="T6" s="3475" t="s">
        <v>3592</v>
      </c>
      <c r="U6" s="3475">
        <v>8668.5400000000009</v>
      </c>
      <c r="V6" s="3475">
        <v>7829.65</v>
      </c>
      <c r="W6" s="3475">
        <v>8668.5400000000009</v>
      </c>
      <c r="X6" s="3475">
        <v>8388.91</v>
      </c>
      <c r="Y6" s="3475">
        <v>8668.5400000000009</v>
      </c>
      <c r="Z6" s="3475">
        <v>8388.91</v>
      </c>
      <c r="AA6" s="3475">
        <v>8668.5400000000009</v>
      </c>
      <c r="AB6" s="3475">
        <v>8668.5400000000009</v>
      </c>
      <c r="AC6" s="3475">
        <v>8388.91</v>
      </c>
      <c r="AD6" s="3475">
        <v>8668.5400000000009</v>
      </c>
      <c r="AE6" s="3475">
        <v>8388.91</v>
      </c>
      <c r="AF6" s="3475">
        <v>7550.02</v>
      </c>
      <c r="AG6" s="3476" t="s">
        <v>3594</v>
      </c>
      <c r="AH6" s="3476" t="s">
        <v>3594</v>
      </c>
      <c r="AI6" s="3476" t="s">
        <v>3594</v>
      </c>
      <c r="AJ6" s="3476" t="s">
        <v>3594</v>
      </c>
      <c r="AK6" s="3476" t="s">
        <v>3594</v>
      </c>
      <c r="AL6" s="3476" t="s">
        <v>3594</v>
      </c>
      <c r="AM6" s="3476" t="s">
        <v>3594</v>
      </c>
      <c r="AN6" s="3476" t="s">
        <v>3594</v>
      </c>
      <c r="AO6" s="3476" t="s">
        <v>3594</v>
      </c>
      <c r="AP6" s="3476" t="s">
        <v>3594</v>
      </c>
      <c r="AQ6" s="3476" t="s">
        <v>3594</v>
      </c>
      <c r="AR6" s="3476" t="s">
        <v>3594</v>
      </c>
      <c r="AS6" s="3476" t="s">
        <v>3594</v>
      </c>
      <c r="AT6" s="3476" t="s">
        <v>3594</v>
      </c>
      <c r="AU6" s="3476" t="s">
        <v>3594</v>
      </c>
      <c r="AV6" s="3476" t="s">
        <v>3594</v>
      </c>
      <c r="AW6" s="3476" t="s">
        <v>3594</v>
      </c>
      <c r="AX6" s="3476" t="s">
        <v>3594</v>
      </c>
      <c r="AY6" s="3476" t="s">
        <v>3594</v>
      </c>
      <c r="AZ6" s="3476" t="s">
        <v>3594</v>
      </c>
      <c r="BA6" s="3476" t="s">
        <v>3594</v>
      </c>
      <c r="BB6" s="3476" t="s">
        <v>3594</v>
      </c>
      <c r="BC6" s="3476" t="s">
        <v>3594</v>
      </c>
      <c r="BD6" s="3476" t="s">
        <v>3594</v>
      </c>
      <c r="BE6" s="3476" t="s">
        <v>3594</v>
      </c>
      <c r="BF6" s="3476" t="s">
        <v>3594</v>
      </c>
      <c r="BG6" s="3476" t="s">
        <v>3594</v>
      </c>
      <c r="BH6" s="3476" t="s">
        <v>3594</v>
      </c>
      <c r="BI6" s="3476" t="s">
        <v>3594</v>
      </c>
      <c r="BJ6" s="3476" t="s">
        <v>3594</v>
      </c>
      <c r="BK6" s="3476" t="s">
        <v>3594</v>
      </c>
      <c r="BL6" s="3476" t="s">
        <v>3594</v>
      </c>
      <c r="BM6" s="3476" t="s">
        <v>3594</v>
      </c>
      <c r="BN6" s="3476" t="s">
        <v>3594</v>
      </c>
      <c r="BO6" s="3476" t="s">
        <v>3594</v>
      </c>
      <c r="BP6" s="3476" t="s">
        <v>3594</v>
      </c>
      <c r="BQ6" s="3476" t="s">
        <v>3594</v>
      </c>
      <c r="BR6" s="3476" t="s">
        <v>3594</v>
      </c>
      <c r="BS6" s="3476" t="s">
        <v>3594</v>
      </c>
      <c r="BT6" s="3476" t="s">
        <v>3594</v>
      </c>
      <c r="BU6" s="3476" t="s">
        <v>3594</v>
      </c>
      <c r="BV6" s="3476" t="s">
        <v>3594</v>
      </c>
      <c r="BW6" s="3476" t="s">
        <v>3594</v>
      </c>
      <c r="BX6" s="3476" t="s">
        <v>3594</v>
      </c>
      <c r="BY6" s="3476" t="s">
        <v>3594</v>
      </c>
      <c r="BZ6" s="3476" t="s">
        <v>3594</v>
      </c>
      <c r="CA6" s="3476" t="s">
        <v>3594</v>
      </c>
      <c r="CB6" s="3476" t="s">
        <v>3594</v>
      </c>
      <c r="CC6" s="3476" t="s">
        <v>3594</v>
      </c>
      <c r="CD6" s="3476" t="s">
        <v>3594</v>
      </c>
      <c r="CE6" s="3476" t="s">
        <v>3594</v>
      </c>
      <c r="CF6" s="3476" t="s">
        <v>3594</v>
      </c>
      <c r="CG6" s="3476" t="s">
        <v>3594</v>
      </c>
      <c r="CH6" s="3476" t="s">
        <v>3594</v>
      </c>
      <c r="CI6" s="3476" t="s">
        <v>3594</v>
      </c>
      <c r="CJ6" s="3476" t="s">
        <v>3594</v>
      </c>
      <c r="CK6" s="3476" t="s">
        <v>3594</v>
      </c>
      <c r="CL6" s="3476" t="s">
        <v>3594</v>
      </c>
      <c r="CM6" s="3476" t="s">
        <v>3594</v>
      </c>
      <c r="CN6" s="3476" t="s">
        <v>3594</v>
      </c>
    </row>
    <row r="7" spans="1:92" ht="14.1" customHeight="1">
      <c r="A7" s="3475" t="s">
        <v>3606</v>
      </c>
      <c r="B7" s="3475" t="s">
        <v>3607</v>
      </c>
      <c r="C7" s="3475" t="s">
        <v>3595</v>
      </c>
      <c r="D7" s="3475" t="s">
        <v>3608</v>
      </c>
      <c r="E7" s="3475" t="s">
        <v>3609</v>
      </c>
      <c r="F7" s="3475" t="s">
        <v>3583</v>
      </c>
      <c r="G7" s="3475" t="s">
        <v>3610</v>
      </c>
      <c r="H7" s="3475" t="s">
        <v>3611</v>
      </c>
      <c r="I7" s="3475" t="s">
        <v>3612</v>
      </c>
      <c r="J7" s="3475">
        <v>45</v>
      </c>
      <c r="K7" s="3475" t="s">
        <v>3604</v>
      </c>
      <c r="L7" s="3475" t="s">
        <v>3605</v>
      </c>
      <c r="M7" s="3475">
        <v>0.36442799999999997</v>
      </c>
      <c r="N7" s="3475" t="s">
        <v>3598</v>
      </c>
      <c r="O7" s="3475" t="s">
        <v>3590</v>
      </c>
      <c r="P7" s="3475" t="s">
        <v>3594</v>
      </c>
      <c r="Q7" s="3475" t="s">
        <v>3591</v>
      </c>
      <c r="R7" s="3475" t="s">
        <v>3592</v>
      </c>
      <c r="S7" s="3475" t="s">
        <v>3613</v>
      </c>
      <c r="T7" s="3475" t="s">
        <v>3592</v>
      </c>
      <c r="U7" s="3475">
        <v>508.38</v>
      </c>
      <c r="V7" s="3475">
        <v>459.18</v>
      </c>
      <c r="W7" s="3475">
        <v>508.38</v>
      </c>
      <c r="X7" s="3475">
        <v>491.98</v>
      </c>
      <c r="Y7" s="3475">
        <v>508.38</v>
      </c>
      <c r="Z7" s="3475">
        <v>491.98</v>
      </c>
      <c r="AA7" s="3475">
        <v>508.38</v>
      </c>
      <c r="AB7" s="3475">
        <v>508.38</v>
      </c>
      <c r="AC7" s="3475">
        <v>491.98</v>
      </c>
      <c r="AD7" s="3475">
        <v>508.38</v>
      </c>
      <c r="AE7" s="3475">
        <v>491.98</v>
      </c>
      <c r="AF7" s="3475">
        <v>442.78</v>
      </c>
      <c r="AG7" s="3476" t="s">
        <v>3594</v>
      </c>
      <c r="AH7" s="3476" t="s">
        <v>3594</v>
      </c>
      <c r="AI7" s="3476" t="s">
        <v>3594</v>
      </c>
      <c r="AJ7" s="3476" t="s">
        <v>3594</v>
      </c>
      <c r="AK7" s="3476" t="s">
        <v>3594</v>
      </c>
      <c r="AL7" s="3476" t="s">
        <v>3594</v>
      </c>
      <c r="AM7" s="3476" t="s">
        <v>3594</v>
      </c>
      <c r="AN7" s="3476" t="s">
        <v>3594</v>
      </c>
      <c r="AO7" s="3476" t="s">
        <v>3594</v>
      </c>
      <c r="AP7" s="3476" t="s">
        <v>3594</v>
      </c>
      <c r="AQ7" s="3476" t="s">
        <v>3594</v>
      </c>
      <c r="AR7" s="3476" t="s">
        <v>3594</v>
      </c>
      <c r="AS7" s="3476" t="s">
        <v>3594</v>
      </c>
      <c r="AT7" s="3476" t="s">
        <v>3594</v>
      </c>
      <c r="AU7" s="3476" t="s">
        <v>3594</v>
      </c>
      <c r="AV7" s="3476" t="s">
        <v>3594</v>
      </c>
      <c r="AW7" s="3476" t="s">
        <v>3594</v>
      </c>
      <c r="AX7" s="3476" t="s">
        <v>3594</v>
      </c>
      <c r="AY7" s="3476" t="s">
        <v>3594</v>
      </c>
      <c r="AZ7" s="3476" t="s">
        <v>3594</v>
      </c>
      <c r="BA7" s="3476" t="s">
        <v>3594</v>
      </c>
      <c r="BB7" s="3476" t="s">
        <v>3594</v>
      </c>
      <c r="BC7" s="3476" t="s">
        <v>3594</v>
      </c>
      <c r="BD7" s="3476" t="s">
        <v>3594</v>
      </c>
      <c r="BE7" s="3476" t="s">
        <v>3594</v>
      </c>
      <c r="BF7" s="3476" t="s">
        <v>3594</v>
      </c>
      <c r="BG7" s="3476" t="s">
        <v>3594</v>
      </c>
      <c r="BH7" s="3476" t="s">
        <v>3594</v>
      </c>
      <c r="BI7" s="3476" t="s">
        <v>3594</v>
      </c>
      <c r="BJ7" s="3476" t="s">
        <v>3594</v>
      </c>
      <c r="BK7" s="3476" t="s">
        <v>3594</v>
      </c>
      <c r="BL7" s="3476" t="s">
        <v>3594</v>
      </c>
      <c r="BM7" s="3476" t="s">
        <v>3594</v>
      </c>
      <c r="BN7" s="3476" t="s">
        <v>3594</v>
      </c>
      <c r="BO7" s="3476" t="s">
        <v>3594</v>
      </c>
      <c r="BP7" s="3476" t="s">
        <v>3594</v>
      </c>
      <c r="BQ7" s="3476" t="s">
        <v>3594</v>
      </c>
      <c r="BR7" s="3476" t="s">
        <v>3594</v>
      </c>
      <c r="BS7" s="3476" t="s">
        <v>3594</v>
      </c>
      <c r="BT7" s="3476" t="s">
        <v>3594</v>
      </c>
      <c r="BU7" s="3476" t="s">
        <v>3594</v>
      </c>
      <c r="BV7" s="3476" t="s">
        <v>3594</v>
      </c>
      <c r="BW7" s="3476" t="s">
        <v>3594</v>
      </c>
      <c r="BX7" s="3476" t="s">
        <v>3594</v>
      </c>
      <c r="BY7" s="3476" t="s">
        <v>3594</v>
      </c>
      <c r="BZ7" s="3476" t="s">
        <v>3594</v>
      </c>
      <c r="CA7" s="3476" t="s">
        <v>3594</v>
      </c>
      <c r="CB7" s="3476" t="s">
        <v>3594</v>
      </c>
      <c r="CC7" s="3476" t="s">
        <v>3594</v>
      </c>
      <c r="CD7" s="3476" t="s">
        <v>3594</v>
      </c>
      <c r="CE7" s="3476" t="s">
        <v>3594</v>
      </c>
      <c r="CF7" s="3476" t="s">
        <v>3594</v>
      </c>
      <c r="CG7" s="3476" t="s">
        <v>3594</v>
      </c>
      <c r="CH7" s="3476" t="s">
        <v>3594</v>
      </c>
      <c r="CI7" s="3476" t="s">
        <v>3594</v>
      </c>
      <c r="CJ7" s="3476" t="s">
        <v>3594</v>
      </c>
      <c r="CK7" s="3476" t="s">
        <v>3594</v>
      </c>
      <c r="CL7" s="3476" t="s">
        <v>3594</v>
      </c>
      <c r="CM7" s="3476" t="s">
        <v>3594</v>
      </c>
      <c r="CN7" s="3476" t="s">
        <v>3594</v>
      </c>
    </row>
    <row r="8" spans="1:92" ht="14.1" customHeight="1">
      <c r="A8" s="3475" t="s">
        <v>3614</v>
      </c>
      <c r="B8" s="3475" t="s">
        <v>3615</v>
      </c>
      <c r="C8" s="3475" t="s">
        <v>3599</v>
      </c>
      <c r="D8" s="3475" t="s">
        <v>3616</v>
      </c>
      <c r="E8" s="3475" t="s">
        <v>3617</v>
      </c>
      <c r="F8" s="3475" t="s">
        <v>3583</v>
      </c>
      <c r="G8" s="3475" t="s">
        <v>3610</v>
      </c>
      <c r="H8" s="3475" t="s">
        <v>3618</v>
      </c>
      <c r="I8" s="3475" t="s">
        <v>3612</v>
      </c>
      <c r="J8" s="3475">
        <v>86.67</v>
      </c>
      <c r="K8" s="3475" t="s">
        <v>3619</v>
      </c>
      <c r="L8" s="3475" t="s">
        <v>3620</v>
      </c>
      <c r="M8" s="3475">
        <v>7.6339199999999998</v>
      </c>
      <c r="N8" s="3475" t="s">
        <v>3589</v>
      </c>
      <c r="O8" s="3475" t="s">
        <v>3594</v>
      </c>
      <c r="P8" s="3475">
        <v>0</v>
      </c>
      <c r="Q8" s="3475" t="s">
        <v>3613</v>
      </c>
      <c r="R8" s="3475" t="s">
        <v>3621</v>
      </c>
      <c r="S8" s="3475" t="s">
        <v>3613</v>
      </c>
      <c r="T8" s="3475" t="s">
        <v>3621</v>
      </c>
      <c r="U8" s="3475">
        <v>20510.59</v>
      </c>
      <c r="V8" s="3475">
        <v>18525.689999999999</v>
      </c>
      <c r="W8" s="3475">
        <v>20510.59</v>
      </c>
      <c r="X8" s="3475">
        <v>19848.96</v>
      </c>
      <c r="Y8" s="3475">
        <v>20510.59</v>
      </c>
      <c r="Z8" s="3475">
        <v>19848.96</v>
      </c>
      <c r="AA8" s="3475">
        <v>20510.59</v>
      </c>
      <c r="AB8" s="3475">
        <v>20510.59</v>
      </c>
      <c r="AC8" s="3475">
        <v>19848.96</v>
      </c>
      <c r="AD8" s="3475">
        <v>20510.59</v>
      </c>
      <c r="AE8" s="3475">
        <v>19848.96</v>
      </c>
      <c r="AF8" s="3475">
        <v>20510.59</v>
      </c>
      <c r="AG8" s="3476">
        <v>20510.59</v>
      </c>
      <c r="AH8" s="3476">
        <v>19187.32</v>
      </c>
      <c r="AI8" s="3476">
        <v>20510.59</v>
      </c>
      <c r="AJ8" s="3476">
        <v>19848.96</v>
      </c>
      <c r="AK8" s="3476">
        <v>20510.59</v>
      </c>
      <c r="AL8" s="3476">
        <v>19848.96</v>
      </c>
      <c r="AM8" s="3476">
        <v>20510.59</v>
      </c>
      <c r="AN8" s="3476">
        <v>20510.59</v>
      </c>
      <c r="AO8" s="3476">
        <v>19848.96</v>
      </c>
      <c r="AP8" s="3476">
        <v>20510.59</v>
      </c>
      <c r="AQ8" s="3476">
        <v>19848.96</v>
      </c>
      <c r="AR8" s="3476">
        <v>20510.59</v>
      </c>
      <c r="AS8" s="3476" t="s">
        <v>3594</v>
      </c>
      <c r="AT8" s="3476" t="s">
        <v>3594</v>
      </c>
      <c r="AU8" s="3476" t="s">
        <v>3594</v>
      </c>
      <c r="AV8" s="3476" t="s">
        <v>3594</v>
      </c>
      <c r="AW8" s="3476" t="s">
        <v>3594</v>
      </c>
      <c r="AX8" s="3476" t="s">
        <v>3594</v>
      </c>
      <c r="AY8" s="3476" t="s">
        <v>3594</v>
      </c>
      <c r="AZ8" s="3476" t="s">
        <v>3594</v>
      </c>
      <c r="BA8" s="3476" t="s">
        <v>3594</v>
      </c>
      <c r="BB8" s="3476" t="s">
        <v>3594</v>
      </c>
      <c r="BC8" s="3476" t="s">
        <v>3594</v>
      </c>
      <c r="BD8" s="3476" t="s">
        <v>3594</v>
      </c>
      <c r="BE8" s="3476" t="s">
        <v>3594</v>
      </c>
      <c r="BF8" s="3476" t="s">
        <v>3594</v>
      </c>
      <c r="BG8" s="3476" t="s">
        <v>3594</v>
      </c>
      <c r="BH8" s="3476" t="s">
        <v>3594</v>
      </c>
      <c r="BI8" s="3476" t="s">
        <v>3594</v>
      </c>
      <c r="BJ8" s="3476" t="s">
        <v>3594</v>
      </c>
      <c r="BK8" s="3476" t="s">
        <v>3594</v>
      </c>
      <c r="BL8" s="3476" t="s">
        <v>3594</v>
      </c>
      <c r="BM8" s="3476" t="s">
        <v>3594</v>
      </c>
      <c r="BN8" s="3476" t="s">
        <v>3594</v>
      </c>
      <c r="BO8" s="3476" t="s">
        <v>3594</v>
      </c>
      <c r="BP8" s="3476" t="s">
        <v>3594</v>
      </c>
      <c r="BQ8" s="3476" t="s">
        <v>3594</v>
      </c>
      <c r="BR8" s="3476" t="s">
        <v>3594</v>
      </c>
      <c r="BS8" s="3476" t="s">
        <v>3594</v>
      </c>
      <c r="BT8" s="3476" t="s">
        <v>3594</v>
      </c>
      <c r="BU8" s="3476" t="s">
        <v>3594</v>
      </c>
      <c r="BV8" s="3476" t="s">
        <v>3594</v>
      </c>
      <c r="BW8" s="3476" t="s">
        <v>3594</v>
      </c>
      <c r="BX8" s="3476" t="s">
        <v>3594</v>
      </c>
      <c r="BY8" s="3476" t="s">
        <v>3594</v>
      </c>
      <c r="BZ8" s="3476" t="s">
        <v>3594</v>
      </c>
      <c r="CA8" s="3476" t="s">
        <v>3594</v>
      </c>
      <c r="CB8" s="3476" t="s">
        <v>3594</v>
      </c>
      <c r="CC8" s="3476" t="s">
        <v>3594</v>
      </c>
      <c r="CD8" s="3476" t="s">
        <v>3594</v>
      </c>
      <c r="CE8" s="3476" t="s">
        <v>3594</v>
      </c>
      <c r="CF8" s="3476" t="s">
        <v>3594</v>
      </c>
      <c r="CG8" s="3476" t="s">
        <v>3594</v>
      </c>
      <c r="CH8" s="3476" t="s">
        <v>3594</v>
      </c>
      <c r="CI8" s="3476" t="s">
        <v>3594</v>
      </c>
      <c r="CJ8" s="3476" t="s">
        <v>3594</v>
      </c>
      <c r="CK8" s="3476" t="s">
        <v>3594</v>
      </c>
      <c r="CL8" s="3476" t="s">
        <v>3594</v>
      </c>
      <c r="CM8" s="3476" t="s">
        <v>3594</v>
      </c>
      <c r="CN8" s="3476" t="s">
        <v>3594</v>
      </c>
    </row>
    <row r="9" spans="1:92" ht="14.1" customHeight="1">
      <c r="A9" s="3475" t="s">
        <v>3622</v>
      </c>
      <c r="B9" s="3475" t="s">
        <v>3623</v>
      </c>
      <c r="C9" s="3475" t="s">
        <v>3624</v>
      </c>
      <c r="D9" s="3475" t="s">
        <v>3625</v>
      </c>
      <c r="E9" s="3475" t="s">
        <v>3626</v>
      </c>
      <c r="F9" s="3475" t="s">
        <v>3583</v>
      </c>
      <c r="G9" s="3475" t="s">
        <v>3584</v>
      </c>
      <c r="H9" s="3475" t="s">
        <v>3627</v>
      </c>
      <c r="I9" s="3475" t="s">
        <v>3586</v>
      </c>
      <c r="J9" s="3475">
        <v>1763.01</v>
      </c>
      <c r="K9" s="3475" t="s">
        <v>3587</v>
      </c>
      <c r="L9" s="3475" t="s">
        <v>3588</v>
      </c>
      <c r="M9" s="3475">
        <v>4.9619850000000003</v>
      </c>
      <c r="N9" s="3475" t="s">
        <v>3589</v>
      </c>
      <c r="O9" s="3475" t="s">
        <v>3590</v>
      </c>
      <c r="P9" s="3475">
        <v>1013045.61</v>
      </c>
      <c r="Q9" s="3475" t="s">
        <v>3628</v>
      </c>
      <c r="R9" s="3475" t="s">
        <v>3629</v>
      </c>
      <c r="S9" s="3475" t="s">
        <v>3630</v>
      </c>
      <c r="T9" s="3475" t="s">
        <v>3631</v>
      </c>
      <c r="U9" s="3475">
        <v>271188.90000000002</v>
      </c>
      <c r="V9" s="3475">
        <v>244944.82</v>
      </c>
      <c r="W9" s="3475" t="s">
        <v>3594</v>
      </c>
      <c r="X9" s="3475" t="s">
        <v>3594</v>
      </c>
      <c r="Y9" s="3475" t="s">
        <v>3594</v>
      </c>
      <c r="Z9" s="3475" t="s">
        <v>3594</v>
      </c>
      <c r="AA9" s="3475" t="s">
        <v>3594</v>
      </c>
      <c r="AB9" s="3475" t="s">
        <v>3594</v>
      </c>
      <c r="AC9" s="3475" t="s">
        <v>3594</v>
      </c>
      <c r="AD9" s="3475" t="s">
        <v>3594</v>
      </c>
      <c r="AE9" s="3475" t="s">
        <v>3594</v>
      </c>
      <c r="AF9" s="3475" t="s">
        <v>3594</v>
      </c>
      <c r="AG9" s="3476" t="s">
        <v>3594</v>
      </c>
      <c r="AH9" s="3476" t="s">
        <v>3594</v>
      </c>
      <c r="AI9" s="3476" t="s">
        <v>3594</v>
      </c>
      <c r="AJ9" s="3476" t="s">
        <v>3594</v>
      </c>
      <c r="AK9" s="3476" t="s">
        <v>3594</v>
      </c>
      <c r="AL9" s="3476" t="s">
        <v>3594</v>
      </c>
      <c r="AM9" s="3476" t="s">
        <v>3594</v>
      </c>
      <c r="AN9" s="3476" t="s">
        <v>3594</v>
      </c>
      <c r="AO9" s="3476" t="s">
        <v>3594</v>
      </c>
      <c r="AP9" s="3476" t="s">
        <v>3594</v>
      </c>
      <c r="AQ9" s="3476" t="s">
        <v>3594</v>
      </c>
      <c r="AR9" s="3476" t="s">
        <v>3594</v>
      </c>
      <c r="AS9" s="3476" t="s">
        <v>3594</v>
      </c>
      <c r="AT9" s="3476" t="s">
        <v>3594</v>
      </c>
      <c r="AU9" s="3476" t="s">
        <v>3594</v>
      </c>
      <c r="AV9" s="3476" t="s">
        <v>3594</v>
      </c>
      <c r="AW9" s="3476" t="s">
        <v>3594</v>
      </c>
      <c r="AX9" s="3476" t="s">
        <v>3594</v>
      </c>
      <c r="AY9" s="3476" t="s">
        <v>3594</v>
      </c>
      <c r="AZ9" s="3476" t="s">
        <v>3594</v>
      </c>
      <c r="BA9" s="3476" t="s">
        <v>3594</v>
      </c>
      <c r="BB9" s="3476" t="s">
        <v>3594</v>
      </c>
      <c r="BC9" s="3476" t="s">
        <v>3594</v>
      </c>
      <c r="BD9" s="3476" t="s">
        <v>3594</v>
      </c>
      <c r="BE9" s="3476" t="s">
        <v>3594</v>
      </c>
      <c r="BF9" s="3476" t="s">
        <v>3594</v>
      </c>
      <c r="BG9" s="3476" t="s">
        <v>3594</v>
      </c>
      <c r="BH9" s="3476" t="s">
        <v>3594</v>
      </c>
      <c r="BI9" s="3476" t="s">
        <v>3594</v>
      </c>
      <c r="BJ9" s="3476" t="s">
        <v>3594</v>
      </c>
      <c r="BK9" s="3476" t="s">
        <v>3594</v>
      </c>
      <c r="BL9" s="3476" t="s">
        <v>3594</v>
      </c>
      <c r="BM9" s="3476" t="s">
        <v>3594</v>
      </c>
      <c r="BN9" s="3476" t="s">
        <v>3594</v>
      </c>
      <c r="BO9" s="3476" t="s">
        <v>3594</v>
      </c>
      <c r="BP9" s="3476" t="s">
        <v>3594</v>
      </c>
      <c r="BQ9" s="3476" t="s">
        <v>3594</v>
      </c>
      <c r="BR9" s="3476" t="s">
        <v>3594</v>
      </c>
      <c r="BS9" s="3476" t="s">
        <v>3594</v>
      </c>
      <c r="BT9" s="3476" t="s">
        <v>3594</v>
      </c>
      <c r="BU9" s="3476" t="s">
        <v>3594</v>
      </c>
      <c r="BV9" s="3476" t="s">
        <v>3594</v>
      </c>
      <c r="BW9" s="3476" t="s">
        <v>3594</v>
      </c>
      <c r="BX9" s="3476" t="s">
        <v>3594</v>
      </c>
      <c r="BY9" s="3476" t="s">
        <v>3594</v>
      </c>
      <c r="BZ9" s="3476" t="s">
        <v>3594</v>
      </c>
      <c r="CA9" s="3476" t="s">
        <v>3594</v>
      </c>
      <c r="CB9" s="3476" t="s">
        <v>3594</v>
      </c>
      <c r="CC9" s="3476" t="s">
        <v>3594</v>
      </c>
      <c r="CD9" s="3476" t="s">
        <v>3594</v>
      </c>
      <c r="CE9" s="3476" t="s">
        <v>3594</v>
      </c>
      <c r="CF9" s="3476" t="s">
        <v>3594</v>
      </c>
      <c r="CG9" s="3476" t="s">
        <v>3594</v>
      </c>
      <c r="CH9" s="3476" t="s">
        <v>3594</v>
      </c>
      <c r="CI9" s="3476" t="s">
        <v>3594</v>
      </c>
      <c r="CJ9" s="3476" t="s">
        <v>3594</v>
      </c>
      <c r="CK9" s="3476" t="s">
        <v>3594</v>
      </c>
      <c r="CL9" s="3476" t="s">
        <v>3594</v>
      </c>
      <c r="CM9" s="3476" t="s">
        <v>3594</v>
      </c>
      <c r="CN9" s="3476" t="s">
        <v>3594</v>
      </c>
    </row>
    <row r="10" spans="1:92" ht="14.1" customHeight="1">
      <c r="A10" s="3475" t="s">
        <v>3622</v>
      </c>
      <c r="B10" s="3475" t="s">
        <v>3623</v>
      </c>
      <c r="C10" s="3475" t="s">
        <v>3632</v>
      </c>
      <c r="D10" s="3475" t="s">
        <v>3625</v>
      </c>
      <c r="E10" s="3475" t="s">
        <v>3626</v>
      </c>
      <c r="F10" s="3475" t="s">
        <v>3583</v>
      </c>
      <c r="G10" s="3475" t="s">
        <v>3584</v>
      </c>
      <c r="H10" s="3475" t="s">
        <v>3627</v>
      </c>
      <c r="I10" s="3475" t="s">
        <v>3586</v>
      </c>
      <c r="J10" s="3475">
        <v>1763.01</v>
      </c>
      <c r="K10" s="3475" t="s">
        <v>3587</v>
      </c>
      <c r="L10" s="3475" t="s">
        <v>3588</v>
      </c>
      <c r="M10" s="3475">
        <v>-0.19844999999999999</v>
      </c>
      <c r="N10" s="3475" t="s">
        <v>3589</v>
      </c>
      <c r="O10" s="3475" t="s">
        <v>3590</v>
      </c>
      <c r="P10" s="3475" t="s">
        <v>3594</v>
      </c>
      <c r="Q10" s="3475" t="s">
        <v>3628</v>
      </c>
      <c r="R10" s="3475" t="s">
        <v>3629</v>
      </c>
      <c r="S10" s="3475" t="s">
        <v>3630</v>
      </c>
      <c r="T10" s="3475" t="s">
        <v>3631</v>
      </c>
      <c r="U10" s="3475">
        <v>-10845.95</v>
      </c>
      <c r="V10" s="3475">
        <v>-9796.34</v>
      </c>
      <c r="W10" s="3475" t="s">
        <v>3594</v>
      </c>
      <c r="X10" s="3475" t="s">
        <v>3594</v>
      </c>
      <c r="Y10" s="3475" t="s">
        <v>3594</v>
      </c>
      <c r="Z10" s="3475" t="s">
        <v>3594</v>
      </c>
      <c r="AA10" s="3475" t="s">
        <v>3594</v>
      </c>
      <c r="AB10" s="3475" t="s">
        <v>3594</v>
      </c>
      <c r="AC10" s="3475" t="s">
        <v>3594</v>
      </c>
      <c r="AD10" s="3475" t="s">
        <v>3594</v>
      </c>
      <c r="AE10" s="3475" t="s">
        <v>3594</v>
      </c>
      <c r="AF10" s="3475" t="s">
        <v>3594</v>
      </c>
      <c r="AG10" s="3476" t="s">
        <v>3594</v>
      </c>
      <c r="AH10" s="3476" t="s">
        <v>3594</v>
      </c>
      <c r="AI10" s="3476" t="s">
        <v>3594</v>
      </c>
      <c r="AJ10" s="3476" t="s">
        <v>3594</v>
      </c>
      <c r="AK10" s="3476" t="s">
        <v>3594</v>
      </c>
      <c r="AL10" s="3476" t="s">
        <v>3594</v>
      </c>
      <c r="AM10" s="3476" t="s">
        <v>3594</v>
      </c>
      <c r="AN10" s="3476" t="s">
        <v>3594</v>
      </c>
      <c r="AO10" s="3476" t="s">
        <v>3594</v>
      </c>
      <c r="AP10" s="3476" t="s">
        <v>3594</v>
      </c>
      <c r="AQ10" s="3476" t="s">
        <v>3594</v>
      </c>
      <c r="AR10" s="3476" t="s">
        <v>3594</v>
      </c>
      <c r="AS10" s="3476" t="s">
        <v>3594</v>
      </c>
      <c r="AT10" s="3476" t="s">
        <v>3594</v>
      </c>
      <c r="AU10" s="3476" t="s">
        <v>3594</v>
      </c>
      <c r="AV10" s="3476" t="s">
        <v>3594</v>
      </c>
      <c r="AW10" s="3476" t="s">
        <v>3594</v>
      </c>
      <c r="AX10" s="3476" t="s">
        <v>3594</v>
      </c>
      <c r="AY10" s="3476" t="s">
        <v>3594</v>
      </c>
      <c r="AZ10" s="3476" t="s">
        <v>3594</v>
      </c>
      <c r="BA10" s="3476" t="s">
        <v>3594</v>
      </c>
      <c r="BB10" s="3476" t="s">
        <v>3594</v>
      </c>
      <c r="BC10" s="3476" t="s">
        <v>3594</v>
      </c>
      <c r="BD10" s="3476" t="s">
        <v>3594</v>
      </c>
      <c r="BE10" s="3476" t="s">
        <v>3594</v>
      </c>
      <c r="BF10" s="3476" t="s">
        <v>3594</v>
      </c>
      <c r="BG10" s="3476" t="s">
        <v>3594</v>
      </c>
      <c r="BH10" s="3476" t="s">
        <v>3594</v>
      </c>
      <c r="BI10" s="3476" t="s">
        <v>3594</v>
      </c>
      <c r="BJ10" s="3476" t="s">
        <v>3594</v>
      </c>
      <c r="BK10" s="3476" t="s">
        <v>3594</v>
      </c>
      <c r="BL10" s="3476" t="s">
        <v>3594</v>
      </c>
      <c r="BM10" s="3476" t="s">
        <v>3594</v>
      </c>
      <c r="BN10" s="3476" t="s">
        <v>3594</v>
      </c>
      <c r="BO10" s="3476" t="s">
        <v>3594</v>
      </c>
      <c r="BP10" s="3476" t="s">
        <v>3594</v>
      </c>
      <c r="BQ10" s="3476" t="s">
        <v>3594</v>
      </c>
      <c r="BR10" s="3476" t="s">
        <v>3594</v>
      </c>
      <c r="BS10" s="3476" t="s">
        <v>3594</v>
      </c>
      <c r="BT10" s="3476" t="s">
        <v>3594</v>
      </c>
      <c r="BU10" s="3476" t="s">
        <v>3594</v>
      </c>
      <c r="BV10" s="3476" t="s">
        <v>3594</v>
      </c>
      <c r="BW10" s="3476" t="s">
        <v>3594</v>
      </c>
      <c r="BX10" s="3476" t="s">
        <v>3594</v>
      </c>
      <c r="BY10" s="3476" t="s">
        <v>3594</v>
      </c>
      <c r="BZ10" s="3476" t="s">
        <v>3594</v>
      </c>
      <c r="CA10" s="3476" t="s">
        <v>3594</v>
      </c>
      <c r="CB10" s="3476" t="s">
        <v>3594</v>
      </c>
      <c r="CC10" s="3476" t="s">
        <v>3594</v>
      </c>
      <c r="CD10" s="3476" t="s">
        <v>3594</v>
      </c>
      <c r="CE10" s="3476" t="s">
        <v>3594</v>
      </c>
      <c r="CF10" s="3476" t="s">
        <v>3594</v>
      </c>
      <c r="CG10" s="3476" t="s">
        <v>3594</v>
      </c>
      <c r="CH10" s="3476" t="s">
        <v>3594</v>
      </c>
      <c r="CI10" s="3476" t="s">
        <v>3594</v>
      </c>
      <c r="CJ10" s="3476" t="s">
        <v>3594</v>
      </c>
      <c r="CK10" s="3476" t="s">
        <v>3594</v>
      </c>
      <c r="CL10" s="3476" t="s">
        <v>3594</v>
      </c>
      <c r="CM10" s="3476" t="s">
        <v>3594</v>
      </c>
      <c r="CN10" s="3476" t="s">
        <v>3594</v>
      </c>
    </row>
    <row r="11" spans="1:92" ht="14.1" customHeight="1">
      <c r="A11" s="3475" t="s">
        <v>3622</v>
      </c>
      <c r="B11" s="3475" t="s">
        <v>3623</v>
      </c>
      <c r="C11" s="3475" t="s">
        <v>3633</v>
      </c>
      <c r="D11" s="3475" t="s">
        <v>3625</v>
      </c>
      <c r="E11" s="3475" t="s">
        <v>3626</v>
      </c>
      <c r="F11" s="3475" t="s">
        <v>3583</v>
      </c>
      <c r="G11" s="3475" t="s">
        <v>3584</v>
      </c>
      <c r="H11" s="3475" t="s">
        <v>3627</v>
      </c>
      <c r="I11" s="3475" t="s">
        <v>3586</v>
      </c>
      <c r="J11" s="3475">
        <v>1763.01</v>
      </c>
      <c r="K11" s="3475" t="s">
        <v>3587</v>
      </c>
      <c r="L11" s="3475" t="s">
        <v>3588</v>
      </c>
      <c r="M11" s="3475">
        <v>4.9619850000000003</v>
      </c>
      <c r="N11" s="3475" t="s">
        <v>3589</v>
      </c>
      <c r="O11" s="3475" t="s">
        <v>3590</v>
      </c>
      <c r="P11" s="3475" t="s">
        <v>3594</v>
      </c>
      <c r="Q11" s="3475" t="s">
        <v>3634</v>
      </c>
      <c r="R11" s="3475" t="s">
        <v>3635</v>
      </c>
      <c r="S11" s="3475" t="s">
        <v>3630</v>
      </c>
      <c r="T11" s="3475" t="s">
        <v>3631</v>
      </c>
      <c r="U11" s="3475" t="s">
        <v>3594</v>
      </c>
      <c r="V11" s="3475" t="s">
        <v>3594</v>
      </c>
      <c r="W11" s="3475">
        <v>271188.90000000002</v>
      </c>
      <c r="X11" s="3475">
        <v>262440.88</v>
      </c>
      <c r="Y11" s="3475">
        <v>271188.90000000002</v>
      </c>
      <c r="Z11" s="3475">
        <v>262440.88</v>
      </c>
      <c r="AA11" s="3475">
        <v>271188.90000000002</v>
      </c>
      <c r="AB11" s="3475">
        <v>271188.90000000002</v>
      </c>
      <c r="AC11" s="3475">
        <v>262440.88</v>
      </c>
      <c r="AD11" s="3475">
        <v>271188.90000000002</v>
      </c>
      <c r="AE11" s="3475">
        <v>262440.88</v>
      </c>
      <c r="AF11" s="3475">
        <v>271188.90000000002</v>
      </c>
      <c r="AG11" s="3476">
        <v>271188.90000000002</v>
      </c>
      <c r="AH11" s="3476">
        <v>253692.85</v>
      </c>
      <c r="AI11" s="3476" t="s">
        <v>3594</v>
      </c>
      <c r="AJ11" s="3476" t="s">
        <v>3594</v>
      </c>
      <c r="AK11" s="3476" t="s">
        <v>3594</v>
      </c>
      <c r="AL11" s="3476" t="s">
        <v>3594</v>
      </c>
      <c r="AM11" s="3476" t="s">
        <v>3594</v>
      </c>
      <c r="AN11" s="3476" t="s">
        <v>3594</v>
      </c>
      <c r="AO11" s="3476" t="s">
        <v>3594</v>
      </c>
      <c r="AP11" s="3476" t="s">
        <v>3594</v>
      </c>
      <c r="AQ11" s="3476" t="s">
        <v>3594</v>
      </c>
      <c r="AR11" s="3476" t="s">
        <v>3594</v>
      </c>
      <c r="AS11" s="3476" t="s">
        <v>3594</v>
      </c>
      <c r="AT11" s="3476" t="s">
        <v>3594</v>
      </c>
      <c r="AU11" s="3476" t="s">
        <v>3594</v>
      </c>
      <c r="AV11" s="3476" t="s">
        <v>3594</v>
      </c>
      <c r="AW11" s="3476" t="s">
        <v>3594</v>
      </c>
      <c r="AX11" s="3476" t="s">
        <v>3594</v>
      </c>
      <c r="AY11" s="3476" t="s">
        <v>3594</v>
      </c>
      <c r="AZ11" s="3476" t="s">
        <v>3594</v>
      </c>
      <c r="BA11" s="3476" t="s">
        <v>3594</v>
      </c>
      <c r="BB11" s="3476" t="s">
        <v>3594</v>
      </c>
      <c r="BC11" s="3476" t="s">
        <v>3594</v>
      </c>
      <c r="BD11" s="3476" t="s">
        <v>3594</v>
      </c>
      <c r="BE11" s="3476" t="s">
        <v>3594</v>
      </c>
      <c r="BF11" s="3476" t="s">
        <v>3594</v>
      </c>
      <c r="BG11" s="3476" t="s">
        <v>3594</v>
      </c>
      <c r="BH11" s="3476" t="s">
        <v>3594</v>
      </c>
      <c r="BI11" s="3476" t="s">
        <v>3594</v>
      </c>
      <c r="BJ11" s="3476" t="s">
        <v>3594</v>
      </c>
      <c r="BK11" s="3476" t="s">
        <v>3594</v>
      </c>
      <c r="BL11" s="3476" t="s">
        <v>3594</v>
      </c>
      <c r="BM11" s="3476" t="s">
        <v>3594</v>
      </c>
      <c r="BN11" s="3476" t="s">
        <v>3594</v>
      </c>
      <c r="BO11" s="3476" t="s">
        <v>3594</v>
      </c>
      <c r="BP11" s="3476" t="s">
        <v>3594</v>
      </c>
      <c r="BQ11" s="3476" t="s">
        <v>3594</v>
      </c>
      <c r="BR11" s="3476" t="s">
        <v>3594</v>
      </c>
      <c r="BS11" s="3476" t="s">
        <v>3594</v>
      </c>
      <c r="BT11" s="3476" t="s">
        <v>3594</v>
      </c>
      <c r="BU11" s="3476" t="s">
        <v>3594</v>
      </c>
      <c r="BV11" s="3476" t="s">
        <v>3594</v>
      </c>
      <c r="BW11" s="3476" t="s">
        <v>3594</v>
      </c>
      <c r="BX11" s="3476" t="s">
        <v>3594</v>
      </c>
      <c r="BY11" s="3476" t="s">
        <v>3594</v>
      </c>
      <c r="BZ11" s="3476" t="s">
        <v>3594</v>
      </c>
      <c r="CA11" s="3476" t="s">
        <v>3594</v>
      </c>
      <c r="CB11" s="3476" t="s">
        <v>3594</v>
      </c>
      <c r="CC11" s="3476" t="s">
        <v>3594</v>
      </c>
      <c r="CD11" s="3476" t="s">
        <v>3594</v>
      </c>
      <c r="CE11" s="3476" t="s">
        <v>3594</v>
      </c>
      <c r="CF11" s="3476" t="s">
        <v>3594</v>
      </c>
      <c r="CG11" s="3476" t="s">
        <v>3594</v>
      </c>
      <c r="CH11" s="3476" t="s">
        <v>3594</v>
      </c>
      <c r="CI11" s="3476" t="s">
        <v>3594</v>
      </c>
      <c r="CJ11" s="3476" t="s">
        <v>3594</v>
      </c>
      <c r="CK11" s="3476" t="s">
        <v>3594</v>
      </c>
      <c r="CL11" s="3476" t="s">
        <v>3594</v>
      </c>
      <c r="CM11" s="3476" t="s">
        <v>3594</v>
      </c>
      <c r="CN11" s="3476" t="s">
        <v>3594</v>
      </c>
    </row>
    <row r="12" spans="1:92" ht="14.1" customHeight="1">
      <c r="A12" s="3475" t="s">
        <v>3622</v>
      </c>
      <c r="B12" s="3475" t="s">
        <v>3623</v>
      </c>
      <c r="C12" s="3475" t="s">
        <v>3636</v>
      </c>
      <c r="D12" s="3475" t="s">
        <v>3625</v>
      </c>
      <c r="E12" s="3475" t="s">
        <v>3626</v>
      </c>
      <c r="F12" s="3475" t="s">
        <v>3583</v>
      </c>
      <c r="G12" s="3475" t="s">
        <v>3584</v>
      </c>
      <c r="H12" s="3475" t="s">
        <v>3627</v>
      </c>
      <c r="I12" s="3475" t="s">
        <v>3586</v>
      </c>
      <c r="J12" s="3475">
        <v>1763.01</v>
      </c>
      <c r="K12" s="3475" t="s">
        <v>3587</v>
      </c>
      <c r="L12" s="3475" t="s">
        <v>3588</v>
      </c>
      <c r="M12" s="3475">
        <v>5.2596600000000002</v>
      </c>
      <c r="N12" s="3475" t="s">
        <v>3589</v>
      </c>
      <c r="O12" s="3475" t="s">
        <v>3590</v>
      </c>
      <c r="P12" s="3475" t="s">
        <v>3594</v>
      </c>
      <c r="Q12" s="3475" t="s">
        <v>3637</v>
      </c>
      <c r="R12" s="3475" t="s">
        <v>3638</v>
      </c>
      <c r="S12" s="3475" t="s">
        <v>3630</v>
      </c>
      <c r="T12" s="3475" t="s">
        <v>3631</v>
      </c>
      <c r="U12" s="3475" t="s">
        <v>3594</v>
      </c>
      <c r="V12" s="3475" t="s">
        <v>3594</v>
      </c>
      <c r="W12" s="3475" t="s">
        <v>3594</v>
      </c>
      <c r="X12" s="3475" t="s">
        <v>3594</v>
      </c>
      <c r="Y12" s="3475" t="s">
        <v>3594</v>
      </c>
      <c r="Z12" s="3475" t="s">
        <v>3594</v>
      </c>
      <c r="AA12" s="3475" t="s">
        <v>3594</v>
      </c>
      <c r="AB12" s="3475" t="s">
        <v>3594</v>
      </c>
      <c r="AC12" s="3475" t="s">
        <v>3594</v>
      </c>
      <c r="AD12" s="3475" t="s">
        <v>3594</v>
      </c>
      <c r="AE12" s="3475" t="s">
        <v>3594</v>
      </c>
      <c r="AF12" s="3475" t="s">
        <v>3594</v>
      </c>
      <c r="AG12" s="3476" t="s">
        <v>3594</v>
      </c>
      <c r="AH12" s="3476" t="s">
        <v>3594</v>
      </c>
      <c r="AI12" s="3476">
        <v>287457.83</v>
      </c>
      <c r="AJ12" s="3476">
        <v>278185</v>
      </c>
      <c r="AK12" s="3476">
        <v>287457.83</v>
      </c>
      <c r="AL12" s="3476">
        <v>278185</v>
      </c>
      <c r="AM12" s="3476">
        <v>287457.83</v>
      </c>
      <c r="AN12" s="3476">
        <v>287457.83</v>
      </c>
      <c r="AO12" s="3476">
        <v>278185</v>
      </c>
      <c r="AP12" s="3476">
        <v>287457.83</v>
      </c>
      <c r="AQ12" s="3476">
        <v>278185</v>
      </c>
      <c r="AR12" s="3476">
        <v>287457.83</v>
      </c>
      <c r="AS12" s="3476">
        <v>287457.83</v>
      </c>
      <c r="AT12" s="3476">
        <v>259639.33</v>
      </c>
      <c r="AU12" s="3476" t="s">
        <v>3594</v>
      </c>
      <c r="AV12" s="3476" t="s">
        <v>3594</v>
      </c>
      <c r="AW12" s="3476" t="s">
        <v>3594</v>
      </c>
      <c r="AX12" s="3476" t="s">
        <v>3594</v>
      </c>
      <c r="AY12" s="3476" t="s">
        <v>3594</v>
      </c>
      <c r="AZ12" s="3476" t="s">
        <v>3594</v>
      </c>
      <c r="BA12" s="3476" t="s">
        <v>3594</v>
      </c>
      <c r="BB12" s="3476" t="s">
        <v>3594</v>
      </c>
      <c r="BC12" s="3476" t="s">
        <v>3594</v>
      </c>
      <c r="BD12" s="3476" t="s">
        <v>3594</v>
      </c>
      <c r="BE12" s="3476" t="s">
        <v>3594</v>
      </c>
      <c r="BF12" s="3476" t="s">
        <v>3594</v>
      </c>
      <c r="BG12" s="3476" t="s">
        <v>3594</v>
      </c>
      <c r="BH12" s="3476" t="s">
        <v>3594</v>
      </c>
      <c r="BI12" s="3476" t="s">
        <v>3594</v>
      </c>
      <c r="BJ12" s="3476" t="s">
        <v>3594</v>
      </c>
      <c r="BK12" s="3476" t="s">
        <v>3594</v>
      </c>
      <c r="BL12" s="3476" t="s">
        <v>3594</v>
      </c>
      <c r="BM12" s="3476" t="s">
        <v>3594</v>
      </c>
      <c r="BN12" s="3476" t="s">
        <v>3594</v>
      </c>
      <c r="BO12" s="3476" t="s">
        <v>3594</v>
      </c>
      <c r="BP12" s="3476" t="s">
        <v>3594</v>
      </c>
      <c r="BQ12" s="3476" t="s">
        <v>3594</v>
      </c>
      <c r="BR12" s="3476" t="s">
        <v>3594</v>
      </c>
      <c r="BS12" s="3476" t="s">
        <v>3594</v>
      </c>
      <c r="BT12" s="3476" t="s">
        <v>3594</v>
      </c>
      <c r="BU12" s="3476" t="s">
        <v>3594</v>
      </c>
      <c r="BV12" s="3476" t="s">
        <v>3594</v>
      </c>
      <c r="BW12" s="3476" t="s">
        <v>3594</v>
      </c>
      <c r="BX12" s="3476" t="s">
        <v>3594</v>
      </c>
      <c r="BY12" s="3476" t="s">
        <v>3594</v>
      </c>
      <c r="BZ12" s="3476" t="s">
        <v>3594</v>
      </c>
      <c r="CA12" s="3476" t="s">
        <v>3594</v>
      </c>
      <c r="CB12" s="3476" t="s">
        <v>3594</v>
      </c>
      <c r="CC12" s="3476" t="s">
        <v>3594</v>
      </c>
      <c r="CD12" s="3476" t="s">
        <v>3594</v>
      </c>
      <c r="CE12" s="3476" t="s">
        <v>3594</v>
      </c>
      <c r="CF12" s="3476" t="s">
        <v>3594</v>
      </c>
      <c r="CG12" s="3476" t="s">
        <v>3594</v>
      </c>
      <c r="CH12" s="3476" t="s">
        <v>3594</v>
      </c>
      <c r="CI12" s="3476" t="s">
        <v>3594</v>
      </c>
      <c r="CJ12" s="3476" t="s">
        <v>3594</v>
      </c>
      <c r="CK12" s="3476" t="s">
        <v>3594</v>
      </c>
      <c r="CL12" s="3476" t="s">
        <v>3594</v>
      </c>
      <c r="CM12" s="3476" t="s">
        <v>3594</v>
      </c>
      <c r="CN12" s="3476" t="s">
        <v>3594</v>
      </c>
    </row>
    <row r="13" spans="1:92" ht="14.1" customHeight="1">
      <c r="A13" s="3475" t="s">
        <v>3622</v>
      </c>
      <c r="B13" s="3475" t="s">
        <v>3623</v>
      </c>
      <c r="C13" s="3475" t="s">
        <v>3639</v>
      </c>
      <c r="D13" s="3475" t="s">
        <v>3625</v>
      </c>
      <c r="E13" s="3475" t="s">
        <v>3626</v>
      </c>
      <c r="F13" s="3475" t="s">
        <v>3583</v>
      </c>
      <c r="G13" s="3475" t="s">
        <v>3584</v>
      </c>
      <c r="H13" s="3475" t="s">
        <v>3627</v>
      </c>
      <c r="I13" s="3475" t="s">
        <v>3586</v>
      </c>
      <c r="J13" s="3475">
        <v>1763.01</v>
      </c>
      <c r="K13" s="3475" t="s">
        <v>3587</v>
      </c>
      <c r="L13" s="3475" t="s">
        <v>3588</v>
      </c>
      <c r="M13" s="3475">
        <v>5.5752899999999999</v>
      </c>
      <c r="N13" s="3475" t="s">
        <v>3589</v>
      </c>
      <c r="O13" s="3475" t="s">
        <v>3590</v>
      </c>
      <c r="P13" s="3475" t="s">
        <v>3594</v>
      </c>
      <c r="Q13" s="3475" t="s">
        <v>3640</v>
      </c>
      <c r="R13" s="3475" t="s">
        <v>3641</v>
      </c>
      <c r="S13" s="3475" t="s">
        <v>3630</v>
      </c>
      <c r="T13" s="3475" t="s">
        <v>3631</v>
      </c>
      <c r="U13" s="3475" t="s">
        <v>3594</v>
      </c>
      <c r="V13" s="3475" t="s">
        <v>3594</v>
      </c>
      <c r="W13" s="3475" t="s">
        <v>3594</v>
      </c>
      <c r="X13" s="3475" t="s">
        <v>3594</v>
      </c>
      <c r="Y13" s="3475" t="s">
        <v>3594</v>
      </c>
      <c r="Z13" s="3475" t="s">
        <v>3594</v>
      </c>
      <c r="AA13" s="3475" t="s">
        <v>3594</v>
      </c>
      <c r="AB13" s="3475" t="s">
        <v>3594</v>
      </c>
      <c r="AC13" s="3475" t="s">
        <v>3594</v>
      </c>
      <c r="AD13" s="3475" t="s">
        <v>3594</v>
      </c>
      <c r="AE13" s="3475" t="s">
        <v>3594</v>
      </c>
      <c r="AF13" s="3475" t="s">
        <v>3594</v>
      </c>
      <c r="AG13" s="3476" t="s">
        <v>3594</v>
      </c>
      <c r="AH13" s="3476" t="s">
        <v>3594</v>
      </c>
      <c r="AI13" s="3476" t="s">
        <v>3594</v>
      </c>
      <c r="AJ13" s="3476" t="s">
        <v>3594</v>
      </c>
      <c r="AK13" s="3476" t="s">
        <v>3594</v>
      </c>
      <c r="AL13" s="3476" t="s">
        <v>3594</v>
      </c>
      <c r="AM13" s="3476" t="s">
        <v>3594</v>
      </c>
      <c r="AN13" s="3476" t="s">
        <v>3594</v>
      </c>
      <c r="AO13" s="3476" t="s">
        <v>3594</v>
      </c>
      <c r="AP13" s="3476" t="s">
        <v>3594</v>
      </c>
      <c r="AQ13" s="3476" t="s">
        <v>3594</v>
      </c>
      <c r="AR13" s="3476" t="s">
        <v>3594</v>
      </c>
      <c r="AS13" s="3476" t="s">
        <v>3594</v>
      </c>
      <c r="AT13" s="3476" t="s">
        <v>3594</v>
      </c>
      <c r="AU13" s="3476">
        <v>304708.05</v>
      </c>
      <c r="AV13" s="3476">
        <v>294878.76</v>
      </c>
      <c r="AW13" s="3476">
        <v>304708.05</v>
      </c>
      <c r="AX13" s="3476">
        <v>294878.76</v>
      </c>
      <c r="AY13" s="3476">
        <v>304708.05</v>
      </c>
      <c r="AZ13" s="3476">
        <v>304708.05</v>
      </c>
      <c r="BA13" s="3476">
        <v>294878.76</v>
      </c>
      <c r="BB13" s="3476">
        <v>304708.05</v>
      </c>
      <c r="BC13" s="3476">
        <v>294878.76</v>
      </c>
      <c r="BD13" s="3476">
        <v>304708.05</v>
      </c>
      <c r="BE13" s="3476">
        <v>304708.05</v>
      </c>
      <c r="BF13" s="3476">
        <v>275220.18</v>
      </c>
      <c r="BG13" s="3476" t="s">
        <v>3594</v>
      </c>
      <c r="BH13" s="3476" t="s">
        <v>3594</v>
      </c>
      <c r="BI13" s="3476" t="s">
        <v>3594</v>
      </c>
      <c r="BJ13" s="3476" t="s">
        <v>3594</v>
      </c>
      <c r="BK13" s="3476" t="s">
        <v>3594</v>
      </c>
      <c r="BL13" s="3476" t="s">
        <v>3594</v>
      </c>
      <c r="BM13" s="3476" t="s">
        <v>3594</v>
      </c>
      <c r="BN13" s="3476" t="s">
        <v>3594</v>
      </c>
      <c r="BO13" s="3476" t="s">
        <v>3594</v>
      </c>
      <c r="BP13" s="3476" t="s">
        <v>3594</v>
      </c>
      <c r="BQ13" s="3476" t="s">
        <v>3594</v>
      </c>
      <c r="BR13" s="3476" t="s">
        <v>3594</v>
      </c>
      <c r="BS13" s="3476" t="s">
        <v>3594</v>
      </c>
      <c r="BT13" s="3476" t="s">
        <v>3594</v>
      </c>
      <c r="BU13" s="3476" t="s">
        <v>3594</v>
      </c>
      <c r="BV13" s="3476" t="s">
        <v>3594</v>
      </c>
      <c r="BW13" s="3476" t="s">
        <v>3594</v>
      </c>
      <c r="BX13" s="3476" t="s">
        <v>3594</v>
      </c>
      <c r="BY13" s="3476" t="s">
        <v>3594</v>
      </c>
      <c r="BZ13" s="3476" t="s">
        <v>3594</v>
      </c>
      <c r="CA13" s="3476" t="s">
        <v>3594</v>
      </c>
      <c r="CB13" s="3476" t="s">
        <v>3594</v>
      </c>
      <c r="CC13" s="3476" t="s">
        <v>3594</v>
      </c>
      <c r="CD13" s="3476" t="s">
        <v>3594</v>
      </c>
      <c r="CE13" s="3476" t="s">
        <v>3594</v>
      </c>
      <c r="CF13" s="3476" t="s">
        <v>3594</v>
      </c>
      <c r="CG13" s="3476" t="s">
        <v>3594</v>
      </c>
      <c r="CH13" s="3476" t="s">
        <v>3594</v>
      </c>
      <c r="CI13" s="3476" t="s">
        <v>3594</v>
      </c>
      <c r="CJ13" s="3476" t="s">
        <v>3594</v>
      </c>
      <c r="CK13" s="3476" t="s">
        <v>3594</v>
      </c>
      <c r="CL13" s="3476" t="s">
        <v>3594</v>
      </c>
      <c r="CM13" s="3476" t="s">
        <v>3594</v>
      </c>
      <c r="CN13" s="3476" t="s">
        <v>3594</v>
      </c>
    </row>
    <row r="14" spans="1:92" ht="14.1" customHeight="1">
      <c r="A14" s="3475" t="s">
        <v>3622</v>
      </c>
      <c r="B14" s="3475" t="s">
        <v>3623</v>
      </c>
      <c r="C14" s="3475" t="s">
        <v>3642</v>
      </c>
      <c r="D14" s="3475" t="s">
        <v>3625</v>
      </c>
      <c r="E14" s="3475" t="s">
        <v>3626</v>
      </c>
      <c r="F14" s="3475" t="s">
        <v>3583</v>
      </c>
      <c r="G14" s="3475" t="s">
        <v>3584</v>
      </c>
      <c r="H14" s="3475" t="s">
        <v>3627</v>
      </c>
      <c r="I14" s="3475" t="s">
        <v>3586</v>
      </c>
      <c r="J14" s="3475">
        <v>1763.01</v>
      </c>
      <c r="K14" s="3475" t="s">
        <v>3587</v>
      </c>
      <c r="L14" s="3475" t="s">
        <v>3588</v>
      </c>
      <c r="M14" s="3475">
        <v>5.9098199999999999</v>
      </c>
      <c r="N14" s="3475" t="s">
        <v>3589</v>
      </c>
      <c r="O14" s="3475" t="s">
        <v>3590</v>
      </c>
      <c r="P14" s="3475" t="s">
        <v>3594</v>
      </c>
      <c r="Q14" s="3475" t="s">
        <v>3643</v>
      </c>
      <c r="R14" s="3475" t="s">
        <v>3631</v>
      </c>
      <c r="S14" s="3475" t="s">
        <v>3630</v>
      </c>
      <c r="T14" s="3475" t="s">
        <v>3631</v>
      </c>
      <c r="U14" s="3475" t="s">
        <v>3594</v>
      </c>
      <c r="V14" s="3475" t="s">
        <v>3594</v>
      </c>
      <c r="W14" s="3475" t="s">
        <v>3594</v>
      </c>
      <c r="X14" s="3475" t="s">
        <v>3594</v>
      </c>
      <c r="Y14" s="3475" t="s">
        <v>3594</v>
      </c>
      <c r="Z14" s="3475" t="s">
        <v>3594</v>
      </c>
      <c r="AA14" s="3475" t="s">
        <v>3594</v>
      </c>
      <c r="AB14" s="3475" t="s">
        <v>3594</v>
      </c>
      <c r="AC14" s="3475" t="s">
        <v>3594</v>
      </c>
      <c r="AD14" s="3475" t="s">
        <v>3594</v>
      </c>
      <c r="AE14" s="3475" t="s">
        <v>3594</v>
      </c>
      <c r="AF14" s="3475" t="s">
        <v>3594</v>
      </c>
      <c r="AG14" s="3476" t="s">
        <v>3594</v>
      </c>
      <c r="AH14" s="3476" t="s">
        <v>3594</v>
      </c>
      <c r="AI14" s="3476" t="s">
        <v>3594</v>
      </c>
      <c r="AJ14" s="3476" t="s">
        <v>3594</v>
      </c>
      <c r="AK14" s="3476" t="s">
        <v>3594</v>
      </c>
      <c r="AL14" s="3476" t="s">
        <v>3594</v>
      </c>
      <c r="AM14" s="3476" t="s">
        <v>3594</v>
      </c>
      <c r="AN14" s="3476" t="s">
        <v>3594</v>
      </c>
      <c r="AO14" s="3476" t="s">
        <v>3594</v>
      </c>
      <c r="AP14" s="3476" t="s">
        <v>3594</v>
      </c>
      <c r="AQ14" s="3476" t="s">
        <v>3594</v>
      </c>
      <c r="AR14" s="3476" t="s">
        <v>3594</v>
      </c>
      <c r="AS14" s="3476" t="s">
        <v>3594</v>
      </c>
      <c r="AT14" s="3476" t="s">
        <v>3594</v>
      </c>
      <c r="AU14" s="3476" t="s">
        <v>3594</v>
      </c>
      <c r="AV14" s="3476" t="s">
        <v>3594</v>
      </c>
      <c r="AW14" s="3476" t="s">
        <v>3594</v>
      </c>
      <c r="AX14" s="3476" t="s">
        <v>3594</v>
      </c>
      <c r="AY14" s="3476" t="s">
        <v>3594</v>
      </c>
      <c r="AZ14" s="3476" t="s">
        <v>3594</v>
      </c>
      <c r="BA14" s="3476" t="s">
        <v>3594</v>
      </c>
      <c r="BB14" s="3476" t="s">
        <v>3594</v>
      </c>
      <c r="BC14" s="3476" t="s">
        <v>3594</v>
      </c>
      <c r="BD14" s="3476" t="s">
        <v>3594</v>
      </c>
      <c r="BE14" s="3476" t="s">
        <v>3594</v>
      </c>
      <c r="BF14" s="3476" t="s">
        <v>3594</v>
      </c>
      <c r="BG14" s="3476">
        <v>322991.21999999997</v>
      </c>
      <c r="BH14" s="3476">
        <v>312572.15000000002</v>
      </c>
      <c r="BI14" s="3476">
        <v>322991.21999999997</v>
      </c>
      <c r="BJ14" s="3476">
        <v>312572.15000000002</v>
      </c>
      <c r="BK14" s="3476">
        <v>322991.21999999997</v>
      </c>
      <c r="BL14" s="3476">
        <v>322991.21999999997</v>
      </c>
      <c r="BM14" s="3476">
        <v>312572.15000000002</v>
      </c>
      <c r="BN14" s="3476">
        <v>322991.21999999997</v>
      </c>
      <c r="BO14" s="3476">
        <v>312572.15000000002</v>
      </c>
      <c r="BP14" s="3476">
        <v>322991.21999999997</v>
      </c>
      <c r="BQ14" s="3476">
        <v>322991.21999999997</v>
      </c>
      <c r="BR14" s="3476">
        <v>291734.01</v>
      </c>
      <c r="BS14" s="3476" t="s">
        <v>3594</v>
      </c>
      <c r="BT14" s="3476" t="s">
        <v>3594</v>
      </c>
      <c r="BU14" s="3476" t="s">
        <v>3594</v>
      </c>
      <c r="BV14" s="3476" t="s">
        <v>3594</v>
      </c>
      <c r="BW14" s="3476" t="s">
        <v>3594</v>
      </c>
      <c r="BX14" s="3476" t="s">
        <v>3594</v>
      </c>
      <c r="BY14" s="3476" t="s">
        <v>3594</v>
      </c>
      <c r="BZ14" s="3476" t="s">
        <v>3594</v>
      </c>
      <c r="CA14" s="3476" t="s">
        <v>3594</v>
      </c>
      <c r="CB14" s="3476" t="s">
        <v>3594</v>
      </c>
      <c r="CC14" s="3476" t="s">
        <v>3594</v>
      </c>
      <c r="CD14" s="3476" t="s">
        <v>3594</v>
      </c>
      <c r="CE14" s="3476" t="s">
        <v>3594</v>
      </c>
      <c r="CF14" s="3476" t="s">
        <v>3594</v>
      </c>
      <c r="CG14" s="3476" t="s">
        <v>3594</v>
      </c>
      <c r="CH14" s="3476" t="s">
        <v>3594</v>
      </c>
      <c r="CI14" s="3476" t="s">
        <v>3594</v>
      </c>
      <c r="CJ14" s="3476" t="s">
        <v>3594</v>
      </c>
      <c r="CK14" s="3476" t="s">
        <v>3594</v>
      </c>
      <c r="CL14" s="3476" t="s">
        <v>3594</v>
      </c>
      <c r="CM14" s="3476" t="s">
        <v>3594</v>
      </c>
      <c r="CN14" s="3476" t="s">
        <v>3594</v>
      </c>
    </row>
    <row r="15" spans="1:92" ht="14.1" customHeight="1">
      <c r="A15" s="3475" t="s">
        <v>3622</v>
      </c>
      <c r="B15" s="3475" t="s">
        <v>3623</v>
      </c>
      <c r="C15" s="3475" t="s">
        <v>3644</v>
      </c>
      <c r="D15" s="3475" t="s">
        <v>3625</v>
      </c>
      <c r="E15" s="3475" t="s">
        <v>3626</v>
      </c>
      <c r="F15" s="3475" t="s">
        <v>3583</v>
      </c>
      <c r="G15" s="3475" t="s">
        <v>3584</v>
      </c>
      <c r="H15" s="3475" t="s">
        <v>3627</v>
      </c>
      <c r="I15" s="3475" t="s">
        <v>3586</v>
      </c>
      <c r="J15" s="3475">
        <v>1763.01</v>
      </c>
      <c r="K15" s="3475" t="s">
        <v>3596</v>
      </c>
      <c r="L15" s="3475" t="s">
        <v>3597</v>
      </c>
      <c r="M15" s="3475">
        <v>0.169706</v>
      </c>
      <c r="N15" s="3475" t="s">
        <v>3598</v>
      </c>
      <c r="O15" s="3475" t="s">
        <v>3590</v>
      </c>
      <c r="P15" s="3475" t="s">
        <v>3594</v>
      </c>
      <c r="Q15" s="3475" t="s">
        <v>3630</v>
      </c>
      <c r="R15" s="3475" t="s">
        <v>3629</v>
      </c>
      <c r="S15" s="3475" t="s">
        <v>3630</v>
      </c>
      <c r="T15" s="3475" t="s">
        <v>3631</v>
      </c>
      <c r="U15" s="3475">
        <v>9274.99</v>
      </c>
      <c r="V15" s="3475">
        <v>8377.41</v>
      </c>
      <c r="W15" s="3475" t="s">
        <v>3594</v>
      </c>
      <c r="X15" s="3475" t="s">
        <v>3594</v>
      </c>
      <c r="Y15" s="3475" t="s">
        <v>3594</v>
      </c>
      <c r="Z15" s="3475" t="s">
        <v>3594</v>
      </c>
      <c r="AA15" s="3475" t="s">
        <v>3594</v>
      </c>
      <c r="AB15" s="3475" t="s">
        <v>3594</v>
      </c>
      <c r="AC15" s="3475" t="s">
        <v>3594</v>
      </c>
      <c r="AD15" s="3475" t="s">
        <v>3594</v>
      </c>
      <c r="AE15" s="3475" t="s">
        <v>3594</v>
      </c>
      <c r="AF15" s="3475" t="s">
        <v>3594</v>
      </c>
      <c r="AG15" s="3476" t="s">
        <v>3594</v>
      </c>
      <c r="AH15" s="3476" t="s">
        <v>3594</v>
      </c>
      <c r="AI15" s="3476" t="s">
        <v>3594</v>
      </c>
      <c r="AJ15" s="3476" t="s">
        <v>3594</v>
      </c>
      <c r="AK15" s="3476" t="s">
        <v>3594</v>
      </c>
      <c r="AL15" s="3476" t="s">
        <v>3594</v>
      </c>
      <c r="AM15" s="3476" t="s">
        <v>3594</v>
      </c>
      <c r="AN15" s="3476" t="s">
        <v>3594</v>
      </c>
      <c r="AO15" s="3476" t="s">
        <v>3594</v>
      </c>
      <c r="AP15" s="3476" t="s">
        <v>3594</v>
      </c>
      <c r="AQ15" s="3476" t="s">
        <v>3594</v>
      </c>
      <c r="AR15" s="3476" t="s">
        <v>3594</v>
      </c>
      <c r="AS15" s="3476" t="s">
        <v>3594</v>
      </c>
      <c r="AT15" s="3476" t="s">
        <v>3594</v>
      </c>
      <c r="AU15" s="3476" t="s">
        <v>3594</v>
      </c>
      <c r="AV15" s="3476" t="s">
        <v>3594</v>
      </c>
      <c r="AW15" s="3476" t="s">
        <v>3594</v>
      </c>
      <c r="AX15" s="3476" t="s">
        <v>3594</v>
      </c>
      <c r="AY15" s="3476" t="s">
        <v>3594</v>
      </c>
      <c r="AZ15" s="3476" t="s">
        <v>3594</v>
      </c>
      <c r="BA15" s="3476" t="s">
        <v>3594</v>
      </c>
      <c r="BB15" s="3476" t="s">
        <v>3594</v>
      </c>
      <c r="BC15" s="3476" t="s">
        <v>3594</v>
      </c>
      <c r="BD15" s="3476" t="s">
        <v>3594</v>
      </c>
      <c r="BE15" s="3476" t="s">
        <v>3594</v>
      </c>
      <c r="BF15" s="3476" t="s">
        <v>3594</v>
      </c>
      <c r="BG15" s="3476" t="s">
        <v>3594</v>
      </c>
      <c r="BH15" s="3476" t="s">
        <v>3594</v>
      </c>
      <c r="BI15" s="3476" t="s">
        <v>3594</v>
      </c>
      <c r="BJ15" s="3476" t="s">
        <v>3594</v>
      </c>
      <c r="BK15" s="3476" t="s">
        <v>3594</v>
      </c>
      <c r="BL15" s="3476" t="s">
        <v>3594</v>
      </c>
      <c r="BM15" s="3476" t="s">
        <v>3594</v>
      </c>
      <c r="BN15" s="3476" t="s">
        <v>3594</v>
      </c>
      <c r="BO15" s="3476" t="s">
        <v>3594</v>
      </c>
      <c r="BP15" s="3476" t="s">
        <v>3594</v>
      </c>
      <c r="BQ15" s="3476" t="s">
        <v>3594</v>
      </c>
      <c r="BR15" s="3476" t="s">
        <v>3594</v>
      </c>
      <c r="BS15" s="3476" t="s">
        <v>3594</v>
      </c>
      <c r="BT15" s="3476" t="s">
        <v>3594</v>
      </c>
      <c r="BU15" s="3476" t="s">
        <v>3594</v>
      </c>
      <c r="BV15" s="3476" t="s">
        <v>3594</v>
      </c>
      <c r="BW15" s="3476" t="s">
        <v>3594</v>
      </c>
      <c r="BX15" s="3476" t="s">
        <v>3594</v>
      </c>
      <c r="BY15" s="3476" t="s">
        <v>3594</v>
      </c>
      <c r="BZ15" s="3476" t="s">
        <v>3594</v>
      </c>
      <c r="CA15" s="3476" t="s">
        <v>3594</v>
      </c>
      <c r="CB15" s="3476" t="s">
        <v>3594</v>
      </c>
      <c r="CC15" s="3476" t="s">
        <v>3594</v>
      </c>
      <c r="CD15" s="3476" t="s">
        <v>3594</v>
      </c>
      <c r="CE15" s="3476" t="s">
        <v>3594</v>
      </c>
      <c r="CF15" s="3476" t="s">
        <v>3594</v>
      </c>
      <c r="CG15" s="3476" t="s">
        <v>3594</v>
      </c>
      <c r="CH15" s="3476" t="s">
        <v>3594</v>
      </c>
      <c r="CI15" s="3476" t="s">
        <v>3594</v>
      </c>
      <c r="CJ15" s="3476" t="s">
        <v>3594</v>
      </c>
      <c r="CK15" s="3476" t="s">
        <v>3594</v>
      </c>
      <c r="CL15" s="3476" t="s">
        <v>3594</v>
      </c>
      <c r="CM15" s="3476" t="s">
        <v>3594</v>
      </c>
      <c r="CN15" s="3476" t="s">
        <v>3594</v>
      </c>
    </row>
    <row r="16" spans="1:92" ht="14.1" customHeight="1">
      <c r="A16" s="3475" t="s">
        <v>3622</v>
      </c>
      <c r="B16" s="3475" t="s">
        <v>3623</v>
      </c>
      <c r="C16" s="3475" t="s">
        <v>3645</v>
      </c>
      <c r="D16" s="3475" t="s">
        <v>3625</v>
      </c>
      <c r="E16" s="3475" t="s">
        <v>3626</v>
      </c>
      <c r="F16" s="3475" t="s">
        <v>3583</v>
      </c>
      <c r="G16" s="3475" t="s">
        <v>3584</v>
      </c>
      <c r="H16" s="3475" t="s">
        <v>3627</v>
      </c>
      <c r="I16" s="3475" t="s">
        <v>3586</v>
      </c>
      <c r="J16" s="3475">
        <v>1763.01</v>
      </c>
      <c r="K16" s="3475" t="s">
        <v>3596</v>
      </c>
      <c r="L16" s="3475" t="s">
        <v>3597</v>
      </c>
      <c r="M16" s="3475">
        <v>0.17988199999999999</v>
      </c>
      <c r="N16" s="3475" t="s">
        <v>3598</v>
      </c>
      <c r="O16" s="3475" t="s">
        <v>3590</v>
      </c>
      <c r="P16" s="3475" t="s">
        <v>3594</v>
      </c>
      <c r="Q16" s="3475" t="s">
        <v>3634</v>
      </c>
      <c r="R16" s="3475" t="s">
        <v>3635</v>
      </c>
      <c r="S16" s="3475" t="s">
        <v>3630</v>
      </c>
      <c r="T16" s="3475" t="s">
        <v>3631</v>
      </c>
      <c r="U16" s="3475" t="s">
        <v>3594</v>
      </c>
      <c r="V16" s="3475" t="s">
        <v>3594</v>
      </c>
      <c r="W16" s="3475">
        <v>9831.15</v>
      </c>
      <c r="X16" s="3475">
        <v>9514.01</v>
      </c>
      <c r="Y16" s="3475">
        <v>9831.15</v>
      </c>
      <c r="Z16" s="3475">
        <v>9514.01</v>
      </c>
      <c r="AA16" s="3475">
        <v>9831.15</v>
      </c>
      <c r="AB16" s="3475">
        <v>9831.15</v>
      </c>
      <c r="AC16" s="3475">
        <v>9514.01</v>
      </c>
      <c r="AD16" s="3475">
        <v>9831.15</v>
      </c>
      <c r="AE16" s="3475">
        <v>9514.01</v>
      </c>
      <c r="AF16" s="3475">
        <v>9831.15</v>
      </c>
      <c r="AG16" s="3476">
        <v>9831.15</v>
      </c>
      <c r="AH16" s="3476">
        <v>9196.8799999999992</v>
      </c>
      <c r="AI16" s="3476" t="s">
        <v>3594</v>
      </c>
      <c r="AJ16" s="3476" t="s">
        <v>3594</v>
      </c>
      <c r="AK16" s="3476" t="s">
        <v>3594</v>
      </c>
      <c r="AL16" s="3476" t="s">
        <v>3594</v>
      </c>
      <c r="AM16" s="3476" t="s">
        <v>3594</v>
      </c>
      <c r="AN16" s="3476" t="s">
        <v>3594</v>
      </c>
      <c r="AO16" s="3476" t="s">
        <v>3594</v>
      </c>
      <c r="AP16" s="3476" t="s">
        <v>3594</v>
      </c>
      <c r="AQ16" s="3476" t="s">
        <v>3594</v>
      </c>
      <c r="AR16" s="3476" t="s">
        <v>3594</v>
      </c>
      <c r="AS16" s="3476" t="s">
        <v>3594</v>
      </c>
      <c r="AT16" s="3476" t="s">
        <v>3594</v>
      </c>
      <c r="AU16" s="3476" t="s">
        <v>3594</v>
      </c>
      <c r="AV16" s="3476" t="s">
        <v>3594</v>
      </c>
      <c r="AW16" s="3476" t="s">
        <v>3594</v>
      </c>
      <c r="AX16" s="3476" t="s">
        <v>3594</v>
      </c>
      <c r="AY16" s="3476" t="s">
        <v>3594</v>
      </c>
      <c r="AZ16" s="3476" t="s">
        <v>3594</v>
      </c>
      <c r="BA16" s="3476" t="s">
        <v>3594</v>
      </c>
      <c r="BB16" s="3476" t="s">
        <v>3594</v>
      </c>
      <c r="BC16" s="3476" t="s">
        <v>3594</v>
      </c>
      <c r="BD16" s="3476" t="s">
        <v>3594</v>
      </c>
      <c r="BE16" s="3476" t="s">
        <v>3594</v>
      </c>
      <c r="BF16" s="3476" t="s">
        <v>3594</v>
      </c>
      <c r="BG16" s="3476" t="s">
        <v>3594</v>
      </c>
      <c r="BH16" s="3476" t="s">
        <v>3594</v>
      </c>
      <c r="BI16" s="3476" t="s">
        <v>3594</v>
      </c>
      <c r="BJ16" s="3476" t="s">
        <v>3594</v>
      </c>
      <c r="BK16" s="3476" t="s">
        <v>3594</v>
      </c>
      <c r="BL16" s="3476" t="s">
        <v>3594</v>
      </c>
      <c r="BM16" s="3476" t="s">
        <v>3594</v>
      </c>
      <c r="BN16" s="3476" t="s">
        <v>3594</v>
      </c>
      <c r="BO16" s="3476" t="s">
        <v>3594</v>
      </c>
      <c r="BP16" s="3476" t="s">
        <v>3594</v>
      </c>
      <c r="BQ16" s="3476" t="s">
        <v>3594</v>
      </c>
      <c r="BR16" s="3476" t="s">
        <v>3594</v>
      </c>
      <c r="BS16" s="3476" t="s">
        <v>3594</v>
      </c>
      <c r="BT16" s="3476" t="s">
        <v>3594</v>
      </c>
      <c r="BU16" s="3476" t="s">
        <v>3594</v>
      </c>
      <c r="BV16" s="3476" t="s">
        <v>3594</v>
      </c>
      <c r="BW16" s="3476" t="s">
        <v>3594</v>
      </c>
      <c r="BX16" s="3476" t="s">
        <v>3594</v>
      </c>
      <c r="BY16" s="3476" t="s">
        <v>3594</v>
      </c>
      <c r="BZ16" s="3476" t="s">
        <v>3594</v>
      </c>
      <c r="CA16" s="3476" t="s">
        <v>3594</v>
      </c>
      <c r="CB16" s="3476" t="s">
        <v>3594</v>
      </c>
      <c r="CC16" s="3476" t="s">
        <v>3594</v>
      </c>
      <c r="CD16" s="3476" t="s">
        <v>3594</v>
      </c>
      <c r="CE16" s="3476" t="s">
        <v>3594</v>
      </c>
      <c r="CF16" s="3476" t="s">
        <v>3594</v>
      </c>
      <c r="CG16" s="3476" t="s">
        <v>3594</v>
      </c>
      <c r="CH16" s="3476" t="s">
        <v>3594</v>
      </c>
      <c r="CI16" s="3476" t="s">
        <v>3594</v>
      </c>
      <c r="CJ16" s="3476" t="s">
        <v>3594</v>
      </c>
      <c r="CK16" s="3476" t="s">
        <v>3594</v>
      </c>
      <c r="CL16" s="3476" t="s">
        <v>3594</v>
      </c>
      <c r="CM16" s="3476" t="s">
        <v>3594</v>
      </c>
      <c r="CN16" s="3476" t="s">
        <v>3594</v>
      </c>
    </row>
    <row r="17" spans="1:92" ht="14.1" customHeight="1">
      <c r="A17" s="3475" t="s">
        <v>3622</v>
      </c>
      <c r="B17" s="3475" t="s">
        <v>3623</v>
      </c>
      <c r="C17" s="3475" t="s">
        <v>3646</v>
      </c>
      <c r="D17" s="3475" t="s">
        <v>3625</v>
      </c>
      <c r="E17" s="3475" t="s">
        <v>3626</v>
      </c>
      <c r="F17" s="3475" t="s">
        <v>3583</v>
      </c>
      <c r="G17" s="3475" t="s">
        <v>3584</v>
      </c>
      <c r="H17" s="3475" t="s">
        <v>3627</v>
      </c>
      <c r="I17" s="3475" t="s">
        <v>3586</v>
      </c>
      <c r="J17" s="3475">
        <v>1763.01</v>
      </c>
      <c r="K17" s="3475" t="s">
        <v>3596</v>
      </c>
      <c r="L17" s="3475" t="s">
        <v>3597</v>
      </c>
      <c r="M17" s="3475">
        <v>0.190694</v>
      </c>
      <c r="N17" s="3475" t="s">
        <v>3598</v>
      </c>
      <c r="O17" s="3475" t="s">
        <v>3590</v>
      </c>
      <c r="P17" s="3475" t="s">
        <v>3594</v>
      </c>
      <c r="Q17" s="3475" t="s">
        <v>3637</v>
      </c>
      <c r="R17" s="3475" t="s">
        <v>3638</v>
      </c>
      <c r="S17" s="3475" t="s">
        <v>3630</v>
      </c>
      <c r="T17" s="3475" t="s">
        <v>3631</v>
      </c>
      <c r="U17" s="3475" t="s">
        <v>3594</v>
      </c>
      <c r="V17" s="3475" t="s">
        <v>3594</v>
      </c>
      <c r="W17" s="3475" t="s">
        <v>3594</v>
      </c>
      <c r="X17" s="3475" t="s">
        <v>3594</v>
      </c>
      <c r="Y17" s="3475" t="s">
        <v>3594</v>
      </c>
      <c r="Z17" s="3475" t="s">
        <v>3594</v>
      </c>
      <c r="AA17" s="3475" t="s">
        <v>3594</v>
      </c>
      <c r="AB17" s="3475" t="s">
        <v>3594</v>
      </c>
      <c r="AC17" s="3475" t="s">
        <v>3594</v>
      </c>
      <c r="AD17" s="3475" t="s">
        <v>3594</v>
      </c>
      <c r="AE17" s="3475" t="s">
        <v>3594</v>
      </c>
      <c r="AF17" s="3475" t="s">
        <v>3594</v>
      </c>
      <c r="AG17" s="3476" t="s">
        <v>3594</v>
      </c>
      <c r="AH17" s="3476" t="s">
        <v>3594</v>
      </c>
      <c r="AI17" s="3476">
        <v>10422.06</v>
      </c>
      <c r="AJ17" s="3476">
        <v>10085.86</v>
      </c>
      <c r="AK17" s="3476">
        <v>10422.06</v>
      </c>
      <c r="AL17" s="3476">
        <v>10085.86</v>
      </c>
      <c r="AM17" s="3476">
        <v>10422.06</v>
      </c>
      <c r="AN17" s="3476">
        <v>10422.06</v>
      </c>
      <c r="AO17" s="3476">
        <v>10085.86</v>
      </c>
      <c r="AP17" s="3476">
        <v>10422.06</v>
      </c>
      <c r="AQ17" s="3476">
        <v>10085.86</v>
      </c>
      <c r="AR17" s="3476">
        <v>10422.06</v>
      </c>
      <c r="AS17" s="3476">
        <v>10422.06</v>
      </c>
      <c r="AT17" s="3476">
        <v>9413.4699999999993</v>
      </c>
      <c r="AU17" s="3476" t="s">
        <v>3594</v>
      </c>
      <c r="AV17" s="3476" t="s">
        <v>3594</v>
      </c>
      <c r="AW17" s="3476" t="s">
        <v>3594</v>
      </c>
      <c r="AX17" s="3476" t="s">
        <v>3594</v>
      </c>
      <c r="AY17" s="3476" t="s">
        <v>3594</v>
      </c>
      <c r="AZ17" s="3476" t="s">
        <v>3594</v>
      </c>
      <c r="BA17" s="3476" t="s">
        <v>3594</v>
      </c>
      <c r="BB17" s="3476" t="s">
        <v>3594</v>
      </c>
      <c r="BC17" s="3476" t="s">
        <v>3594</v>
      </c>
      <c r="BD17" s="3476" t="s">
        <v>3594</v>
      </c>
      <c r="BE17" s="3476" t="s">
        <v>3594</v>
      </c>
      <c r="BF17" s="3476" t="s">
        <v>3594</v>
      </c>
      <c r="BG17" s="3476" t="s">
        <v>3594</v>
      </c>
      <c r="BH17" s="3476" t="s">
        <v>3594</v>
      </c>
      <c r="BI17" s="3476" t="s">
        <v>3594</v>
      </c>
      <c r="BJ17" s="3476" t="s">
        <v>3594</v>
      </c>
      <c r="BK17" s="3476" t="s">
        <v>3594</v>
      </c>
      <c r="BL17" s="3476" t="s">
        <v>3594</v>
      </c>
      <c r="BM17" s="3476" t="s">
        <v>3594</v>
      </c>
      <c r="BN17" s="3476" t="s">
        <v>3594</v>
      </c>
      <c r="BO17" s="3476" t="s">
        <v>3594</v>
      </c>
      <c r="BP17" s="3476" t="s">
        <v>3594</v>
      </c>
      <c r="BQ17" s="3476" t="s">
        <v>3594</v>
      </c>
      <c r="BR17" s="3476" t="s">
        <v>3594</v>
      </c>
      <c r="BS17" s="3476" t="s">
        <v>3594</v>
      </c>
      <c r="BT17" s="3476" t="s">
        <v>3594</v>
      </c>
      <c r="BU17" s="3476" t="s">
        <v>3594</v>
      </c>
      <c r="BV17" s="3476" t="s">
        <v>3594</v>
      </c>
      <c r="BW17" s="3476" t="s">
        <v>3594</v>
      </c>
      <c r="BX17" s="3476" t="s">
        <v>3594</v>
      </c>
      <c r="BY17" s="3476" t="s">
        <v>3594</v>
      </c>
      <c r="BZ17" s="3476" t="s">
        <v>3594</v>
      </c>
      <c r="CA17" s="3476" t="s">
        <v>3594</v>
      </c>
      <c r="CB17" s="3476" t="s">
        <v>3594</v>
      </c>
      <c r="CC17" s="3476" t="s">
        <v>3594</v>
      </c>
      <c r="CD17" s="3476" t="s">
        <v>3594</v>
      </c>
      <c r="CE17" s="3476" t="s">
        <v>3594</v>
      </c>
      <c r="CF17" s="3476" t="s">
        <v>3594</v>
      </c>
      <c r="CG17" s="3476" t="s">
        <v>3594</v>
      </c>
      <c r="CH17" s="3476" t="s">
        <v>3594</v>
      </c>
      <c r="CI17" s="3476" t="s">
        <v>3594</v>
      </c>
      <c r="CJ17" s="3476" t="s">
        <v>3594</v>
      </c>
      <c r="CK17" s="3476" t="s">
        <v>3594</v>
      </c>
      <c r="CL17" s="3476" t="s">
        <v>3594</v>
      </c>
      <c r="CM17" s="3476" t="s">
        <v>3594</v>
      </c>
      <c r="CN17" s="3476" t="s">
        <v>3594</v>
      </c>
    </row>
    <row r="18" spans="1:92" ht="14.1" customHeight="1">
      <c r="A18" s="3475" t="s">
        <v>3622</v>
      </c>
      <c r="B18" s="3475" t="s">
        <v>3623</v>
      </c>
      <c r="C18" s="3475" t="s">
        <v>3647</v>
      </c>
      <c r="D18" s="3475" t="s">
        <v>3625</v>
      </c>
      <c r="E18" s="3475" t="s">
        <v>3626</v>
      </c>
      <c r="F18" s="3475" t="s">
        <v>3583</v>
      </c>
      <c r="G18" s="3475" t="s">
        <v>3584</v>
      </c>
      <c r="H18" s="3475" t="s">
        <v>3627</v>
      </c>
      <c r="I18" s="3475" t="s">
        <v>3586</v>
      </c>
      <c r="J18" s="3475">
        <v>1763.01</v>
      </c>
      <c r="K18" s="3475" t="s">
        <v>3596</v>
      </c>
      <c r="L18" s="3475" t="s">
        <v>3597</v>
      </c>
      <c r="M18" s="3475">
        <v>0.20214199999999999</v>
      </c>
      <c r="N18" s="3475" t="s">
        <v>3598</v>
      </c>
      <c r="O18" s="3475" t="s">
        <v>3590</v>
      </c>
      <c r="P18" s="3475" t="s">
        <v>3594</v>
      </c>
      <c r="Q18" s="3475" t="s">
        <v>3640</v>
      </c>
      <c r="R18" s="3475" t="s">
        <v>3641</v>
      </c>
      <c r="S18" s="3475" t="s">
        <v>3630</v>
      </c>
      <c r="T18" s="3475" t="s">
        <v>3631</v>
      </c>
      <c r="U18" s="3475" t="s">
        <v>3594</v>
      </c>
      <c r="V18" s="3475" t="s">
        <v>3594</v>
      </c>
      <c r="W18" s="3475" t="s">
        <v>3594</v>
      </c>
      <c r="X18" s="3475" t="s">
        <v>3594</v>
      </c>
      <c r="Y18" s="3475" t="s">
        <v>3594</v>
      </c>
      <c r="Z18" s="3475" t="s">
        <v>3594</v>
      </c>
      <c r="AA18" s="3475" t="s">
        <v>3594</v>
      </c>
      <c r="AB18" s="3475" t="s">
        <v>3594</v>
      </c>
      <c r="AC18" s="3475" t="s">
        <v>3594</v>
      </c>
      <c r="AD18" s="3475" t="s">
        <v>3594</v>
      </c>
      <c r="AE18" s="3475" t="s">
        <v>3594</v>
      </c>
      <c r="AF18" s="3475" t="s">
        <v>3594</v>
      </c>
      <c r="AG18" s="3476" t="s">
        <v>3594</v>
      </c>
      <c r="AH18" s="3476" t="s">
        <v>3594</v>
      </c>
      <c r="AI18" s="3476" t="s">
        <v>3594</v>
      </c>
      <c r="AJ18" s="3476" t="s">
        <v>3594</v>
      </c>
      <c r="AK18" s="3476" t="s">
        <v>3594</v>
      </c>
      <c r="AL18" s="3476" t="s">
        <v>3594</v>
      </c>
      <c r="AM18" s="3476" t="s">
        <v>3594</v>
      </c>
      <c r="AN18" s="3476" t="s">
        <v>3594</v>
      </c>
      <c r="AO18" s="3476" t="s">
        <v>3594</v>
      </c>
      <c r="AP18" s="3476" t="s">
        <v>3594</v>
      </c>
      <c r="AQ18" s="3476" t="s">
        <v>3594</v>
      </c>
      <c r="AR18" s="3476" t="s">
        <v>3594</v>
      </c>
      <c r="AS18" s="3476" t="s">
        <v>3594</v>
      </c>
      <c r="AT18" s="3476" t="s">
        <v>3594</v>
      </c>
      <c r="AU18" s="3476">
        <v>11047.73</v>
      </c>
      <c r="AV18" s="3476">
        <v>10691.35</v>
      </c>
      <c r="AW18" s="3476">
        <v>11047.73</v>
      </c>
      <c r="AX18" s="3476">
        <v>10691.35</v>
      </c>
      <c r="AY18" s="3476">
        <v>11047.73</v>
      </c>
      <c r="AZ18" s="3476">
        <v>11047.73</v>
      </c>
      <c r="BA18" s="3476">
        <v>10691.35</v>
      </c>
      <c r="BB18" s="3476">
        <v>11047.73</v>
      </c>
      <c r="BC18" s="3476">
        <v>10691.35</v>
      </c>
      <c r="BD18" s="3476">
        <v>11047.73</v>
      </c>
      <c r="BE18" s="3476">
        <v>11047.73</v>
      </c>
      <c r="BF18" s="3476">
        <v>9978.59</v>
      </c>
      <c r="BG18" s="3476" t="s">
        <v>3594</v>
      </c>
      <c r="BH18" s="3476" t="s">
        <v>3594</v>
      </c>
      <c r="BI18" s="3476" t="s">
        <v>3594</v>
      </c>
      <c r="BJ18" s="3476" t="s">
        <v>3594</v>
      </c>
      <c r="BK18" s="3476" t="s">
        <v>3594</v>
      </c>
      <c r="BL18" s="3476" t="s">
        <v>3594</v>
      </c>
      <c r="BM18" s="3476" t="s">
        <v>3594</v>
      </c>
      <c r="BN18" s="3476" t="s">
        <v>3594</v>
      </c>
      <c r="BO18" s="3476" t="s">
        <v>3594</v>
      </c>
      <c r="BP18" s="3476" t="s">
        <v>3594</v>
      </c>
      <c r="BQ18" s="3476" t="s">
        <v>3594</v>
      </c>
      <c r="BR18" s="3476" t="s">
        <v>3594</v>
      </c>
      <c r="BS18" s="3476" t="s">
        <v>3594</v>
      </c>
      <c r="BT18" s="3476" t="s">
        <v>3594</v>
      </c>
      <c r="BU18" s="3476" t="s">
        <v>3594</v>
      </c>
      <c r="BV18" s="3476" t="s">
        <v>3594</v>
      </c>
      <c r="BW18" s="3476" t="s">
        <v>3594</v>
      </c>
      <c r="BX18" s="3476" t="s">
        <v>3594</v>
      </c>
      <c r="BY18" s="3476" t="s">
        <v>3594</v>
      </c>
      <c r="BZ18" s="3476" t="s">
        <v>3594</v>
      </c>
      <c r="CA18" s="3476" t="s">
        <v>3594</v>
      </c>
      <c r="CB18" s="3476" t="s">
        <v>3594</v>
      </c>
      <c r="CC18" s="3476" t="s">
        <v>3594</v>
      </c>
      <c r="CD18" s="3476" t="s">
        <v>3594</v>
      </c>
      <c r="CE18" s="3476" t="s">
        <v>3594</v>
      </c>
      <c r="CF18" s="3476" t="s">
        <v>3594</v>
      </c>
      <c r="CG18" s="3476" t="s">
        <v>3594</v>
      </c>
      <c r="CH18" s="3476" t="s">
        <v>3594</v>
      </c>
      <c r="CI18" s="3476" t="s">
        <v>3594</v>
      </c>
      <c r="CJ18" s="3476" t="s">
        <v>3594</v>
      </c>
      <c r="CK18" s="3476" t="s">
        <v>3594</v>
      </c>
      <c r="CL18" s="3476" t="s">
        <v>3594</v>
      </c>
      <c r="CM18" s="3476" t="s">
        <v>3594</v>
      </c>
      <c r="CN18" s="3476" t="s">
        <v>3594</v>
      </c>
    </row>
    <row r="19" spans="1:92" ht="14.1" customHeight="1">
      <c r="A19" s="3475" t="s">
        <v>3622</v>
      </c>
      <c r="B19" s="3475" t="s">
        <v>3623</v>
      </c>
      <c r="C19" s="3475" t="s">
        <v>3648</v>
      </c>
      <c r="D19" s="3475" t="s">
        <v>3625</v>
      </c>
      <c r="E19" s="3475" t="s">
        <v>3626</v>
      </c>
      <c r="F19" s="3475" t="s">
        <v>3583</v>
      </c>
      <c r="G19" s="3475" t="s">
        <v>3584</v>
      </c>
      <c r="H19" s="3475" t="s">
        <v>3627</v>
      </c>
      <c r="I19" s="3475" t="s">
        <v>3586</v>
      </c>
      <c r="J19" s="3475">
        <v>1763.01</v>
      </c>
      <c r="K19" s="3475" t="s">
        <v>3596</v>
      </c>
      <c r="L19" s="3475" t="s">
        <v>3597</v>
      </c>
      <c r="M19" s="3475">
        <v>0.214226</v>
      </c>
      <c r="N19" s="3475" t="s">
        <v>3598</v>
      </c>
      <c r="O19" s="3475" t="s">
        <v>3590</v>
      </c>
      <c r="P19" s="3475" t="s">
        <v>3594</v>
      </c>
      <c r="Q19" s="3475" t="s">
        <v>3643</v>
      </c>
      <c r="R19" s="3475" t="s">
        <v>3631</v>
      </c>
      <c r="S19" s="3475" t="s">
        <v>3630</v>
      </c>
      <c r="T19" s="3475" t="s">
        <v>3631</v>
      </c>
      <c r="U19" s="3475" t="s">
        <v>3594</v>
      </c>
      <c r="V19" s="3475" t="s">
        <v>3594</v>
      </c>
      <c r="W19" s="3475" t="s">
        <v>3594</v>
      </c>
      <c r="X19" s="3475" t="s">
        <v>3594</v>
      </c>
      <c r="Y19" s="3475" t="s">
        <v>3594</v>
      </c>
      <c r="Z19" s="3475" t="s">
        <v>3594</v>
      </c>
      <c r="AA19" s="3475" t="s">
        <v>3594</v>
      </c>
      <c r="AB19" s="3475" t="s">
        <v>3594</v>
      </c>
      <c r="AC19" s="3475" t="s">
        <v>3594</v>
      </c>
      <c r="AD19" s="3475" t="s">
        <v>3594</v>
      </c>
      <c r="AE19" s="3475" t="s">
        <v>3594</v>
      </c>
      <c r="AF19" s="3475" t="s">
        <v>3594</v>
      </c>
      <c r="AG19" s="3476" t="s">
        <v>3594</v>
      </c>
      <c r="AH19" s="3476" t="s">
        <v>3594</v>
      </c>
      <c r="AI19" s="3476" t="s">
        <v>3594</v>
      </c>
      <c r="AJ19" s="3476" t="s">
        <v>3594</v>
      </c>
      <c r="AK19" s="3476" t="s">
        <v>3594</v>
      </c>
      <c r="AL19" s="3476" t="s">
        <v>3594</v>
      </c>
      <c r="AM19" s="3476" t="s">
        <v>3594</v>
      </c>
      <c r="AN19" s="3476" t="s">
        <v>3594</v>
      </c>
      <c r="AO19" s="3476" t="s">
        <v>3594</v>
      </c>
      <c r="AP19" s="3476" t="s">
        <v>3594</v>
      </c>
      <c r="AQ19" s="3476" t="s">
        <v>3594</v>
      </c>
      <c r="AR19" s="3476" t="s">
        <v>3594</v>
      </c>
      <c r="AS19" s="3476" t="s">
        <v>3594</v>
      </c>
      <c r="AT19" s="3476" t="s">
        <v>3594</v>
      </c>
      <c r="AU19" s="3476" t="s">
        <v>3594</v>
      </c>
      <c r="AV19" s="3476" t="s">
        <v>3594</v>
      </c>
      <c r="AW19" s="3476" t="s">
        <v>3594</v>
      </c>
      <c r="AX19" s="3476" t="s">
        <v>3594</v>
      </c>
      <c r="AY19" s="3476" t="s">
        <v>3594</v>
      </c>
      <c r="AZ19" s="3476" t="s">
        <v>3594</v>
      </c>
      <c r="BA19" s="3476" t="s">
        <v>3594</v>
      </c>
      <c r="BB19" s="3476" t="s">
        <v>3594</v>
      </c>
      <c r="BC19" s="3476" t="s">
        <v>3594</v>
      </c>
      <c r="BD19" s="3476" t="s">
        <v>3594</v>
      </c>
      <c r="BE19" s="3476" t="s">
        <v>3594</v>
      </c>
      <c r="BF19" s="3476" t="s">
        <v>3594</v>
      </c>
      <c r="BG19" s="3476">
        <v>11708.16</v>
      </c>
      <c r="BH19" s="3476">
        <v>11330.48</v>
      </c>
      <c r="BI19" s="3476">
        <v>11708.16</v>
      </c>
      <c r="BJ19" s="3476">
        <v>11330.48</v>
      </c>
      <c r="BK19" s="3476">
        <v>11708.16</v>
      </c>
      <c r="BL19" s="3476">
        <v>11708.16</v>
      </c>
      <c r="BM19" s="3476">
        <v>11330.48</v>
      </c>
      <c r="BN19" s="3476">
        <v>11708.16</v>
      </c>
      <c r="BO19" s="3476">
        <v>11330.48</v>
      </c>
      <c r="BP19" s="3476">
        <v>11708.16</v>
      </c>
      <c r="BQ19" s="3476">
        <v>11708.16</v>
      </c>
      <c r="BR19" s="3476">
        <v>10575.11</v>
      </c>
      <c r="BS19" s="3476" t="s">
        <v>3594</v>
      </c>
      <c r="BT19" s="3476" t="s">
        <v>3594</v>
      </c>
      <c r="BU19" s="3476" t="s">
        <v>3594</v>
      </c>
      <c r="BV19" s="3476" t="s">
        <v>3594</v>
      </c>
      <c r="BW19" s="3476" t="s">
        <v>3594</v>
      </c>
      <c r="BX19" s="3476" t="s">
        <v>3594</v>
      </c>
      <c r="BY19" s="3476" t="s">
        <v>3594</v>
      </c>
      <c r="BZ19" s="3476" t="s">
        <v>3594</v>
      </c>
      <c r="CA19" s="3476" t="s">
        <v>3594</v>
      </c>
      <c r="CB19" s="3476" t="s">
        <v>3594</v>
      </c>
      <c r="CC19" s="3476" t="s">
        <v>3594</v>
      </c>
      <c r="CD19" s="3476" t="s">
        <v>3594</v>
      </c>
      <c r="CE19" s="3476" t="s">
        <v>3594</v>
      </c>
      <c r="CF19" s="3476" t="s">
        <v>3594</v>
      </c>
      <c r="CG19" s="3476" t="s">
        <v>3594</v>
      </c>
      <c r="CH19" s="3476" t="s">
        <v>3594</v>
      </c>
      <c r="CI19" s="3476" t="s">
        <v>3594</v>
      </c>
      <c r="CJ19" s="3476" t="s">
        <v>3594</v>
      </c>
      <c r="CK19" s="3476" t="s">
        <v>3594</v>
      </c>
      <c r="CL19" s="3476" t="s">
        <v>3594</v>
      </c>
      <c r="CM19" s="3476" t="s">
        <v>3594</v>
      </c>
      <c r="CN19" s="3476" t="s">
        <v>3594</v>
      </c>
    </row>
    <row r="20" spans="1:92" ht="14.1" customHeight="1">
      <c r="A20" s="3475" t="s">
        <v>3622</v>
      </c>
      <c r="B20" s="3475" t="s">
        <v>3623</v>
      </c>
      <c r="C20" s="3475" t="s">
        <v>3649</v>
      </c>
      <c r="D20" s="3475" t="s">
        <v>3625</v>
      </c>
      <c r="E20" s="3475" t="s">
        <v>3626</v>
      </c>
      <c r="F20" s="3475" t="s">
        <v>3583</v>
      </c>
      <c r="G20" s="3475" t="s">
        <v>3584</v>
      </c>
      <c r="H20" s="3475" t="s">
        <v>3650</v>
      </c>
      <c r="I20" s="3475" t="s">
        <v>3586</v>
      </c>
      <c r="J20" s="3475">
        <v>406.82</v>
      </c>
      <c r="K20" s="3475" t="s">
        <v>3601</v>
      </c>
      <c r="L20" s="3475" t="s">
        <v>3602</v>
      </c>
      <c r="M20" s="3475">
        <v>6.1649700000000003</v>
      </c>
      <c r="N20" s="3475" t="s">
        <v>3589</v>
      </c>
      <c r="O20" s="3475" t="s">
        <v>3590</v>
      </c>
      <c r="P20" s="3475" t="s">
        <v>3594</v>
      </c>
      <c r="Q20" s="3475" t="s">
        <v>3628</v>
      </c>
      <c r="R20" s="3475" t="s">
        <v>3629</v>
      </c>
      <c r="S20" s="3475" t="s">
        <v>3630</v>
      </c>
      <c r="T20" s="3475" t="s">
        <v>3631</v>
      </c>
      <c r="U20" s="3475">
        <v>77749.03</v>
      </c>
      <c r="V20" s="3475">
        <v>70224.929999999993</v>
      </c>
      <c r="W20" s="3475" t="s">
        <v>3594</v>
      </c>
      <c r="X20" s="3475" t="s">
        <v>3594</v>
      </c>
      <c r="Y20" s="3475" t="s">
        <v>3594</v>
      </c>
      <c r="Z20" s="3475" t="s">
        <v>3594</v>
      </c>
      <c r="AA20" s="3475" t="s">
        <v>3594</v>
      </c>
      <c r="AB20" s="3475" t="s">
        <v>3594</v>
      </c>
      <c r="AC20" s="3475" t="s">
        <v>3594</v>
      </c>
      <c r="AD20" s="3475" t="s">
        <v>3594</v>
      </c>
      <c r="AE20" s="3475" t="s">
        <v>3594</v>
      </c>
      <c r="AF20" s="3475" t="s">
        <v>3594</v>
      </c>
      <c r="AG20" s="3476" t="s">
        <v>3594</v>
      </c>
      <c r="AH20" s="3476" t="s">
        <v>3594</v>
      </c>
      <c r="AI20" s="3476" t="s">
        <v>3594</v>
      </c>
      <c r="AJ20" s="3476" t="s">
        <v>3594</v>
      </c>
      <c r="AK20" s="3476" t="s">
        <v>3594</v>
      </c>
      <c r="AL20" s="3476" t="s">
        <v>3594</v>
      </c>
      <c r="AM20" s="3476" t="s">
        <v>3594</v>
      </c>
      <c r="AN20" s="3476" t="s">
        <v>3594</v>
      </c>
      <c r="AO20" s="3476" t="s">
        <v>3594</v>
      </c>
      <c r="AP20" s="3476" t="s">
        <v>3594</v>
      </c>
      <c r="AQ20" s="3476" t="s">
        <v>3594</v>
      </c>
      <c r="AR20" s="3476" t="s">
        <v>3594</v>
      </c>
      <c r="AS20" s="3476" t="s">
        <v>3594</v>
      </c>
      <c r="AT20" s="3476" t="s">
        <v>3594</v>
      </c>
      <c r="AU20" s="3476" t="s">
        <v>3594</v>
      </c>
      <c r="AV20" s="3476" t="s">
        <v>3594</v>
      </c>
      <c r="AW20" s="3476" t="s">
        <v>3594</v>
      </c>
      <c r="AX20" s="3476" t="s">
        <v>3594</v>
      </c>
      <c r="AY20" s="3476" t="s">
        <v>3594</v>
      </c>
      <c r="AZ20" s="3476" t="s">
        <v>3594</v>
      </c>
      <c r="BA20" s="3476" t="s">
        <v>3594</v>
      </c>
      <c r="BB20" s="3476" t="s">
        <v>3594</v>
      </c>
      <c r="BC20" s="3476" t="s">
        <v>3594</v>
      </c>
      <c r="BD20" s="3476" t="s">
        <v>3594</v>
      </c>
      <c r="BE20" s="3476" t="s">
        <v>3594</v>
      </c>
      <c r="BF20" s="3476" t="s">
        <v>3594</v>
      </c>
      <c r="BG20" s="3476" t="s">
        <v>3594</v>
      </c>
      <c r="BH20" s="3476" t="s">
        <v>3594</v>
      </c>
      <c r="BI20" s="3476" t="s">
        <v>3594</v>
      </c>
      <c r="BJ20" s="3476" t="s">
        <v>3594</v>
      </c>
      <c r="BK20" s="3476" t="s">
        <v>3594</v>
      </c>
      <c r="BL20" s="3476" t="s">
        <v>3594</v>
      </c>
      <c r="BM20" s="3476" t="s">
        <v>3594</v>
      </c>
      <c r="BN20" s="3476" t="s">
        <v>3594</v>
      </c>
      <c r="BO20" s="3476" t="s">
        <v>3594</v>
      </c>
      <c r="BP20" s="3476" t="s">
        <v>3594</v>
      </c>
      <c r="BQ20" s="3476" t="s">
        <v>3594</v>
      </c>
      <c r="BR20" s="3476" t="s">
        <v>3594</v>
      </c>
      <c r="BS20" s="3476" t="s">
        <v>3594</v>
      </c>
      <c r="BT20" s="3476" t="s">
        <v>3594</v>
      </c>
      <c r="BU20" s="3476" t="s">
        <v>3594</v>
      </c>
      <c r="BV20" s="3476" t="s">
        <v>3594</v>
      </c>
      <c r="BW20" s="3476" t="s">
        <v>3594</v>
      </c>
      <c r="BX20" s="3476" t="s">
        <v>3594</v>
      </c>
      <c r="BY20" s="3476" t="s">
        <v>3594</v>
      </c>
      <c r="BZ20" s="3476" t="s">
        <v>3594</v>
      </c>
      <c r="CA20" s="3476" t="s">
        <v>3594</v>
      </c>
      <c r="CB20" s="3476" t="s">
        <v>3594</v>
      </c>
      <c r="CC20" s="3476" t="s">
        <v>3594</v>
      </c>
      <c r="CD20" s="3476" t="s">
        <v>3594</v>
      </c>
      <c r="CE20" s="3476" t="s">
        <v>3594</v>
      </c>
      <c r="CF20" s="3476" t="s">
        <v>3594</v>
      </c>
      <c r="CG20" s="3476" t="s">
        <v>3594</v>
      </c>
      <c r="CH20" s="3476" t="s">
        <v>3594</v>
      </c>
      <c r="CI20" s="3476" t="s">
        <v>3594</v>
      </c>
      <c r="CJ20" s="3476" t="s">
        <v>3594</v>
      </c>
      <c r="CK20" s="3476" t="s">
        <v>3594</v>
      </c>
      <c r="CL20" s="3476" t="s">
        <v>3594</v>
      </c>
      <c r="CM20" s="3476" t="s">
        <v>3594</v>
      </c>
      <c r="CN20" s="3476" t="s">
        <v>3594</v>
      </c>
    </row>
    <row r="21" spans="1:92" ht="14.1" customHeight="1">
      <c r="A21" s="3475" t="s">
        <v>3622</v>
      </c>
      <c r="B21" s="3475" t="s">
        <v>3623</v>
      </c>
      <c r="C21" s="3475" t="s">
        <v>3651</v>
      </c>
      <c r="D21" s="3475" t="s">
        <v>3625</v>
      </c>
      <c r="E21" s="3475" t="s">
        <v>3626</v>
      </c>
      <c r="F21" s="3475" t="s">
        <v>3583</v>
      </c>
      <c r="G21" s="3475" t="s">
        <v>3584</v>
      </c>
      <c r="H21" s="3475" t="s">
        <v>3650</v>
      </c>
      <c r="I21" s="3475" t="s">
        <v>3586</v>
      </c>
      <c r="J21" s="3475">
        <v>406.82</v>
      </c>
      <c r="K21" s="3475" t="s">
        <v>3601</v>
      </c>
      <c r="L21" s="3475" t="s">
        <v>3602</v>
      </c>
      <c r="M21" s="3475">
        <v>-0.24654000000000001</v>
      </c>
      <c r="N21" s="3475" t="s">
        <v>3589</v>
      </c>
      <c r="O21" s="3475" t="s">
        <v>3590</v>
      </c>
      <c r="P21" s="3475" t="s">
        <v>3594</v>
      </c>
      <c r="Q21" s="3475" t="s">
        <v>3628</v>
      </c>
      <c r="R21" s="3475" t="s">
        <v>3629</v>
      </c>
      <c r="S21" s="3475" t="s">
        <v>3630</v>
      </c>
      <c r="T21" s="3475" t="s">
        <v>3631</v>
      </c>
      <c r="U21" s="3475">
        <v>-3109.22</v>
      </c>
      <c r="V21" s="3475">
        <v>-2808.33</v>
      </c>
      <c r="W21" s="3475" t="s">
        <v>3594</v>
      </c>
      <c r="X21" s="3475" t="s">
        <v>3594</v>
      </c>
      <c r="Y21" s="3475" t="s">
        <v>3594</v>
      </c>
      <c r="Z21" s="3475" t="s">
        <v>3594</v>
      </c>
      <c r="AA21" s="3475" t="s">
        <v>3594</v>
      </c>
      <c r="AB21" s="3475" t="s">
        <v>3594</v>
      </c>
      <c r="AC21" s="3475" t="s">
        <v>3594</v>
      </c>
      <c r="AD21" s="3475" t="s">
        <v>3594</v>
      </c>
      <c r="AE21" s="3475" t="s">
        <v>3594</v>
      </c>
      <c r="AF21" s="3475" t="s">
        <v>3594</v>
      </c>
      <c r="AG21" s="3476" t="s">
        <v>3594</v>
      </c>
      <c r="AH21" s="3476" t="s">
        <v>3594</v>
      </c>
      <c r="AI21" s="3476" t="s">
        <v>3594</v>
      </c>
      <c r="AJ21" s="3476" t="s">
        <v>3594</v>
      </c>
      <c r="AK21" s="3476" t="s">
        <v>3594</v>
      </c>
      <c r="AL21" s="3476" t="s">
        <v>3594</v>
      </c>
      <c r="AM21" s="3476" t="s">
        <v>3594</v>
      </c>
      <c r="AN21" s="3476" t="s">
        <v>3594</v>
      </c>
      <c r="AO21" s="3476" t="s">
        <v>3594</v>
      </c>
      <c r="AP21" s="3476" t="s">
        <v>3594</v>
      </c>
      <c r="AQ21" s="3476" t="s">
        <v>3594</v>
      </c>
      <c r="AR21" s="3476" t="s">
        <v>3594</v>
      </c>
      <c r="AS21" s="3476" t="s">
        <v>3594</v>
      </c>
      <c r="AT21" s="3476" t="s">
        <v>3594</v>
      </c>
      <c r="AU21" s="3476" t="s">
        <v>3594</v>
      </c>
      <c r="AV21" s="3476" t="s">
        <v>3594</v>
      </c>
      <c r="AW21" s="3476" t="s">
        <v>3594</v>
      </c>
      <c r="AX21" s="3476" t="s">
        <v>3594</v>
      </c>
      <c r="AY21" s="3476" t="s">
        <v>3594</v>
      </c>
      <c r="AZ21" s="3476" t="s">
        <v>3594</v>
      </c>
      <c r="BA21" s="3476" t="s">
        <v>3594</v>
      </c>
      <c r="BB21" s="3476" t="s">
        <v>3594</v>
      </c>
      <c r="BC21" s="3476" t="s">
        <v>3594</v>
      </c>
      <c r="BD21" s="3476" t="s">
        <v>3594</v>
      </c>
      <c r="BE21" s="3476" t="s">
        <v>3594</v>
      </c>
      <c r="BF21" s="3476" t="s">
        <v>3594</v>
      </c>
      <c r="BG21" s="3476" t="s">
        <v>3594</v>
      </c>
      <c r="BH21" s="3476" t="s">
        <v>3594</v>
      </c>
      <c r="BI21" s="3476" t="s">
        <v>3594</v>
      </c>
      <c r="BJ21" s="3476" t="s">
        <v>3594</v>
      </c>
      <c r="BK21" s="3476" t="s">
        <v>3594</v>
      </c>
      <c r="BL21" s="3476" t="s">
        <v>3594</v>
      </c>
      <c r="BM21" s="3476" t="s">
        <v>3594</v>
      </c>
      <c r="BN21" s="3476" t="s">
        <v>3594</v>
      </c>
      <c r="BO21" s="3476" t="s">
        <v>3594</v>
      </c>
      <c r="BP21" s="3476" t="s">
        <v>3594</v>
      </c>
      <c r="BQ21" s="3476" t="s">
        <v>3594</v>
      </c>
      <c r="BR21" s="3476" t="s">
        <v>3594</v>
      </c>
      <c r="BS21" s="3476" t="s">
        <v>3594</v>
      </c>
      <c r="BT21" s="3476" t="s">
        <v>3594</v>
      </c>
      <c r="BU21" s="3476" t="s">
        <v>3594</v>
      </c>
      <c r="BV21" s="3476" t="s">
        <v>3594</v>
      </c>
      <c r="BW21" s="3476" t="s">
        <v>3594</v>
      </c>
      <c r="BX21" s="3476" t="s">
        <v>3594</v>
      </c>
      <c r="BY21" s="3476" t="s">
        <v>3594</v>
      </c>
      <c r="BZ21" s="3476" t="s">
        <v>3594</v>
      </c>
      <c r="CA21" s="3476" t="s">
        <v>3594</v>
      </c>
      <c r="CB21" s="3476" t="s">
        <v>3594</v>
      </c>
      <c r="CC21" s="3476" t="s">
        <v>3594</v>
      </c>
      <c r="CD21" s="3476" t="s">
        <v>3594</v>
      </c>
      <c r="CE21" s="3476" t="s">
        <v>3594</v>
      </c>
      <c r="CF21" s="3476" t="s">
        <v>3594</v>
      </c>
      <c r="CG21" s="3476" t="s">
        <v>3594</v>
      </c>
      <c r="CH21" s="3476" t="s">
        <v>3594</v>
      </c>
      <c r="CI21" s="3476" t="s">
        <v>3594</v>
      </c>
      <c r="CJ21" s="3476" t="s">
        <v>3594</v>
      </c>
      <c r="CK21" s="3476" t="s">
        <v>3594</v>
      </c>
      <c r="CL21" s="3476" t="s">
        <v>3594</v>
      </c>
      <c r="CM21" s="3476" t="s">
        <v>3594</v>
      </c>
      <c r="CN21" s="3476" t="s">
        <v>3594</v>
      </c>
    </row>
    <row r="22" spans="1:92" ht="14.1" customHeight="1">
      <c r="A22" s="3475" t="s">
        <v>3622</v>
      </c>
      <c r="B22" s="3475" t="s">
        <v>3623</v>
      </c>
      <c r="C22" s="3475" t="s">
        <v>3652</v>
      </c>
      <c r="D22" s="3475" t="s">
        <v>3625</v>
      </c>
      <c r="E22" s="3475" t="s">
        <v>3626</v>
      </c>
      <c r="F22" s="3475" t="s">
        <v>3583</v>
      </c>
      <c r="G22" s="3475" t="s">
        <v>3584</v>
      </c>
      <c r="H22" s="3475" t="s">
        <v>3650</v>
      </c>
      <c r="I22" s="3475" t="s">
        <v>3586</v>
      </c>
      <c r="J22" s="3475">
        <v>406.82</v>
      </c>
      <c r="K22" s="3475" t="s">
        <v>3601</v>
      </c>
      <c r="L22" s="3475" t="s">
        <v>3602</v>
      </c>
      <c r="M22" s="3475">
        <v>6.1649700000000003</v>
      </c>
      <c r="N22" s="3475" t="s">
        <v>3589</v>
      </c>
      <c r="O22" s="3475" t="s">
        <v>3590</v>
      </c>
      <c r="P22" s="3475" t="s">
        <v>3594</v>
      </c>
      <c r="Q22" s="3475" t="s">
        <v>3634</v>
      </c>
      <c r="R22" s="3475" t="s">
        <v>3635</v>
      </c>
      <c r="S22" s="3475" t="s">
        <v>3630</v>
      </c>
      <c r="T22" s="3475" t="s">
        <v>3631</v>
      </c>
      <c r="U22" s="3475" t="s">
        <v>3594</v>
      </c>
      <c r="V22" s="3475" t="s">
        <v>3594</v>
      </c>
      <c r="W22" s="3475">
        <v>77749.03</v>
      </c>
      <c r="X22" s="3475">
        <v>75240.990000000005</v>
      </c>
      <c r="Y22" s="3475">
        <v>77749.03</v>
      </c>
      <c r="Z22" s="3475">
        <v>75240.990000000005</v>
      </c>
      <c r="AA22" s="3475">
        <v>77749.03</v>
      </c>
      <c r="AB22" s="3475">
        <v>77749.03</v>
      </c>
      <c r="AC22" s="3475">
        <v>75240.990000000005</v>
      </c>
      <c r="AD22" s="3475">
        <v>77749.03</v>
      </c>
      <c r="AE22" s="3475">
        <v>75240.990000000005</v>
      </c>
      <c r="AF22" s="3475">
        <v>77749.03</v>
      </c>
      <c r="AG22" s="3476">
        <v>77749.03</v>
      </c>
      <c r="AH22" s="3476">
        <v>72732.960000000006</v>
      </c>
      <c r="AI22" s="3476" t="s">
        <v>3594</v>
      </c>
      <c r="AJ22" s="3476" t="s">
        <v>3594</v>
      </c>
      <c r="AK22" s="3476" t="s">
        <v>3594</v>
      </c>
      <c r="AL22" s="3476" t="s">
        <v>3594</v>
      </c>
      <c r="AM22" s="3476" t="s">
        <v>3594</v>
      </c>
      <c r="AN22" s="3476" t="s">
        <v>3594</v>
      </c>
      <c r="AO22" s="3476" t="s">
        <v>3594</v>
      </c>
      <c r="AP22" s="3476" t="s">
        <v>3594</v>
      </c>
      <c r="AQ22" s="3476" t="s">
        <v>3594</v>
      </c>
      <c r="AR22" s="3476" t="s">
        <v>3594</v>
      </c>
      <c r="AS22" s="3476" t="s">
        <v>3594</v>
      </c>
      <c r="AT22" s="3476" t="s">
        <v>3594</v>
      </c>
      <c r="AU22" s="3476" t="s">
        <v>3594</v>
      </c>
      <c r="AV22" s="3476" t="s">
        <v>3594</v>
      </c>
      <c r="AW22" s="3476" t="s">
        <v>3594</v>
      </c>
      <c r="AX22" s="3476" t="s">
        <v>3594</v>
      </c>
      <c r="AY22" s="3476" t="s">
        <v>3594</v>
      </c>
      <c r="AZ22" s="3476" t="s">
        <v>3594</v>
      </c>
      <c r="BA22" s="3476" t="s">
        <v>3594</v>
      </c>
      <c r="BB22" s="3476" t="s">
        <v>3594</v>
      </c>
      <c r="BC22" s="3476" t="s">
        <v>3594</v>
      </c>
      <c r="BD22" s="3476" t="s">
        <v>3594</v>
      </c>
      <c r="BE22" s="3476" t="s">
        <v>3594</v>
      </c>
      <c r="BF22" s="3476" t="s">
        <v>3594</v>
      </c>
      <c r="BG22" s="3476" t="s">
        <v>3594</v>
      </c>
      <c r="BH22" s="3476" t="s">
        <v>3594</v>
      </c>
      <c r="BI22" s="3476" t="s">
        <v>3594</v>
      </c>
      <c r="BJ22" s="3476" t="s">
        <v>3594</v>
      </c>
      <c r="BK22" s="3476" t="s">
        <v>3594</v>
      </c>
      <c r="BL22" s="3476" t="s">
        <v>3594</v>
      </c>
      <c r="BM22" s="3476" t="s">
        <v>3594</v>
      </c>
      <c r="BN22" s="3476" t="s">
        <v>3594</v>
      </c>
      <c r="BO22" s="3476" t="s">
        <v>3594</v>
      </c>
      <c r="BP22" s="3476" t="s">
        <v>3594</v>
      </c>
      <c r="BQ22" s="3476" t="s">
        <v>3594</v>
      </c>
      <c r="BR22" s="3476" t="s">
        <v>3594</v>
      </c>
      <c r="BS22" s="3476" t="s">
        <v>3594</v>
      </c>
      <c r="BT22" s="3476" t="s">
        <v>3594</v>
      </c>
      <c r="BU22" s="3476" t="s">
        <v>3594</v>
      </c>
      <c r="BV22" s="3476" t="s">
        <v>3594</v>
      </c>
      <c r="BW22" s="3476" t="s">
        <v>3594</v>
      </c>
      <c r="BX22" s="3476" t="s">
        <v>3594</v>
      </c>
      <c r="BY22" s="3476" t="s">
        <v>3594</v>
      </c>
      <c r="BZ22" s="3476" t="s">
        <v>3594</v>
      </c>
      <c r="CA22" s="3476" t="s">
        <v>3594</v>
      </c>
      <c r="CB22" s="3476" t="s">
        <v>3594</v>
      </c>
      <c r="CC22" s="3476" t="s">
        <v>3594</v>
      </c>
      <c r="CD22" s="3476" t="s">
        <v>3594</v>
      </c>
      <c r="CE22" s="3476" t="s">
        <v>3594</v>
      </c>
      <c r="CF22" s="3476" t="s">
        <v>3594</v>
      </c>
      <c r="CG22" s="3476" t="s">
        <v>3594</v>
      </c>
      <c r="CH22" s="3476" t="s">
        <v>3594</v>
      </c>
      <c r="CI22" s="3476" t="s">
        <v>3594</v>
      </c>
      <c r="CJ22" s="3476" t="s">
        <v>3594</v>
      </c>
      <c r="CK22" s="3476" t="s">
        <v>3594</v>
      </c>
      <c r="CL22" s="3476" t="s">
        <v>3594</v>
      </c>
      <c r="CM22" s="3476" t="s">
        <v>3594</v>
      </c>
      <c r="CN22" s="3476" t="s">
        <v>3594</v>
      </c>
    </row>
    <row r="23" spans="1:92" ht="14.1" customHeight="1">
      <c r="A23" s="3475" t="s">
        <v>3622</v>
      </c>
      <c r="B23" s="3475" t="s">
        <v>3623</v>
      </c>
      <c r="C23" s="3475" t="s">
        <v>3653</v>
      </c>
      <c r="D23" s="3475" t="s">
        <v>3625</v>
      </c>
      <c r="E23" s="3475" t="s">
        <v>3626</v>
      </c>
      <c r="F23" s="3475" t="s">
        <v>3583</v>
      </c>
      <c r="G23" s="3475" t="s">
        <v>3584</v>
      </c>
      <c r="H23" s="3475" t="s">
        <v>3650</v>
      </c>
      <c r="I23" s="3475" t="s">
        <v>3586</v>
      </c>
      <c r="J23" s="3475">
        <v>406.82</v>
      </c>
      <c r="K23" s="3475" t="s">
        <v>3601</v>
      </c>
      <c r="L23" s="3475" t="s">
        <v>3602</v>
      </c>
      <c r="M23" s="3475">
        <v>6.5348850000000001</v>
      </c>
      <c r="N23" s="3475" t="s">
        <v>3589</v>
      </c>
      <c r="O23" s="3475" t="s">
        <v>3590</v>
      </c>
      <c r="P23" s="3475" t="s">
        <v>3594</v>
      </c>
      <c r="Q23" s="3475" t="s">
        <v>3637</v>
      </c>
      <c r="R23" s="3475" t="s">
        <v>3638</v>
      </c>
      <c r="S23" s="3475" t="s">
        <v>3630</v>
      </c>
      <c r="T23" s="3475" t="s">
        <v>3631</v>
      </c>
      <c r="U23" s="3475" t="s">
        <v>3594</v>
      </c>
      <c r="V23" s="3475" t="s">
        <v>3594</v>
      </c>
      <c r="W23" s="3475" t="s">
        <v>3594</v>
      </c>
      <c r="X23" s="3475" t="s">
        <v>3594</v>
      </c>
      <c r="Y23" s="3475" t="s">
        <v>3594</v>
      </c>
      <c r="Z23" s="3475" t="s">
        <v>3594</v>
      </c>
      <c r="AA23" s="3475" t="s">
        <v>3594</v>
      </c>
      <c r="AB23" s="3475" t="s">
        <v>3594</v>
      </c>
      <c r="AC23" s="3475" t="s">
        <v>3594</v>
      </c>
      <c r="AD23" s="3475" t="s">
        <v>3594</v>
      </c>
      <c r="AE23" s="3475" t="s">
        <v>3594</v>
      </c>
      <c r="AF23" s="3475" t="s">
        <v>3594</v>
      </c>
      <c r="AG23" s="3476" t="s">
        <v>3594</v>
      </c>
      <c r="AH23" s="3476" t="s">
        <v>3594</v>
      </c>
      <c r="AI23" s="3476">
        <v>82414.179999999993</v>
      </c>
      <c r="AJ23" s="3476">
        <v>79755.66</v>
      </c>
      <c r="AK23" s="3476">
        <v>82414.179999999993</v>
      </c>
      <c r="AL23" s="3476">
        <v>79755.66</v>
      </c>
      <c r="AM23" s="3476">
        <v>82414.179999999993</v>
      </c>
      <c r="AN23" s="3476">
        <v>82414.179999999993</v>
      </c>
      <c r="AO23" s="3476">
        <v>79755.66</v>
      </c>
      <c r="AP23" s="3476">
        <v>82414.179999999993</v>
      </c>
      <c r="AQ23" s="3476">
        <v>79755.66</v>
      </c>
      <c r="AR23" s="3476">
        <v>82414.179999999993</v>
      </c>
      <c r="AS23" s="3476">
        <v>82414.179999999993</v>
      </c>
      <c r="AT23" s="3476">
        <v>74438.61</v>
      </c>
      <c r="AU23" s="3476" t="s">
        <v>3594</v>
      </c>
      <c r="AV23" s="3476" t="s">
        <v>3594</v>
      </c>
      <c r="AW23" s="3476" t="s">
        <v>3594</v>
      </c>
      <c r="AX23" s="3476" t="s">
        <v>3594</v>
      </c>
      <c r="AY23" s="3476" t="s">
        <v>3594</v>
      </c>
      <c r="AZ23" s="3476" t="s">
        <v>3594</v>
      </c>
      <c r="BA23" s="3476" t="s">
        <v>3594</v>
      </c>
      <c r="BB23" s="3476" t="s">
        <v>3594</v>
      </c>
      <c r="BC23" s="3476" t="s">
        <v>3594</v>
      </c>
      <c r="BD23" s="3476" t="s">
        <v>3594</v>
      </c>
      <c r="BE23" s="3476" t="s">
        <v>3594</v>
      </c>
      <c r="BF23" s="3476" t="s">
        <v>3594</v>
      </c>
      <c r="BG23" s="3476" t="s">
        <v>3594</v>
      </c>
      <c r="BH23" s="3476" t="s">
        <v>3594</v>
      </c>
      <c r="BI23" s="3476" t="s">
        <v>3594</v>
      </c>
      <c r="BJ23" s="3476" t="s">
        <v>3594</v>
      </c>
      <c r="BK23" s="3476" t="s">
        <v>3594</v>
      </c>
      <c r="BL23" s="3476" t="s">
        <v>3594</v>
      </c>
      <c r="BM23" s="3476" t="s">
        <v>3594</v>
      </c>
      <c r="BN23" s="3476" t="s">
        <v>3594</v>
      </c>
      <c r="BO23" s="3476" t="s">
        <v>3594</v>
      </c>
      <c r="BP23" s="3476" t="s">
        <v>3594</v>
      </c>
      <c r="BQ23" s="3476" t="s">
        <v>3594</v>
      </c>
      <c r="BR23" s="3476" t="s">
        <v>3594</v>
      </c>
      <c r="BS23" s="3476" t="s">
        <v>3594</v>
      </c>
      <c r="BT23" s="3476" t="s">
        <v>3594</v>
      </c>
      <c r="BU23" s="3476" t="s">
        <v>3594</v>
      </c>
      <c r="BV23" s="3476" t="s">
        <v>3594</v>
      </c>
      <c r="BW23" s="3476" t="s">
        <v>3594</v>
      </c>
      <c r="BX23" s="3476" t="s">
        <v>3594</v>
      </c>
      <c r="BY23" s="3476" t="s">
        <v>3594</v>
      </c>
      <c r="BZ23" s="3476" t="s">
        <v>3594</v>
      </c>
      <c r="CA23" s="3476" t="s">
        <v>3594</v>
      </c>
      <c r="CB23" s="3476" t="s">
        <v>3594</v>
      </c>
      <c r="CC23" s="3476" t="s">
        <v>3594</v>
      </c>
      <c r="CD23" s="3476" t="s">
        <v>3594</v>
      </c>
      <c r="CE23" s="3476" t="s">
        <v>3594</v>
      </c>
      <c r="CF23" s="3476" t="s">
        <v>3594</v>
      </c>
      <c r="CG23" s="3476" t="s">
        <v>3594</v>
      </c>
      <c r="CH23" s="3476" t="s">
        <v>3594</v>
      </c>
      <c r="CI23" s="3476" t="s">
        <v>3594</v>
      </c>
      <c r="CJ23" s="3476" t="s">
        <v>3594</v>
      </c>
      <c r="CK23" s="3476" t="s">
        <v>3594</v>
      </c>
      <c r="CL23" s="3476" t="s">
        <v>3594</v>
      </c>
      <c r="CM23" s="3476" t="s">
        <v>3594</v>
      </c>
      <c r="CN23" s="3476" t="s">
        <v>3594</v>
      </c>
    </row>
    <row r="24" spans="1:92" ht="14.1" customHeight="1">
      <c r="A24" s="3475" t="s">
        <v>3622</v>
      </c>
      <c r="B24" s="3475" t="s">
        <v>3623</v>
      </c>
      <c r="C24" s="3475" t="s">
        <v>3654</v>
      </c>
      <c r="D24" s="3475" t="s">
        <v>3625</v>
      </c>
      <c r="E24" s="3475" t="s">
        <v>3626</v>
      </c>
      <c r="F24" s="3475" t="s">
        <v>3583</v>
      </c>
      <c r="G24" s="3475" t="s">
        <v>3584</v>
      </c>
      <c r="H24" s="3475" t="s">
        <v>3650</v>
      </c>
      <c r="I24" s="3475" t="s">
        <v>3586</v>
      </c>
      <c r="J24" s="3475">
        <v>406.82</v>
      </c>
      <c r="K24" s="3475" t="s">
        <v>3601</v>
      </c>
      <c r="L24" s="3475" t="s">
        <v>3602</v>
      </c>
      <c r="M24" s="3475">
        <v>6.9269550000000004</v>
      </c>
      <c r="N24" s="3475" t="s">
        <v>3589</v>
      </c>
      <c r="O24" s="3475" t="s">
        <v>3590</v>
      </c>
      <c r="P24" s="3475" t="s">
        <v>3594</v>
      </c>
      <c r="Q24" s="3475" t="s">
        <v>3640</v>
      </c>
      <c r="R24" s="3475" t="s">
        <v>3641</v>
      </c>
      <c r="S24" s="3475" t="s">
        <v>3630</v>
      </c>
      <c r="T24" s="3475" t="s">
        <v>3631</v>
      </c>
      <c r="U24" s="3475" t="s">
        <v>3594</v>
      </c>
      <c r="V24" s="3475" t="s">
        <v>3594</v>
      </c>
      <c r="W24" s="3475" t="s">
        <v>3594</v>
      </c>
      <c r="X24" s="3475" t="s">
        <v>3594</v>
      </c>
      <c r="Y24" s="3475" t="s">
        <v>3594</v>
      </c>
      <c r="Z24" s="3475" t="s">
        <v>3594</v>
      </c>
      <c r="AA24" s="3475" t="s">
        <v>3594</v>
      </c>
      <c r="AB24" s="3475" t="s">
        <v>3594</v>
      </c>
      <c r="AC24" s="3475" t="s">
        <v>3594</v>
      </c>
      <c r="AD24" s="3475" t="s">
        <v>3594</v>
      </c>
      <c r="AE24" s="3475" t="s">
        <v>3594</v>
      </c>
      <c r="AF24" s="3475" t="s">
        <v>3594</v>
      </c>
      <c r="AG24" s="3476" t="s">
        <v>3594</v>
      </c>
      <c r="AH24" s="3476" t="s">
        <v>3594</v>
      </c>
      <c r="AI24" s="3476" t="s">
        <v>3594</v>
      </c>
      <c r="AJ24" s="3476" t="s">
        <v>3594</v>
      </c>
      <c r="AK24" s="3476" t="s">
        <v>3594</v>
      </c>
      <c r="AL24" s="3476" t="s">
        <v>3594</v>
      </c>
      <c r="AM24" s="3476" t="s">
        <v>3594</v>
      </c>
      <c r="AN24" s="3476" t="s">
        <v>3594</v>
      </c>
      <c r="AO24" s="3476" t="s">
        <v>3594</v>
      </c>
      <c r="AP24" s="3476" t="s">
        <v>3594</v>
      </c>
      <c r="AQ24" s="3476" t="s">
        <v>3594</v>
      </c>
      <c r="AR24" s="3476" t="s">
        <v>3594</v>
      </c>
      <c r="AS24" s="3476" t="s">
        <v>3594</v>
      </c>
      <c r="AT24" s="3476" t="s">
        <v>3594</v>
      </c>
      <c r="AU24" s="3476">
        <v>87358.74</v>
      </c>
      <c r="AV24" s="3476">
        <v>84540.71</v>
      </c>
      <c r="AW24" s="3476">
        <v>87358.74</v>
      </c>
      <c r="AX24" s="3476">
        <v>84540.71</v>
      </c>
      <c r="AY24" s="3476">
        <v>87358.74</v>
      </c>
      <c r="AZ24" s="3476">
        <v>87358.74</v>
      </c>
      <c r="BA24" s="3476">
        <v>84540.71</v>
      </c>
      <c r="BB24" s="3476">
        <v>87358.74</v>
      </c>
      <c r="BC24" s="3476">
        <v>84540.71</v>
      </c>
      <c r="BD24" s="3476">
        <v>87358.74</v>
      </c>
      <c r="BE24" s="3476">
        <v>87358.74</v>
      </c>
      <c r="BF24" s="3476">
        <v>78904.67</v>
      </c>
      <c r="BG24" s="3476" t="s">
        <v>3594</v>
      </c>
      <c r="BH24" s="3476" t="s">
        <v>3594</v>
      </c>
      <c r="BI24" s="3476" t="s">
        <v>3594</v>
      </c>
      <c r="BJ24" s="3476" t="s">
        <v>3594</v>
      </c>
      <c r="BK24" s="3476" t="s">
        <v>3594</v>
      </c>
      <c r="BL24" s="3476" t="s">
        <v>3594</v>
      </c>
      <c r="BM24" s="3476" t="s">
        <v>3594</v>
      </c>
      <c r="BN24" s="3476" t="s">
        <v>3594</v>
      </c>
      <c r="BO24" s="3476" t="s">
        <v>3594</v>
      </c>
      <c r="BP24" s="3476" t="s">
        <v>3594</v>
      </c>
      <c r="BQ24" s="3476" t="s">
        <v>3594</v>
      </c>
      <c r="BR24" s="3476" t="s">
        <v>3594</v>
      </c>
      <c r="BS24" s="3476" t="s">
        <v>3594</v>
      </c>
      <c r="BT24" s="3476" t="s">
        <v>3594</v>
      </c>
      <c r="BU24" s="3476" t="s">
        <v>3594</v>
      </c>
      <c r="BV24" s="3476" t="s">
        <v>3594</v>
      </c>
      <c r="BW24" s="3476" t="s">
        <v>3594</v>
      </c>
      <c r="BX24" s="3476" t="s">
        <v>3594</v>
      </c>
      <c r="BY24" s="3476" t="s">
        <v>3594</v>
      </c>
      <c r="BZ24" s="3476" t="s">
        <v>3594</v>
      </c>
      <c r="CA24" s="3476" t="s">
        <v>3594</v>
      </c>
      <c r="CB24" s="3476" t="s">
        <v>3594</v>
      </c>
      <c r="CC24" s="3476" t="s">
        <v>3594</v>
      </c>
      <c r="CD24" s="3476" t="s">
        <v>3594</v>
      </c>
      <c r="CE24" s="3476" t="s">
        <v>3594</v>
      </c>
      <c r="CF24" s="3476" t="s">
        <v>3594</v>
      </c>
      <c r="CG24" s="3476" t="s">
        <v>3594</v>
      </c>
      <c r="CH24" s="3476" t="s">
        <v>3594</v>
      </c>
      <c r="CI24" s="3476" t="s">
        <v>3594</v>
      </c>
      <c r="CJ24" s="3476" t="s">
        <v>3594</v>
      </c>
      <c r="CK24" s="3476" t="s">
        <v>3594</v>
      </c>
      <c r="CL24" s="3476" t="s">
        <v>3594</v>
      </c>
      <c r="CM24" s="3476" t="s">
        <v>3594</v>
      </c>
      <c r="CN24" s="3476" t="s">
        <v>3594</v>
      </c>
    </row>
    <row r="25" spans="1:92" ht="14.1" customHeight="1">
      <c r="A25" s="3475" t="s">
        <v>3622</v>
      </c>
      <c r="B25" s="3475" t="s">
        <v>3623</v>
      </c>
      <c r="C25" s="3475" t="s">
        <v>3655</v>
      </c>
      <c r="D25" s="3475" t="s">
        <v>3625</v>
      </c>
      <c r="E25" s="3475" t="s">
        <v>3626</v>
      </c>
      <c r="F25" s="3475" t="s">
        <v>3583</v>
      </c>
      <c r="G25" s="3475" t="s">
        <v>3584</v>
      </c>
      <c r="H25" s="3475" t="s">
        <v>3650</v>
      </c>
      <c r="I25" s="3475" t="s">
        <v>3586</v>
      </c>
      <c r="J25" s="3475">
        <v>406.82</v>
      </c>
      <c r="K25" s="3475" t="s">
        <v>3601</v>
      </c>
      <c r="L25" s="3475" t="s">
        <v>3602</v>
      </c>
      <c r="M25" s="3475">
        <v>7.3425450000000003</v>
      </c>
      <c r="N25" s="3475" t="s">
        <v>3589</v>
      </c>
      <c r="O25" s="3475" t="s">
        <v>3590</v>
      </c>
      <c r="P25" s="3475" t="s">
        <v>3594</v>
      </c>
      <c r="Q25" s="3475" t="s">
        <v>3643</v>
      </c>
      <c r="R25" s="3475" t="s">
        <v>3631</v>
      </c>
      <c r="S25" s="3475" t="s">
        <v>3630</v>
      </c>
      <c r="T25" s="3475" t="s">
        <v>3631</v>
      </c>
      <c r="U25" s="3475" t="s">
        <v>3594</v>
      </c>
      <c r="V25" s="3475" t="s">
        <v>3594</v>
      </c>
      <c r="W25" s="3475" t="s">
        <v>3594</v>
      </c>
      <c r="X25" s="3475" t="s">
        <v>3594</v>
      </c>
      <c r="Y25" s="3475" t="s">
        <v>3594</v>
      </c>
      <c r="Z25" s="3475" t="s">
        <v>3594</v>
      </c>
      <c r="AA25" s="3475" t="s">
        <v>3594</v>
      </c>
      <c r="AB25" s="3475" t="s">
        <v>3594</v>
      </c>
      <c r="AC25" s="3475" t="s">
        <v>3594</v>
      </c>
      <c r="AD25" s="3475" t="s">
        <v>3594</v>
      </c>
      <c r="AE25" s="3475" t="s">
        <v>3594</v>
      </c>
      <c r="AF25" s="3475" t="s">
        <v>3594</v>
      </c>
      <c r="AG25" s="3476" t="s">
        <v>3594</v>
      </c>
      <c r="AH25" s="3476" t="s">
        <v>3594</v>
      </c>
      <c r="AI25" s="3476" t="s">
        <v>3594</v>
      </c>
      <c r="AJ25" s="3476" t="s">
        <v>3594</v>
      </c>
      <c r="AK25" s="3476" t="s">
        <v>3594</v>
      </c>
      <c r="AL25" s="3476" t="s">
        <v>3594</v>
      </c>
      <c r="AM25" s="3476" t="s">
        <v>3594</v>
      </c>
      <c r="AN25" s="3476" t="s">
        <v>3594</v>
      </c>
      <c r="AO25" s="3476" t="s">
        <v>3594</v>
      </c>
      <c r="AP25" s="3476" t="s">
        <v>3594</v>
      </c>
      <c r="AQ25" s="3476" t="s">
        <v>3594</v>
      </c>
      <c r="AR25" s="3476" t="s">
        <v>3594</v>
      </c>
      <c r="AS25" s="3476" t="s">
        <v>3594</v>
      </c>
      <c r="AT25" s="3476" t="s">
        <v>3594</v>
      </c>
      <c r="AU25" s="3476" t="s">
        <v>3594</v>
      </c>
      <c r="AV25" s="3476" t="s">
        <v>3594</v>
      </c>
      <c r="AW25" s="3476" t="s">
        <v>3594</v>
      </c>
      <c r="AX25" s="3476" t="s">
        <v>3594</v>
      </c>
      <c r="AY25" s="3476" t="s">
        <v>3594</v>
      </c>
      <c r="AZ25" s="3476" t="s">
        <v>3594</v>
      </c>
      <c r="BA25" s="3476" t="s">
        <v>3594</v>
      </c>
      <c r="BB25" s="3476" t="s">
        <v>3594</v>
      </c>
      <c r="BC25" s="3476" t="s">
        <v>3594</v>
      </c>
      <c r="BD25" s="3476" t="s">
        <v>3594</v>
      </c>
      <c r="BE25" s="3476" t="s">
        <v>3594</v>
      </c>
      <c r="BF25" s="3476" t="s">
        <v>3594</v>
      </c>
      <c r="BG25" s="3476">
        <v>92599.92</v>
      </c>
      <c r="BH25" s="3476">
        <v>89612.82</v>
      </c>
      <c r="BI25" s="3476">
        <v>92599.92</v>
      </c>
      <c r="BJ25" s="3476">
        <v>89612.82</v>
      </c>
      <c r="BK25" s="3476">
        <v>92599.92</v>
      </c>
      <c r="BL25" s="3476">
        <v>92599.92</v>
      </c>
      <c r="BM25" s="3476">
        <v>89612.82</v>
      </c>
      <c r="BN25" s="3476">
        <v>92599.92</v>
      </c>
      <c r="BO25" s="3476">
        <v>89612.82</v>
      </c>
      <c r="BP25" s="3476">
        <v>92599.92</v>
      </c>
      <c r="BQ25" s="3476">
        <v>92599.92</v>
      </c>
      <c r="BR25" s="3476">
        <v>83638.64</v>
      </c>
      <c r="BS25" s="3476" t="s">
        <v>3594</v>
      </c>
      <c r="BT25" s="3476" t="s">
        <v>3594</v>
      </c>
      <c r="BU25" s="3476" t="s">
        <v>3594</v>
      </c>
      <c r="BV25" s="3476" t="s">
        <v>3594</v>
      </c>
      <c r="BW25" s="3476" t="s">
        <v>3594</v>
      </c>
      <c r="BX25" s="3476" t="s">
        <v>3594</v>
      </c>
      <c r="BY25" s="3476" t="s">
        <v>3594</v>
      </c>
      <c r="BZ25" s="3476" t="s">
        <v>3594</v>
      </c>
      <c r="CA25" s="3476" t="s">
        <v>3594</v>
      </c>
      <c r="CB25" s="3476" t="s">
        <v>3594</v>
      </c>
      <c r="CC25" s="3476" t="s">
        <v>3594</v>
      </c>
      <c r="CD25" s="3476" t="s">
        <v>3594</v>
      </c>
      <c r="CE25" s="3476" t="s">
        <v>3594</v>
      </c>
      <c r="CF25" s="3476" t="s">
        <v>3594</v>
      </c>
      <c r="CG25" s="3476" t="s">
        <v>3594</v>
      </c>
      <c r="CH25" s="3476" t="s">
        <v>3594</v>
      </c>
      <c r="CI25" s="3476" t="s">
        <v>3594</v>
      </c>
      <c r="CJ25" s="3476" t="s">
        <v>3594</v>
      </c>
      <c r="CK25" s="3476" t="s">
        <v>3594</v>
      </c>
      <c r="CL25" s="3476" t="s">
        <v>3594</v>
      </c>
      <c r="CM25" s="3476" t="s">
        <v>3594</v>
      </c>
      <c r="CN25" s="3476" t="s">
        <v>3594</v>
      </c>
    </row>
    <row r="26" spans="1:92" ht="14.1" customHeight="1">
      <c r="A26" s="3475" t="s">
        <v>3622</v>
      </c>
      <c r="B26" s="3475" t="s">
        <v>3623</v>
      </c>
      <c r="C26" s="3475" t="s">
        <v>3656</v>
      </c>
      <c r="D26" s="3475" t="s">
        <v>3625</v>
      </c>
      <c r="E26" s="3475" t="s">
        <v>3626</v>
      </c>
      <c r="F26" s="3475" t="s">
        <v>3583</v>
      </c>
      <c r="G26" s="3475" t="s">
        <v>3584</v>
      </c>
      <c r="H26" s="3475" t="s">
        <v>3650</v>
      </c>
      <c r="I26" s="3475" t="s">
        <v>3586</v>
      </c>
      <c r="J26" s="3475">
        <v>406.82</v>
      </c>
      <c r="K26" s="3475" t="s">
        <v>3604</v>
      </c>
      <c r="L26" s="3475" t="s">
        <v>3605</v>
      </c>
      <c r="M26" s="3475">
        <v>0.33824599999999999</v>
      </c>
      <c r="N26" s="3475" t="s">
        <v>3598</v>
      </c>
      <c r="O26" s="3475" t="s">
        <v>3590</v>
      </c>
      <c r="P26" s="3475" t="s">
        <v>3594</v>
      </c>
      <c r="Q26" s="3475" t="s">
        <v>3630</v>
      </c>
      <c r="R26" s="3475" t="s">
        <v>3629</v>
      </c>
      <c r="S26" s="3475" t="s">
        <v>3630</v>
      </c>
      <c r="T26" s="3475" t="s">
        <v>3631</v>
      </c>
      <c r="U26" s="3475">
        <v>4265.76</v>
      </c>
      <c r="V26" s="3475">
        <v>3852.95</v>
      </c>
      <c r="W26" s="3475" t="s">
        <v>3594</v>
      </c>
      <c r="X26" s="3475" t="s">
        <v>3594</v>
      </c>
      <c r="Y26" s="3475" t="s">
        <v>3594</v>
      </c>
      <c r="Z26" s="3475" t="s">
        <v>3594</v>
      </c>
      <c r="AA26" s="3475" t="s">
        <v>3594</v>
      </c>
      <c r="AB26" s="3475" t="s">
        <v>3594</v>
      </c>
      <c r="AC26" s="3475" t="s">
        <v>3594</v>
      </c>
      <c r="AD26" s="3475" t="s">
        <v>3594</v>
      </c>
      <c r="AE26" s="3475" t="s">
        <v>3594</v>
      </c>
      <c r="AF26" s="3475" t="s">
        <v>3594</v>
      </c>
      <c r="AG26" s="3476" t="s">
        <v>3594</v>
      </c>
      <c r="AH26" s="3476" t="s">
        <v>3594</v>
      </c>
      <c r="AI26" s="3476" t="s">
        <v>3594</v>
      </c>
      <c r="AJ26" s="3476" t="s">
        <v>3594</v>
      </c>
      <c r="AK26" s="3476" t="s">
        <v>3594</v>
      </c>
      <c r="AL26" s="3476" t="s">
        <v>3594</v>
      </c>
      <c r="AM26" s="3476" t="s">
        <v>3594</v>
      </c>
      <c r="AN26" s="3476" t="s">
        <v>3594</v>
      </c>
      <c r="AO26" s="3476" t="s">
        <v>3594</v>
      </c>
      <c r="AP26" s="3476" t="s">
        <v>3594</v>
      </c>
      <c r="AQ26" s="3476" t="s">
        <v>3594</v>
      </c>
      <c r="AR26" s="3476" t="s">
        <v>3594</v>
      </c>
      <c r="AS26" s="3476" t="s">
        <v>3594</v>
      </c>
      <c r="AT26" s="3476" t="s">
        <v>3594</v>
      </c>
      <c r="AU26" s="3476" t="s">
        <v>3594</v>
      </c>
      <c r="AV26" s="3476" t="s">
        <v>3594</v>
      </c>
      <c r="AW26" s="3476" t="s">
        <v>3594</v>
      </c>
      <c r="AX26" s="3476" t="s">
        <v>3594</v>
      </c>
      <c r="AY26" s="3476" t="s">
        <v>3594</v>
      </c>
      <c r="AZ26" s="3476" t="s">
        <v>3594</v>
      </c>
      <c r="BA26" s="3476" t="s">
        <v>3594</v>
      </c>
      <c r="BB26" s="3476" t="s">
        <v>3594</v>
      </c>
      <c r="BC26" s="3476" t="s">
        <v>3594</v>
      </c>
      <c r="BD26" s="3476" t="s">
        <v>3594</v>
      </c>
      <c r="BE26" s="3476" t="s">
        <v>3594</v>
      </c>
      <c r="BF26" s="3476" t="s">
        <v>3594</v>
      </c>
      <c r="BG26" s="3476" t="s">
        <v>3594</v>
      </c>
      <c r="BH26" s="3476" t="s">
        <v>3594</v>
      </c>
      <c r="BI26" s="3476" t="s">
        <v>3594</v>
      </c>
      <c r="BJ26" s="3476" t="s">
        <v>3594</v>
      </c>
      <c r="BK26" s="3476" t="s">
        <v>3594</v>
      </c>
      <c r="BL26" s="3476" t="s">
        <v>3594</v>
      </c>
      <c r="BM26" s="3476" t="s">
        <v>3594</v>
      </c>
      <c r="BN26" s="3476" t="s">
        <v>3594</v>
      </c>
      <c r="BO26" s="3476" t="s">
        <v>3594</v>
      </c>
      <c r="BP26" s="3476" t="s">
        <v>3594</v>
      </c>
      <c r="BQ26" s="3476" t="s">
        <v>3594</v>
      </c>
      <c r="BR26" s="3476" t="s">
        <v>3594</v>
      </c>
      <c r="BS26" s="3476" t="s">
        <v>3594</v>
      </c>
      <c r="BT26" s="3476" t="s">
        <v>3594</v>
      </c>
      <c r="BU26" s="3476" t="s">
        <v>3594</v>
      </c>
      <c r="BV26" s="3476" t="s">
        <v>3594</v>
      </c>
      <c r="BW26" s="3476" t="s">
        <v>3594</v>
      </c>
      <c r="BX26" s="3476" t="s">
        <v>3594</v>
      </c>
      <c r="BY26" s="3476" t="s">
        <v>3594</v>
      </c>
      <c r="BZ26" s="3476" t="s">
        <v>3594</v>
      </c>
      <c r="CA26" s="3476" t="s">
        <v>3594</v>
      </c>
      <c r="CB26" s="3476" t="s">
        <v>3594</v>
      </c>
      <c r="CC26" s="3476" t="s">
        <v>3594</v>
      </c>
      <c r="CD26" s="3476" t="s">
        <v>3594</v>
      </c>
      <c r="CE26" s="3476" t="s">
        <v>3594</v>
      </c>
      <c r="CF26" s="3476" t="s">
        <v>3594</v>
      </c>
      <c r="CG26" s="3476" t="s">
        <v>3594</v>
      </c>
      <c r="CH26" s="3476" t="s">
        <v>3594</v>
      </c>
      <c r="CI26" s="3476" t="s">
        <v>3594</v>
      </c>
      <c r="CJ26" s="3476" t="s">
        <v>3594</v>
      </c>
      <c r="CK26" s="3476" t="s">
        <v>3594</v>
      </c>
      <c r="CL26" s="3476" t="s">
        <v>3594</v>
      </c>
      <c r="CM26" s="3476" t="s">
        <v>3594</v>
      </c>
      <c r="CN26" s="3476" t="s">
        <v>3594</v>
      </c>
    </row>
    <row r="27" spans="1:92" ht="14.1" customHeight="1">
      <c r="A27" s="3475" t="s">
        <v>3622</v>
      </c>
      <c r="B27" s="3475" t="s">
        <v>3623</v>
      </c>
      <c r="C27" s="3475" t="s">
        <v>3657</v>
      </c>
      <c r="D27" s="3475" t="s">
        <v>3625</v>
      </c>
      <c r="E27" s="3475" t="s">
        <v>3626</v>
      </c>
      <c r="F27" s="3475" t="s">
        <v>3583</v>
      </c>
      <c r="G27" s="3475" t="s">
        <v>3584</v>
      </c>
      <c r="H27" s="3475" t="s">
        <v>3650</v>
      </c>
      <c r="I27" s="3475" t="s">
        <v>3586</v>
      </c>
      <c r="J27" s="3475">
        <v>406.82</v>
      </c>
      <c r="K27" s="3475" t="s">
        <v>3604</v>
      </c>
      <c r="L27" s="3475" t="s">
        <v>3605</v>
      </c>
      <c r="M27" s="3475">
        <v>0.35849199999999998</v>
      </c>
      <c r="N27" s="3475" t="s">
        <v>3598</v>
      </c>
      <c r="O27" s="3475" t="s">
        <v>3590</v>
      </c>
      <c r="P27" s="3475" t="s">
        <v>3594</v>
      </c>
      <c r="Q27" s="3475" t="s">
        <v>3634</v>
      </c>
      <c r="R27" s="3475" t="s">
        <v>3635</v>
      </c>
      <c r="S27" s="3475" t="s">
        <v>3630</v>
      </c>
      <c r="T27" s="3475" t="s">
        <v>3631</v>
      </c>
      <c r="U27" s="3475" t="s">
        <v>3594</v>
      </c>
      <c r="V27" s="3475" t="s">
        <v>3594</v>
      </c>
      <c r="W27" s="3475">
        <v>4521.09</v>
      </c>
      <c r="X27" s="3475">
        <v>4375.25</v>
      </c>
      <c r="Y27" s="3475">
        <v>4521.09</v>
      </c>
      <c r="Z27" s="3475">
        <v>4375.25</v>
      </c>
      <c r="AA27" s="3475">
        <v>4521.09</v>
      </c>
      <c r="AB27" s="3475">
        <v>4521.09</v>
      </c>
      <c r="AC27" s="3475">
        <v>4375.25</v>
      </c>
      <c r="AD27" s="3475">
        <v>4521.09</v>
      </c>
      <c r="AE27" s="3475">
        <v>4375.25</v>
      </c>
      <c r="AF27" s="3475">
        <v>4521.09</v>
      </c>
      <c r="AG27" s="3476">
        <v>4521.09</v>
      </c>
      <c r="AH27" s="3476">
        <v>4229.41</v>
      </c>
      <c r="AI27" s="3476" t="s">
        <v>3594</v>
      </c>
      <c r="AJ27" s="3476" t="s">
        <v>3594</v>
      </c>
      <c r="AK27" s="3476" t="s">
        <v>3594</v>
      </c>
      <c r="AL27" s="3476" t="s">
        <v>3594</v>
      </c>
      <c r="AM27" s="3476" t="s">
        <v>3594</v>
      </c>
      <c r="AN27" s="3476" t="s">
        <v>3594</v>
      </c>
      <c r="AO27" s="3476" t="s">
        <v>3594</v>
      </c>
      <c r="AP27" s="3476" t="s">
        <v>3594</v>
      </c>
      <c r="AQ27" s="3476" t="s">
        <v>3594</v>
      </c>
      <c r="AR27" s="3476" t="s">
        <v>3594</v>
      </c>
      <c r="AS27" s="3476" t="s">
        <v>3594</v>
      </c>
      <c r="AT27" s="3476" t="s">
        <v>3594</v>
      </c>
      <c r="AU27" s="3476" t="s">
        <v>3594</v>
      </c>
      <c r="AV27" s="3476" t="s">
        <v>3594</v>
      </c>
      <c r="AW27" s="3476" t="s">
        <v>3594</v>
      </c>
      <c r="AX27" s="3476" t="s">
        <v>3594</v>
      </c>
      <c r="AY27" s="3476" t="s">
        <v>3594</v>
      </c>
      <c r="AZ27" s="3476" t="s">
        <v>3594</v>
      </c>
      <c r="BA27" s="3476" t="s">
        <v>3594</v>
      </c>
      <c r="BB27" s="3476" t="s">
        <v>3594</v>
      </c>
      <c r="BC27" s="3476" t="s">
        <v>3594</v>
      </c>
      <c r="BD27" s="3476" t="s">
        <v>3594</v>
      </c>
      <c r="BE27" s="3476" t="s">
        <v>3594</v>
      </c>
      <c r="BF27" s="3476" t="s">
        <v>3594</v>
      </c>
      <c r="BG27" s="3476" t="s">
        <v>3594</v>
      </c>
      <c r="BH27" s="3476" t="s">
        <v>3594</v>
      </c>
      <c r="BI27" s="3476" t="s">
        <v>3594</v>
      </c>
      <c r="BJ27" s="3476" t="s">
        <v>3594</v>
      </c>
      <c r="BK27" s="3476" t="s">
        <v>3594</v>
      </c>
      <c r="BL27" s="3476" t="s">
        <v>3594</v>
      </c>
      <c r="BM27" s="3476" t="s">
        <v>3594</v>
      </c>
      <c r="BN27" s="3476" t="s">
        <v>3594</v>
      </c>
      <c r="BO27" s="3476" t="s">
        <v>3594</v>
      </c>
      <c r="BP27" s="3476" t="s">
        <v>3594</v>
      </c>
      <c r="BQ27" s="3476" t="s">
        <v>3594</v>
      </c>
      <c r="BR27" s="3476" t="s">
        <v>3594</v>
      </c>
      <c r="BS27" s="3476" t="s">
        <v>3594</v>
      </c>
      <c r="BT27" s="3476" t="s">
        <v>3594</v>
      </c>
      <c r="BU27" s="3476" t="s">
        <v>3594</v>
      </c>
      <c r="BV27" s="3476" t="s">
        <v>3594</v>
      </c>
      <c r="BW27" s="3476" t="s">
        <v>3594</v>
      </c>
      <c r="BX27" s="3476" t="s">
        <v>3594</v>
      </c>
      <c r="BY27" s="3476" t="s">
        <v>3594</v>
      </c>
      <c r="BZ27" s="3476" t="s">
        <v>3594</v>
      </c>
      <c r="CA27" s="3476" t="s">
        <v>3594</v>
      </c>
      <c r="CB27" s="3476" t="s">
        <v>3594</v>
      </c>
      <c r="CC27" s="3476" t="s">
        <v>3594</v>
      </c>
      <c r="CD27" s="3476" t="s">
        <v>3594</v>
      </c>
      <c r="CE27" s="3476" t="s">
        <v>3594</v>
      </c>
      <c r="CF27" s="3476" t="s">
        <v>3594</v>
      </c>
      <c r="CG27" s="3476" t="s">
        <v>3594</v>
      </c>
      <c r="CH27" s="3476" t="s">
        <v>3594</v>
      </c>
      <c r="CI27" s="3476" t="s">
        <v>3594</v>
      </c>
      <c r="CJ27" s="3476" t="s">
        <v>3594</v>
      </c>
      <c r="CK27" s="3476" t="s">
        <v>3594</v>
      </c>
      <c r="CL27" s="3476" t="s">
        <v>3594</v>
      </c>
      <c r="CM27" s="3476" t="s">
        <v>3594</v>
      </c>
      <c r="CN27" s="3476" t="s">
        <v>3594</v>
      </c>
    </row>
    <row r="28" spans="1:92" ht="14.1" customHeight="1">
      <c r="A28" s="3475" t="s">
        <v>3622</v>
      </c>
      <c r="B28" s="3475" t="s">
        <v>3623</v>
      </c>
      <c r="C28" s="3475" t="s">
        <v>3658</v>
      </c>
      <c r="D28" s="3475" t="s">
        <v>3625</v>
      </c>
      <c r="E28" s="3475" t="s">
        <v>3626</v>
      </c>
      <c r="F28" s="3475" t="s">
        <v>3583</v>
      </c>
      <c r="G28" s="3475" t="s">
        <v>3584</v>
      </c>
      <c r="H28" s="3475" t="s">
        <v>3650</v>
      </c>
      <c r="I28" s="3475" t="s">
        <v>3586</v>
      </c>
      <c r="J28" s="3475">
        <v>406.82</v>
      </c>
      <c r="K28" s="3475" t="s">
        <v>3604</v>
      </c>
      <c r="L28" s="3475" t="s">
        <v>3605</v>
      </c>
      <c r="M28" s="3475">
        <v>0.38001000000000001</v>
      </c>
      <c r="N28" s="3475" t="s">
        <v>3598</v>
      </c>
      <c r="O28" s="3475" t="s">
        <v>3590</v>
      </c>
      <c r="P28" s="3475" t="s">
        <v>3594</v>
      </c>
      <c r="Q28" s="3475" t="s">
        <v>3637</v>
      </c>
      <c r="R28" s="3475" t="s">
        <v>3638</v>
      </c>
      <c r="S28" s="3475" t="s">
        <v>3630</v>
      </c>
      <c r="T28" s="3475" t="s">
        <v>3631</v>
      </c>
      <c r="U28" s="3475" t="s">
        <v>3594</v>
      </c>
      <c r="V28" s="3475" t="s">
        <v>3594</v>
      </c>
      <c r="W28" s="3475" t="s">
        <v>3594</v>
      </c>
      <c r="X28" s="3475" t="s">
        <v>3594</v>
      </c>
      <c r="Y28" s="3475" t="s">
        <v>3594</v>
      </c>
      <c r="Z28" s="3475" t="s">
        <v>3594</v>
      </c>
      <c r="AA28" s="3475" t="s">
        <v>3594</v>
      </c>
      <c r="AB28" s="3475" t="s">
        <v>3594</v>
      </c>
      <c r="AC28" s="3475" t="s">
        <v>3594</v>
      </c>
      <c r="AD28" s="3475" t="s">
        <v>3594</v>
      </c>
      <c r="AE28" s="3475" t="s">
        <v>3594</v>
      </c>
      <c r="AF28" s="3475" t="s">
        <v>3594</v>
      </c>
      <c r="AG28" s="3476" t="s">
        <v>3594</v>
      </c>
      <c r="AH28" s="3476" t="s">
        <v>3594</v>
      </c>
      <c r="AI28" s="3476">
        <v>4792.47</v>
      </c>
      <c r="AJ28" s="3476">
        <v>4637.87</v>
      </c>
      <c r="AK28" s="3476">
        <v>4792.47</v>
      </c>
      <c r="AL28" s="3476">
        <v>4637.87</v>
      </c>
      <c r="AM28" s="3476">
        <v>4792.47</v>
      </c>
      <c r="AN28" s="3476">
        <v>4792.47</v>
      </c>
      <c r="AO28" s="3476">
        <v>4637.87</v>
      </c>
      <c r="AP28" s="3476">
        <v>4792.47</v>
      </c>
      <c r="AQ28" s="3476">
        <v>4637.87</v>
      </c>
      <c r="AR28" s="3476">
        <v>4792.47</v>
      </c>
      <c r="AS28" s="3476">
        <v>4792.47</v>
      </c>
      <c r="AT28" s="3476">
        <v>4328.68</v>
      </c>
      <c r="AU28" s="3476" t="s">
        <v>3594</v>
      </c>
      <c r="AV28" s="3476" t="s">
        <v>3594</v>
      </c>
      <c r="AW28" s="3476" t="s">
        <v>3594</v>
      </c>
      <c r="AX28" s="3476" t="s">
        <v>3594</v>
      </c>
      <c r="AY28" s="3476" t="s">
        <v>3594</v>
      </c>
      <c r="AZ28" s="3476" t="s">
        <v>3594</v>
      </c>
      <c r="BA28" s="3476" t="s">
        <v>3594</v>
      </c>
      <c r="BB28" s="3476" t="s">
        <v>3594</v>
      </c>
      <c r="BC28" s="3476" t="s">
        <v>3594</v>
      </c>
      <c r="BD28" s="3476" t="s">
        <v>3594</v>
      </c>
      <c r="BE28" s="3476" t="s">
        <v>3594</v>
      </c>
      <c r="BF28" s="3476" t="s">
        <v>3594</v>
      </c>
      <c r="BG28" s="3476" t="s">
        <v>3594</v>
      </c>
      <c r="BH28" s="3476" t="s">
        <v>3594</v>
      </c>
      <c r="BI28" s="3476" t="s">
        <v>3594</v>
      </c>
      <c r="BJ28" s="3476" t="s">
        <v>3594</v>
      </c>
      <c r="BK28" s="3476" t="s">
        <v>3594</v>
      </c>
      <c r="BL28" s="3476" t="s">
        <v>3594</v>
      </c>
      <c r="BM28" s="3476" t="s">
        <v>3594</v>
      </c>
      <c r="BN28" s="3476" t="s">
        <v>3594</v>
      </c>
      <c r="BO28" s="3476" t="s">
        <v>3594</v>
      </c>
      <c r="BP28" s="3476" t="s">
        <v>3594</v>
      </c>
      <c r="BQ28" s="3476" t="s">
        <v>3594</v>
      </c>
      <c r="BR28" s="3476" t="s">
        <v>3594</v>
      </c>
      <c r="BS28" s="3476" t="s">
        <v>3594</v>
      </c>
      <c r="BT28" s="3476" t="s">
        <v>3594</v>
      </c>
      <c r="BU28" s="3476" t="s">
        <v>3594</v>
      </c>
      <c r="BV28" s="3476" t="s">
        <v>3594</v>
      </c>
      <c r="BW28" s="3476" t="s">
        <v>3594</v>
      </c>
      <c r="BX28" s="3476" t="s">
        <v>3594</v>
      </c>
      <c r="BY28" s="3476" t="s">
        <v>3594</v>
      </c>
      <c r="BZ28" s="3476" t="s">
        <v>3594</v>
      </c>
      <c r="CA28" s="3476" t="s">
        <v>3594</v>
      </c>
      <c r="CB28" s="3476" t="s">
        <v>3594</v>
      </c>
      <c r="CC28" s="3476" t="s">
        <v>3594</v>
      </c>
      <c r="CD28" s="3476" t="s">
        <v>3594</v>
      </c>
      <c r="CE28" s="3476" t="s">
        <v>3594</v>
      </c>
      <c r="CF28" s="3476" t="s">
        <v>3594</v>
      </c>
      <c r="CG28" s="3476" t="s">
        <v>3594</v>
      </c>
      <c r="CH28" s="3476" t="s">
        <v>3594</v>
      </c>
      <c r="CI28" s="3476" t="s">
        <v>3594</v>
      </c>
      <c r="CJ28" s="3476" t="s">
        <v>3594</v>
      </c>
      <c r="CK28" s="3476" t="s">
        <v>3594</v>
      </c>
      <c r="CL28" s="3476" t="s">
        <v>3594</v>
      </c>
      <c r="CM28" s="3476" t="s">
        <v>3594</v>
      </c>
      <c r="CN28" s="3476" t="s">
        <v>3594</v>
      </c>
    </row>
    <row r="29" spans="1:92" ht="14.1" customHeight="1">
      <c r="A29" s="3475" t="s">
        <v>3622</v>
      </c>
      <c r="B29" s="3475" t="s">
        <v>3623</v>
      </c>
      <c r="C29" s="3475" t="s">
        <v>3659</v>
      </c>
      <c r="D29" s="3475" t="s">
        <v>3625</v>
      </c>
      <c r="E29" s="3475" t="s">
        <v>3626</v>
      </c>
      <c r="F29" s="3475" t="s">
        <v>3583</v>
      </c>
      <c r="G29" s="3475" t="s">
        <v>3584</v>
      </c>
      <c r="H29" s="3475" t="s">
        <v>3650</v>
      </c>
      <c r="I29" s="3475" t="s">
        <v>3586</v>
      </c>
      <c r="J29" s="3475">
        <v>406.82</v>
      </c>
      <c r="K29" s="3475" t="s">
        <v>3604</v>
      </c>
      <c r="L29" s="3475" t="s">
        <v>3605</v>
      </c>
      <c r="M29" s="3475">
        <v>0.40279999999999999</v>
      </c>
      <c r="N29" s="3475" t="s">
        <v>3598</v>
      </c>
      <c r="O29" s="3475" t="s">
        <v>3590</v>
      </c>
      <c r="P29" s="3475" t="s">
        <v>3594</v>
      </c>
      <c r="Q29" s="3475" t="s">
        <v>3640</v>
      </c>
      <c r="R29" s="3475" t="s">
        <v>3641</v>
      </c>
      <c r="S29" s="3475" t="s">
        <v>3630</v>
      </c>
      <c r="T29" s="3475" t="s">
        <v>3631</v>
      </c>
      <c r="U29" s="3475" t="s">
        <v>3594</v>
      </c>
      <c r="V29" s="3475" t="s">
        <v>3594</v>
      </c>
      <c r="W29" s="3475" t="s">
        <v>3594</v>
      </c>
      <c r="X29" s="3475" t="s">
        <v>3594</v>
      </c>
      <c r="Y29" s="3475" t="s">
        <v>3594</v>
      </c>
      <c r="Z29" s="3475" t="s">
        <v>3594</v>
      </c>
      <c r="AA29" s="3475" t="s">
        <v>3594</v>
      </c>
      <c r="AB29" s="3475" t="s">
        <v>3594</v>
      </c>
      <c r="AC29" s="3475" t="s">
        <v>3594</v>
      </c>
      <c r="AD29" s="3475" t="s">
        <v>3594</v>
      </c>
      <c r="AE29" s="3475" t="s">
        <v>3594</v>
      </c>
      <c r="AF29" s="3475" t="s">
        <v>3594</v>
      </c>
      <c r="AG29" s="3476" t="s">
        <v>3594</v>
      </c>
      <c r="AH29" s="3476" t="s">
        <v>3594</v>
      </c>
      <c r="AI29" s="3476" t="s">
        <v>3594</v>
      </c>
      <c r="AJ29" s="3476" t="s">
        <v>3594</v>
      </c>
      <c r="AK29" s="3476" t="s">
        <v>3594</v>
      </c>
      <c r="AL29" s="3476" t="s">
        <v>3594</v>
      </c>
      <c r="AM29" s="3476" t="s">
        <v>3594</v>
      </c>
      <c r="AN29" s="3476" t="s">
        <v>3594</v>
      </c>
      <c r="AO29" s="3476" t="s">
        <v>3594</v>
      </c>
      <c r="AP29" s="3476" t="s">
        <v>3594</v>
      </c>
      <c r="AQ29" s="3476" t="s">
        <v>3594</v>
      </c>
      <c r="AR29" s="3476" t="s">
        <v>3594</v>
      </c>
      <c r="AS29" s="3476" t="s">
        <v>3594</v>
      </c>
      <c r="AT29" s="3476" t="s">
        <v>3594</v>
      </c>
      <c r="AU29" s="3476">
        <v>5079.88</v>
      </c>
      <c r="AV29" s="3476">
        <v>4916.01</v>
      </c>
      <c r="AW29" s="3476">
        <v>5079.88</v>
      </c>
      <c r="AX29" s="3476">
        <v>4916.01</v>
      </c>
      <c r="AY29" s="3476">
        <v>5079.88</v>
      </c>
      <c r="AZ29" s="3476">
        <v>5079.88</v>
      </c>
      <c r="BA29" s="3476">
        <v>4916.01</v>
      </c>
      <c r="BB29" s="3476">
        <v>5079.88</v>
      </c>
      <c r="BC29" s="3476">
        <v>4916.01</v>
      </c>
      <c r="BD29" s="3476">
        <v>5079.88</v>
      </c>
      <c r="BE29" s="3476">
        <v>5079.88</v>
      </c>
      <c r="BF29" s="3476">
        <v>4588.28</v>
      </c>
      <c r="BG29" s="3476" t="s">
        <v>3594</v>
      </c>
      <c r="BH29" s="3476" t="s">
        <v>3594</v>
      </c>
      <c r="BI29" s="3476" t="s">
        <v>3594</v>
      </c>
      <c r="BJ29" s="3476" t="s">
        <v>3594</v>
      </c>
      <c r="BK29" s="3476" t="s">
        <v>3594</v>
      </c>
      <c r="BL29" s="3476" t="s">
        <v>3594</v>
      </c>
      <c r="BM29" s="3476" t="s">
        <v>3594</v>
      </c>
      <c r="BN29" s="3476" t="s">
        <v>3594</v>
      </c>
      <c r="BO29" s="3476" t="s">
        <v>3594</v>
      </c>
      <c r="BP29" s="3476" t="s">
        <v>3594</v>
      </c>
      <c r="BQ29" s="3476" t="s">
        <v>3594</v>
      </c>
      <c r="BR29" s="3476" t="s">
        <v>3594</v>
      </c>
      <c r="BS29" s="3476" t="s">
        <v>3594</v>
      </c>
      <c r="BT29" s="3476" t="s">
        <v>3594</v>
      </c>
      <c r="BU29" s="3476" t="s">
        <v>3594</v>
      </c>
      <c r="BV29" s="3476" t="s">
        <v>3594</v>
      </c>
      <c r="BW29" s="3476" t="s">
        <v>3594</v>
      </c>
      <c r="BX29" s="3476" t="s">
        <v>3594</v>
      </c>
      <c r="BY29" s="3476" t="s">
        <v>3594</v>
      </c>
      <c r="BZ29" s="3476" t="s">
        <v>3594</v>
      </c>
      <c r="CA29" s="3476" t="s">
        <v>3594</v>
      </c>
      <c r="CB29" s="3476" t="s">
        <v>3594</v>
      </c>
      <c r="CC29" s="3476" t="s">
        <v>3594</v>
      </c>
      <c r="CD29" s="3476" t="s">
        <v>3594</v>
      </c>
      <c r="CE29" s="3476" t="s">
        <v>3594</v>
      </c>
      <c r="CF29" s="3476" t="s">
        <v>3594</v>
      </c>
      <c r="CG29" s="3476" t="s">
        <v>3594</v>
      </c>
      <c r="CH29" s="3476" t="s">
        <v>3594</v>
      </c>
      <c r="CI29" s="3476" t="s">
        <v>3594</v>
      </c>
      <c r="CJ29" s="3476" t="s">
        <v>3594</v>
      </c>
      <c r="CK29" s="3476" t="s">
        <v>3594</v>
      </c>
      <c r="CL29" s="3476" t="s">
        <v>3594</v>
      </c>
      <c r="CM29" s="3476" t="s">
        <v>3594</v>
      </c>
      <c r="CN29" s="3476" t="s">
        <v>3594</v>
      </c>
    </row>
    <row r="30" spans="1:92" ht="14.1" customHeight="1">
      <c r="A30" s="3475" t="s">
        <v>3622</v>
      </c>
      <c r="B30" s="3475" t="s">
        <v>3623</v>
      </c>
      <c r="C30" s="3475" t="s">
        <v>3660</v>
      </c>
      <c r="D30" s="3475" t="s">
        <v>3625</v>
      </c>
      <c r="E30" s="3475" t="s">
        <v>3626</v>
      </c>
      <c r="F30" s="3475" t="s">
        <v>3583</v>
      </c>
      <c r="G30" s="3475" t="s">
        <v>3584</v>
      </c>
      <c r="H30" s="3475" t="s">
        <v>3650</v>
      </c>
      <c r="I30" s="3475" t="s">
        <v>3586</v>
      </c>
      <c r="J30" s="3475">
        <v>406.82</v>
      </c>
      <c r="K30" s="3475" t="s">
        <v>3604</v>
      </c>
      <c r="L30" s="3475" t="s">
        <v>3605</v>
      </c>
      <c r="M30" s="3475">
        <v>0.42696800000000001</v>
      </c>
      <c r="N30" s="3475" t="s">
        <v>3598</v>
      </c>
      <c r="O30" s="3475" t="s">
        <v>3590</v>
      </c>
      <c r="P30" s="3475" t="s">
        <v>3594</v>
      </c>
      <c r="Q30" s="3475" t="s">
        <v>3643</v>
      </c>
      <c r="R30" s="3475" t="s">
        <v>3631</v>
      </c>
      <c r="S30" s="3475" t="s">
        <v>3630</v>
      </c>
      <c r="T30" s="3475" t="s">
        <v>3631</v>
      </c>
      <c r="U30" s="3475" t="s">
        <v>3594</v>
      </c>
      <c r="V30" s="3475" t="s">
        <v>3594</v>
      </c>
      <c r="W30" s="3475" t="s">
        <v>3594</v>
      </c>
      <c r="X30" s="3475" t="s">
        <v>3594</v>
      </c>
      <c r="Y30" s="3475" t="s">
        <v>3594</v>
      </c>
      <c r="Z30" s="3475" t="s">
        <v>3594</v>
      </c>
      <c r="AA30" s="3475" t="s">
        <v>3594</v>
      </c>
      <c r="AB30" s="3475" t="s">
        <v>3594</v>
      </c>
      <c r="AC30" s="3475" t="s">
        <v>3594</v>
      </c>
      <c r="AD30" s="3475" t="s">
        <v>3594</v>
      </c>
      <c r="AE30" s="3475" t="s">
        <v>3594</v>
      </c>
      <c r="AF30" s="3475" t="s">
        <v>3594</v>
      </c>
      <c r="AG30" s="3476" t="s">
        <v>3594</v>
      </c>
      <c r="AH30" s="3476" t="s">
        <v>3594</v>
      </c>
      <c r="AI30" s="3476" t="s">
        <v>3594</v>
      </c>
      <c r="AJ30" s="3476" t="s">
        <v>3594</v>
      </c>
      <c r="AK30" s="3476" t="s">
        <v>3594</v>
      </c>
      <c r="AL30" s="3476" t="s">
        <v>3594</v>
      </c>
      <c r="AM30" s="3476" t="s">
        <v>3594</v>
      </c>
      <c r="AN30" s="3476" t="s">
        <v>3594</v>
      </c>
      <c r="AO30" s="3476" t="s">
        <v>3594</v>
      </c>
      <c r="AP30" s="3476" t="s">
        <v>3594</v>
      </c>
      <c r="AQ30" s="3476" t="s">
        <v>3594</v>
      </c>
      <c r="AR30" s="3476" t="s">
        <v>3594</v>
      </c>
      <c r="AS30" s="3476" t="s">
        <v>3594</v>
      </c>
      <c r="AT30" s="3476" t="s">
        <v>3594</v>
      </c>
      <c r="AU30" s="3476" t="s">
        <v>3594</v>
      </c>
      <c r="AV30" s="3476" t="s">
        <v>3594</v>
      </c>
      <c r="AW30" s="3476" t="s">
        <v>3594</v>
      </c>
      <c r="AX30" s="3476" t="s">
        <v>3594</v>
      </c>
      <c r="AY30" s="3476" t="s">
        <v>3594</v>
      </c>
      <c r="AZ30" s="3476" t="s">
        <v>3594</v>
      </c>
      <c r="BA30" s="3476" t="s">
        <v>3594</v>
      </c>
      <c r="BB30" s="3476" t="s">
        <v>3594</v>
      </c>
      <c r="BC30" s="3476" t="s">
        <v>3594</v>
      </c>
      <c r="BD30" s="3476" t="s">
        <v>3594</v>
      </c>
      <c r="BE30" s="3476" t="s">
        <v>3594</v>
      </c>
      <c r="BF30" s="3476" t="s">
        <v>3594</v>
      </c>
      <c r="BG30" s="3476">
        <v>5384.67</v>
      </c>
      <c r="BH30" s="3476">
        <v>5210.97</v>
      </c>
      <c r="BI30" s="3476">
        <v>5384.67</v>
      </c>
      <c r="BJ30" s="3476">
        <v>5210.97</v>
      </c>
      <c r="BK30" s="3476">
        <v>5384.67</v>
      </c>
      <c r="BL30" s="3476">
        <v>5384.67</v>
      </c>
      <c r="BM30" s="3476">
        <v>5210.97</v>
      </c>
      <c r="BN30" s="3476">
        <v>5384.67</v>
      </c>
      <c r="BO30" s="3476">
        <v>5210.97</v>
      </c>
      <c r="BP30" s="3476">
        <v>5384.67</v>
      </c>
      <c r="BQ30" s="3476">
        <v>5384.67</v>
      </c>
      <c r="BR30" s="3476">
        <v>4863.58</v>
      </c>
      <c r="BS30" s="3476" t="s">
        <v>3594</v>
      </c>
      <c r="BT30" s="3476" t="s">
        <v>3594</v>
      </c>
      <c r="BU30" s="3476" t="s">
        <v>3594</v>
      </c>
      <c r="BV30" s="3476" t="s">
        <v>3594</v>
      </c>
      <c r="BW30" s="3476" t="s">
        <v>3594</v>
      </c>
      <c r="BX30" s="3476" t="s">
        <v>3594</v>
      </c>
      <c r="BY30" s="3476" t="s">
        <v>3594</v>
      </c>
      <c r="BZ30" s="3476" t="s">
        <v>3594</v>
      </c>
      <c r="CA30" s="3476" t="s">
        <v>3594</v>
      </c>
      <c r="CB30" s="3476" t="s">
        <v>3594</v>
      </c>
      <c r="CC30" s="3476" t="s">
        <v>3594</v>
      </c>
      <c r="CD30" s="3476" t="s">
        <v>3594</v>
      </c>
      <c r="CE30" s="3476" t="s">
        <v>3594</v>
      </c>
      <c r="CF30" s="3476" t="s">
        <v>3594</v>
      </c>
      <c r="CG30" s="3476" t="s">
        <v>3594</v>
      </c>
      <c r="CH30" s="3476" t="s">
        <v>3594</v>
      </c>
      <c r="CI30" s="3476" t="s">
        <v>3594</v>
      </c>
      <c r="CJ30" s="3476" t="s">
        <v>3594</v>
      </c>
      <c r="CK30" s="3476" t="s">
        <v>3594</v>
      </c>
      <c r="CL30" s="3476" t="s">
        <v>3594</v>
      </c>
      <c r="CM30" s="3476" t="s">
        <v>3594</v>
      </c>
      <c r="CN30" s="3476" t="s">
        <v>3594</v>
      </c>
    </row>
    <row r="31" spans="1:92" ht="14.1" customHeight="1">
      <c r="A31" s="3475" t="s">
        <v>3661</v>
      </c>
      <c r="B31" s="3475" t="s">
        <v>3662</v>
      </c>
      <c r="C31" s="3475" t="s">
        <v>3580</v>
      </c>
      <c r="D31" s="3475" t="s">
        <v>3663</v>
      </c>
      <c r="E31" s="3475" t="s">
        <v>3664</v>
      </c>
      <c r="F31" s="3475" t="s">
        <v>3665</v>
      </c>
      <c r="G31" s="3475" t="s">
        <v>3666</v>
      </c>
      <c r="H31" s="3475" t="s">
        <v>3667</v>
      </c>
      <c r="I31" s="3475" t="s">
        <v>3612</v>
      </c>
      <c r="J31" s="3475">
        <v>300</v>
      </c>
      <c r="K31" s="3475" t="s">
        <v>3587</v>
      </c>
      <c r="L31" s="3475" t="s">
        <v>3588</v>
      </c>
      <c r="M31" s="3475">
        <v>0.49664999999999998</v>
      </c>
      <c r="N31" s="3475" t="s">
        <v>3589</v>
      </c>
      <c r="O31" s="3475" t="s">
        <v>3668</v>
      </c>
      <c r="P31" s="3475">
        <v>41518.75</v>
      </c>
      <c r="Q31" s="3475" t="s">
        <v>3630</v>
      </c>
      <c r="R31" s="3475" t="s">
        <v>3629</v>
      </c>
      <c r="S31" s="3475" t="s">
        <v>3630</v>
      </c>
      <c r="T31" s="3475" t="s">
        <v>3635</v>
      </c>
      <c r="U31" s="3475">
        <v>4618.8500000000004</v>
      </c>
      <c r="V31" s="3475">
        <v>4171.8599999999997</v>
      </c>
      <c r="W31" s="3475" t="s">
        <v>3594</v>
      </c>
      <c r="X31" s="3475" t="s">
        <v>3594</v>
      </c>
      <c r="Y31" s="3475" t="s">
        <v>3594</v>
      </c>
      <c r="Z31" s="3475" t="s">
        <v>3594</v>
      </c>
      <c r="AA31" s="3475" t="s">
        <v>3594</v>
      </c>
      <c r="AB31" s="3475" t="s">
        <v>3594</v>
      </c>
      <c r="AC31" s="3475" t="s">
        <v>3594</v>
      </c>
      <c r="AD31" s="3475" t="s">
        <v>3594</v>
      </c>
      <c r="AE31" s="3475" t="s">
        <v>3594</v>
      </c>
      <c r="AF31" s="3475" t="s">
        <v>3594</v>
      </c>
      <c r="AG31" s="3476" t="s">
        <v>3594</v>
      </c>
      <c r="AH31" s="3476" t="s">
        <v>3594</v>
      </c>
      <c r="AI31" s="3476" t="s">
        <v>3594</v>
      </c>
      <c r="AJ31" s="3476" t="s">
        <v>3594</v>
      </c>
      <c r="AK31" s="3476" t="s">
        <v>3594</v>
      </c>
      <c r="AL31" s="3476" t="s">
        <v>3594</v>
      </c>
      <c r="AM31" s="3476" t="s">
        <v>3594</v>
      </c>
      <c r="AN31" s="3476" t="s">
        <v>3594</v>
      </c>
      <c r="AO31" s="3476" t="s">
        <v>3594</v>
      </c>
      <c r="AP31" s="3476" t="s">
        <v>3594</v>
      </c>
      <c r="AQ31" s="3476" t="s">
        <v>3594</v>
      </c>
      <c r="AR31" s="3476" t="s">
        <v>3594</v>
      </c>
      <c r="AS31" s="3476" t="s">
        <v>3594</v>
      </c>
      <c r="AT31" s="3476" t="s">
        <v>3594</v>
      </c>
      <c r="AU31" s="3476" t="s">
        <v>3594</v>
      </c>
      <c r="AV31" s="3476" t="s">
        <v>3594</v>
      </c>
      <c r="AW31" s="3476" t="s">
        <v>3594</v>
      </c>
      <c r="AX31" s="3476" t="s">
        <v>3594</v>
      </c>
      <c r="AY31" s="3476" t="s">
        <v>3594</v>
      </c>
      <c r="AZ31" s="3476" t="s">
        <v>3594</v>
      </c>
      <c r="BA31" s="3476" t="s">
        <v>3594</v>
      </c>
      <c r="BB31" s="3476" t="s">
        <v>3594</v>
      </c>
      <c r="BC31" s="3476" t="s">
        <v>3594</v>
      </c>
      <c r="BD31" s="3476" t="s">
        <v>3594</v>
      </c>
      <c r="BE31" s="3476" t="s">
        <v>3594</v>
      </c>
      <c r="BF31" s="3476" t="s">
        <v>3594</v>
      </c>
      <c r="BG31" s="3476" t="s">
        <v>3594</v>
      </c>
      <c r="BH31" s="3476" t="s">
        <v>3594</v>
      </c>
      <c r="BI31" s="3476" t="s">
        <v>3594</v>
      </c>
      <c r="BJ31" s="3476" t="s">
        <v>3594</v>
      </c>
      <c r="BK31" s="3476" t="s">
        <v>3594</v>
      </c>
      <c r="BL31" s="3476" t="s">
        <v>3594</v>
      </c>
      <c r="BM31" s="3476" t="s">
        <v>3594</v>
      </c>
      <c r="BN31" s="3476" t="s">
        <v>3594</v>
      </c>
      <c r="BO31" s="3476" t="s">
        <v>3594</v>
      </c>
      <c r="BP31" s="3476" t="s">
        <v>3594</v>
      </c>
      <c r="BQ31" s="3476" t="s">
        <v>3594</v>
      </c>
      <c r="BR31" s="3476" t="s">
        <v>3594</v>
      </c>
      <c r="BS31" s="3476" t="s">
        <v>3594</v>
      </c>
      <c r="BT31" s="3476" t="s">
        <v>3594</v>
      </c>
      <c r="BU31" s="3476" t="s">
        <v>3594</v>
      </c>
      <c r="BV31" s="3476" t="s">
        <v>3594</v>
      </c>
      <c r="BW31" s="3476" t="s">
        <v>3594</v>
      </c>
      <c r="BX31" s="3476" t="s">
        <v>3594</v>
      </c>
      <c r="BY31" s="3476" t="s">
        <v>3594</v>
      </c>
      <c r="BZ31" s="3476" t="s">
        <v>3594</v>
      </c>
      <c r="CA31" s="3476" t="s">
        <v>3594</v>
      </c>
      <c r="CB31" s="3476" t="s">
        <v>3594</v>
      </c>
      <c r="CC31" s="3476" t="s">
        <v>3594</v>
      </c>
      <c r="CD31" s="3476" t="s">
        <v>3594</v>
      </c>
      <c r="CE31" s="3476" t="s">
        <v>3594</v>
      </c>
      <c r="CF31" s="3476" t="s">
        <v>3594</v>
      </c>
      <c r="CG31" s="3476" t="s">
        <v>3594</v>
      </c>
      <c r="CH31" s="3476" t="s">
        <v>3594</v>
      </c>
      <c r="CI31" s="3476" t="s">
        <v>3594</v>
      </c>
      <c r="CJ31" s="3476" t="s">
        <v>3594</v>
      </c>
      <c r="CK31" s="3476" t="s">
        <v>3594</v>
      </c>
      <c r="CL31" s="3476" t="s">
        <v>3594</v>
      </c>
      <c r="CM31" s="3476" t="s">
        <v>3594</v>
      </c>
      <c r="CN31" s="3476" t="s">
        <v>3594</v>
      </c>
    </row>
    <row r="32" spans="1:92" ht="14.1" customHeight="1">
      <c r="A32" s="3475" t="s">
        <v>3661</v>
      </c>
      <c r="B32" s="3475" t="s">
        <v>3662</v>
      </c>
      <c r="C32" s="3475" t="s">
        <v>3669</v>
      </c>
      <c r="D32" s="3475" t="s">
        <v>3663</v>
      </c>
      <c r="E32" s="3475" t="s">
        <v>3664</v>
      </c>
      <c r="F32" s="3475" t="s">
        <v>3665</v>
      </c>
      <c r="G32" s="3475" t="s">
        <v>3666</v>
      </c>
      <c r="H32" s="3475" t="s">
        <v>3667</v>
      </c>
      <c r="I32" s="3475" t="s">
        <v>3612</v>
      </c>
      <c r="J32" s="3475">
        <v>300</v>
      </c>
      <c r="K32" s="3475" t="s">
        <v>3587</v>
      </c>
      <c r="L32" s="3475" t="s">
        <v>3588</v>
      </c>
      <c r="M32" s="3475">
        <v>0.52153499999999997</v>
      </c>
      <c r="N32" s="3475" t="s">
        <v>3589</v>
      </c>
      <c r="O32" s="3475" t="s">
        <v>3668</v>
      </c>
      <c r="P32" s="3475" t="s">
        <v>3594</v>
      </c>
      <c r="Q32" s="3475" t="s">
        <v>3634</v>
      </c>
      <c r="R32" s="3475" t="s">
        <v>3635</v>
      </c>
      <c r="S32" s="3475" t="s">
        <v>3630</v>
      </c>
      <c r="T32" s="3475" t="s">
        <v>3635</v>
      </c>
      <c r="U32" s="3475" t="s">
        <v>3594</v>
      </c>
      <c r="V32" s="3475" t="s">
        <v>3594</v>
      </c>
      <c r="W32" s="3475">
        <v>4850.28</v>
      </c>
      <c r="X32" s="3475">
        <v>4693.82</v>
      </c>
      <c r="Y32" s="3475">
        <v>4850.28</v>
      </c>
      <c r="Z32" s="3475">
        <v>4693.82</v>
      </c>
      <c r="AA32" s="3475">
        <v>4850.28</v>
      </c>
      <c r="AB32" s="3475">
        <v>4850.28</v>
      </c>
      <c r="AC32" s="3475">
        <v>4693.82</v>
      </c>
      <c r="AD32" s="3475">
        <v>4850.28</v>
      </c>
      <c r="AE32" s="3475">
        <v>4693.82</v>
      </c>
      <c r="AF32" s="3475">
        <v>4850.28</v>
      </c>
      <c r="AG32" s="3476">
        <v>4850.28</v>
      </c>
      <c r="AH32" s="3476">
        <v>4537.3500000000004</v>
      </c>
      <c r="AI32" s="3476" t="s">
        <v>3594</v>
      </c>
      <c r="AJ32" s="3476" t="s">
        <v>3594</v>
      </c>
      <c r="AK32" s="3476" t="s">
        <v>3594</v>
      </c>
      <c r="AL32" s="3476" t="s">
        <v>3594</v>
      </c>
      <c r="AM32" s="3476" t="s">
        <v>3594</v>
      </c>
      <c r="AN32" s="3476" t="s">
        <v>3594</v>
      </c>
      <c r="AO32" s="3476" t="s">
        <v>3594</v>
      </c>
      <c r="AP32" s="3476" t="s">
        <v>3594</v>
      </c>
      <c r="AQ32" s="3476" t="s">
        <v>3594</v>
      </c>
      <c r="AR32" s="3476" t="s">
        <v>3594</v>
      </c>
      <c r="AS32" s="3476" t="s">
        <v>3594</v>
      </c>
      <c r="AT32" s="3476" t="s">
        <v>3594</v>
      </c>
      <c r="AU32" s="3476" t="s">
        <v>3594</v>
      </c>
      <c r="AV32" s="3476" t="s">
        <v>3594</v>
      </c>
      <c r="AW32" s="3476" t="s">
        <v>3594</v>
      </c>
      <c r="AX32" s="3476" t="s">
        <v>3594</v>
      </c>
      <c r="AY32" s="3476" t="s">
        <v>3594</v>
      </c>
      <c r="AZ32" s="3476" t="s">
        <v>3594</v>
      </c>
      <c r="BA32" s="3476" t="s">
        <v>3594</v>
      </c>
      <c r="BB32" s="3476" t="s">
        <v>3594</v>
      </c>
      <c r="BC32" s="3476" t="s">
        <v>3594</v>
      </c>
      <c r="BD32" s="3476" t="s">
        <v>3594</v>
      </c>
      <c r="BE32" s="3476" t="s">
        <v>3594</v>
      </c>
      <c r="BF32" s="3476" t="s">
        <v>3594</v>
      </c>
      <c r="BG32" s="3476" t="s">
        <v>3594</v>
      </c>
      <c r="BH32" s="3476" t="s">
        <v>3594</v>
      </c>
      <c r="BI32" s="3476" t="s">
        <v>3594</v>
      </c>
      <c r="BJ32" s="3476" t="s">
        <v>3594</v>
      </c>
      <c r="BK32" s="3476" t="s">
        <v>3594</v>
      </c>
      <c r="BL32" s="3476" t="s">
        <v>3594</v>
      </c>
      <c r="BM32" s="3476" t="s">
        <v>3594</v>
      </c>
      <c r="BN32" s="3476" t="s">
        <v>3594</v>
      </c>
      <c r="BO32" s="3476" t="s">
        <v>3594</v>
      </c>
      <c r="BP32" s="3476" t="s">
        <v>3594</v>
      </c>
      <c r="BQ32" s="3476" t="s">
        <v>3594</v>
      </c>
      <c r="BR32" s="3476" t="s">
        <v>3594</v>
      </c>
      <c r="BS32" s="3476" t="s">
        <v>3594</v>
      </c>
      <c r="BT32" s="3476" t="s">
        <v>3594</v>
      </c>
      <c r="BU32" s="3476" t="s">
        <v>3594</v>
      </c>
      <c r="BV32" s="3476" t="s">
        <v>3594</v>
      </c>
      <c r="BW32" s="3476" t="s">
        <v>3594</v>
      </c>
      <c r="BX32" s="3476" t="s">
        <v>3594</v>
      </c>
      <c r="BY32" s="3476" t="s">
        <v>3594</v>
      </c>
      <c r="BZ32" s="3476" t="s">
        <v>3594</v>
      </c>
      <c r="CA32" s="3476" t="s">
        <v>3594</v>
      </c>
      <c r="CB32" s="3476" t="s">
        <v>3594</v>
      </c>
      <c r="CC32" s="3476" t="s">
        <v>3594</v>
      </c>
      <c r="CD32" s="3476" t="s">
        <v>3594</v>
      </c>
      <c r="CE32" s="3476" t="s">
        <v>3594</v>
      </c>
      <c r="CF32" s="3476" t="s">
        <v>3594</v>
      </c>
      <c r="CG32" s="3476" t="s">
        <v>3594</v>
      </c>
      <c r="CH32" s="3476" t="s">
        <v>3594</v>
      </c>
      <c r="CI32" s="3476" t="s">
        <v>3594</v>
      </c>
      <c r="CJ32" s="3476" t="s">
        <v>3594</v>
      </c>
      <c r="CK32" s="3476" t="s">
        <v>3594</v>
      </c>
      <c r="CL32" s="3476" t="s">
        <v>3594</v>
      </c>
      <c r="CM32" s="3476" t="s">
        <v>3594</v>
      </c>
      <c r="CN32" s="3476" t="s">
        <v>3594</v>
      </c>
    </row>
    <row r="33" spans="1:92" ht="14.1" customHeight="1">
      <c r="A33" s="3475" t="s">
        <v>3670</v>
      </c>
      <c r="B33" s="3475" t="s">
        <v>3671</v>
      </c>
      <c r="C33" s="3475" t="s">
        <v>3672</v>
      </c>
      <c r="D33" s="3475" t="s">
        <v>3673</v>
      </c>
      <c r="E33" s="3475" t="s">
        <v>3674</v>
      </c>
      <c r="F33" s="3475" t="s">
        <v>3665</v>
      </c>
      <c r="G33" s="3475" t="s">
        <v>3666</v>
      </c>
      <c r="H33" s="3475" t="s">
        <v>3675</v>
      </c>
      <c r="I33" s="3475" t="s">
        <v>3612</v>
      </c>
      <c r="J33" s="3475">
        <v>23270.82</v>
      </c>
      <c r="K33" s="3475" t="s">
        <v>3587</v>
      </c>
      <c r="L33" s="3475" t="s">
        <v>3588</v>
      </c>
      <c r="M33" s="3475">
        <v>-0.20391000000000001</v>
      </c>
      <c r="N33" s="3475" t="s">
        <v>3589</v>
      </c>
      <c r="O33" s="3475" t="s">
        <v>3676</v>
      </c>
      <c r="P33" s="3475">
        <v>8905683.3499999996</v>
      </c>
      <c r="Q33" s="3475" t="s">
        <v>3630</v>
      </c>
      <c r="R33" s="3475" t="s">
        <v>3638</v>
      </c>
      <c r="S33" s="3475" t="s">
        <v>3630</v>
      </c>
      <c r="T33" s="3475" t="s">
        <v>3638</v>
      </c>
      <c r="U33" s="3475">
        <v>-147099.74</v>
      </c>
      <c r="V33" s="3475">
        <v>-132864.28</v>
      </c>
      <c r="W33" s="3475">
        <v>-147099.74</v>
      </c>
      <c r="X33" s="3475">
        <v>-142354.59</v>
      </c>
      <c r="Y33" s="3475">
        <v>-147099.74</v>
      </c>
      <c r="Z33" s="3475">
        <v>-142354.59</v>
      </c>
      <c r="AA33" s="3475">
        <v>-147099.74</v>
      </c>
      <c r="AB33" s="3475">
        <v>-147099.74</v>
      </c>
      <c r="AC33" s="3475">
        <v>-142354.59</v>
      </c>
      <c r="AD33" s="3475">
        <v>-147099.74</v>
      </c>
      <c r="AE33" s="3475">
        <v>-142354.59</v>
      </c>
      <c r="AF33" s="3475">
        <v>-147099.74</v>
      </c>
      <c r="AG33" s="3476">
        <v>-147099.74</v>
      </c>
      <c r="AH33" s="3476">
        <v>-137609.43</v>
      </c>
      <c r="AI33" s="3476">
        <v>-147099.74</v>
      </c>
      <c r="AJ33" s="3476">
        <v>-142354.59</v>
      </c>
      <c r="AK33" s="3476">
        <v>-147099.74</v>
      </c>
      <c r="AL33" s="3476">
        <v>-142354.59</v>
      </c>
      <c r="AM33" s="3476">
        <v>-147099.74</v>
      </c>
      <c r="AN33" s="3476">
        <v>-147099.74</v>
      </c>
      <c r="AO33" s="3476">
        <v>-142354.59</v>
      </c>
      <c r="AP33" s="3476">
        <v>-147099.74</v>
      </c>
      <c r="AQ33" s="3476">
        <v>-142354.59</v>
      </c>
      <c r="AR33" s="3476">
        <v>-147099.74</v>
      </c>
      <c r="AS33" s="3476">
        <v>-147099.74</v>
      </c>
      <c r="AT33" s="3476">
        <v>-132864.28</v>
      </c>
      <c r="AU33" s="3476" t="s">
        <v>3594</v>
      </c>
      <c r="AV33" s="3476" t="s">
        <v>3594</v>
      </c>
      <c r="AW33" s="3476" t="s">
        <v>3594</v>
      </c>
      <c r="AX33" s="3476" t="s">
        <v>3594</v>
      </c>
      <c r="AY33" s="3476" t="s">
        <v>3594</v>
      </c>
      <c r="AZ33" s="3476" t="s">
        <v>3594</v>
      </c>
      <c r="BA33" s="3476" t="s">
        <v>3594</v>
      </c>
      <c r="BB33" s="3476" t="s">
        <v>3594</v>
      </c>
      <c r="BC33" s="3476" t="s">
        <v>3594</v>
      </c>
      <c r="BD33" s="3476" t="s">
        <v>3594</v>
      </c>
      <c r="BE33" s="3476" t="s">
        <v>3594</v>
      </c>
      <c r="BF33" s="3476" t="s">
        <v>3594</v>
      </c>
      <c r="BG33" s="3476" t="s">
        <v>3594</v>
      </c>
      <c r="BH33" s="3476" t="s">
        <v>3594</v>
      </c>
      <c r="BI33" s="3476" t="s">
        <v>3594</v>
      </c>
      <c r="BJ33" s="3476" t="s">
        <v>3594</v>
      </c>
      <c r="BK33" s="3476" t="s">
        <v>3594</v>
      </c>
      <c r="BL33" s="3476" t="s">
        <v>3594</v>
      </c>
      <c r="BM33" s="3476" t="s">
        <v>3594</v>
      </c>
      <c r="BN33" s="3476" t="s">
        <v>3594</v>
      </c>
      <c r="BO33" s="3476" t="s">
        <v>3594</v>
      </c>
      <c r="BP33" s="3476" t="s">
        <v>3594</v>
      </c>
      <c r="BQ33" s="3476" t="s">
        <v>3594</v>
      </c>
      <c r="BR33" s="3476" t="s">
        <v>3594</v>
      </c>
      <c r="BS33" s="3476" t="s">
        <v>3594</v>
      </c>
      <c r="BT33" s="3476" t="s">
        <v>3594</v>
      </c>
      <c r="BU33" s="3476" t="s">
        <v>3594</v>
      </c>
      <c r="BV33" s="3476" t="s">
        <v>3594</v>
      </c>
      <c r="BW33" s="3476" t="s">
        <v>3594</v>
      </c>
      <c r="BX33" s="3476" t="s">
        <v>3594</v>
      </c>
      <c r="BY33" s="3476" t="s">
        <v>3594</v>
      </c>
      <c r="BZ33" s="3476" t="s">
        <v>3594</v>
      </c>
      <c r="CA33" s="3476" t="s">
        <v>3594</v>
      </c>
      <c r="CB33" s="3476" t="s">
        <v>3594</v>
      </c>
      <c r="CC33" s="3476" t="s">
        <v>3594</v>
      </c>
      <c r="CD33" s="3476" t="s">
        <v>3594</v>
      </c>
      <c r="CE33" s="3476" t="s">
        <v>3594</v>
      </c>
      <c r="CF33" s="3476" t="s">
        <v>3594</v>
      </c>
      <c r="CG33" s="3476" t="s">
        <v>3594</v>
      </c>
      <c r="CH33" s="3476" t="s">
        <v>3594</v>
      </c>
      <c r="CI33" s="3476" t="s">
        <v>3594</v>
      </c>
      <c r="CJ33" s="3476" t="s">
        <v>3594</v>
      </c>
      <c r="CK33" s="3476" t="s">
        <v>3594</v>
      </c>
      <c r="CL33" s="3476" t="s">
        <v>3594</v>
      </c>
      <c r="CM33" s="3476" t="s">
        <v>3594</v>
      </c>
      <c r="CN33" s="3476" t="s">
        <v>3594</v>
      </c>
    </row>
    <row r="34" spans="1:92" ht="14.1" customHeight="1">
      <c r="A34" s="3475" t="s">
        <v>3670</v>
      </c>
      <c r="B34" s="3475" t="s">
        <v>3671</v>
      </c>
      <c r="C34" s="3475" t="s">
        <v>3599</v>
      </c>
      <c r="D34" s="3475" t="s">
        <v>3673</v>
      </c>
      <c r="E34" s="3475" t="s">
        <v>3674</v>
      </c>
      <c r="F34" s="3475" t="s">
        <v>3665</v>
      </c>
      <c r="G34" s="3475" t="s">
        <v>3666</v>
      </c>
      <c r="H34" s="3475" t="s">
        <v>3675</v>
      </c>
      <c r="I34" s="3475" t="s">
        <v>3612</v>
      </c>
      <c r="J34" s="3475">
        <v>23270.82</v>
      </c>
      <c r="K34" s="3475" t="s">
        <v>3587</v>
      </c>
      <c r="L34" s="3475" t="s">
        <v>3588</v>
      </c>
      <c r="M34" s="3475">
        <v>4.9619850000000003</v>
      </c>
      <c r="N34" s="3475" t="s">
        <v>3589</v>
      </c>
      <c r="O34" s="3475" t="s">
        <v>3676</v>
      </c>
      <c r="P34" s="3475" t="s">
        <v>3594</v>
      </c>
      <c r="Q34" s="3475" t="s">
        <v>3630</v>
      </c>
      <c r="R34" s="3475" t="s">
        <v>3638</v>
      </c>
      <c r="S34" s="3475" t="s">
        <v>3630</v>
      </c>
      <c r="T34" s="3475" t="s">
        <v>3638</v>
      </c>
      <c r="U34" s="3475">
        <v>3579553.25</v>
      </c>
      <c r="V34" s="3475">
        <v>3233144.87</v>
      </c>
      <c r="W34" s="3475">
        <v>3579553.25</v>
      </c>
      <c r="X34" s="3475">
        <v>3464083.79</v>
      </c>
      <c r="Y34" s="3475">
        <v>3579553.25</v>
      </c>
      <c r="Z34" s="3475">
        <v>3464083.79</v>
      </c>
      <c r="AA34" s="3475">
        <v>3579553.25</v>
      </c>
      <c r="AB34" s="3475">
        <v>3579553.25</v>
      </c>
      <c r="AC34" s="3475">
        <v>3464083.79</v>
      </c>
      <c r="AD34" s="3475">
        <v>3579553.25</v>
      </c>
      <c r="AE34" s="3475">
        <v>3464083.79</v>
      </c>
      <c r="AF34" s="3475">
        <v>3579553.25</v>
      </c>
      <c r="AG34" s="3476">
        <v>3579553.25</v>
      </c>
      <c r="AH34" s="3476">
        <v>3348614.33</v>
      </c>
      <c r="AI34" s="3476">
        <v>3579553.25</v>
      </c>
      <c r="AJ34" s="3476">
        <v>3464083.79</v>
      </c>
      <c r="AK34" s="3476">
        <v>3579553.25</v>
      </c>
      <c r="AL34" s="3476">
        <v>3464083.79</v>
      </c>
      <c r="AM34" s="3476">
        <v>3579553.25</v>
      </c>
      <c r="AN34" s="3476">
        <v>3579553.25</v>
      </c>
      <c r="AO34" s="3476">
        <v>3464083.79</v>
      </c>
      <c r="AP34" s="3476">
        <v>3579553.25</v>
      </c>
      <c r="AQ34" s="3476">
        <v>3464083.79</v>
      </c>
      <c r="AR34" s="3476">
        <v>3579553.25</v>
      </c>
      <c r="AS34" s="3476">
        <v>3579553.25</v>
      </c>
      <c r="AT34" s="3476">
        <v>3233144.87</v>
      </c>
      <c r="AU34" s="3476" t="s">
        <v>3594</v>
      </c>
      <c r="AV34" s="3476" t="s">
        <v>3594</v>
      </c>
      <c r="AW34" s="3476" t="s">
        <v>3594</v>
      </c>
      <c r="AX34" s="3476" t="s">
        <v>3594</v>
      </c>
      <c r="AY34" s="3476" t="s">
        <v>3594</v>
      </c>
      <c r="AZ34" s="3476" t="s">
        <v>3594</v>
      </c>
      <c r="BA34" s="3476" t="s">
        <v>3594</v>
      </c>
      <c r="BB34" s="3476" t="s">
        <v>3594</v>
      </c>
      <c r="BC34" s="3476" t="s">
        <v>3594</v>
      </c>
      <c r="BD34" s="3476" t="s">
        <v>3594</v>
      </c>
      <c r="BE34" s="3476" t="s">
        <v>3594</v>
      </c>
      <c r="BF34" s="3476" t="s">
        <v>3594</v>
      </c>
      <c r="BG34" s="3476" t="s">
        <v>3594</v>
      </c>
      <c r="BH34" s="3476" t="s">
        <v>3594</v>
      </c>
      <c r="BI34" s="3476" t="s">
        <v>3594</v>
      </c>
      <c r="BJ34" s="3476" t="s">
        <v>3594</v>
      </c>
      <c r="BK34" s="3476" t="s">
        <v>3594</v>
      </c>
      <c r="BL34" s="3476" t="s">
        <v>3594</v>
      </c>
      <c r="BM34" s="3476" t="s">
        <v>3594</v>
      </c>
      <c r="BN34" s="3476" t="s">
        <v>3594</v>
      </c>
      <c r="BO34" s="3476" t="s">
        <v>3594</v>
      </c>
      <c r="BP34" s="3476" t="s">
        <v>3594</v>
      </c>
      <c r="BQ34" s="3476" t="s">
        <v>3594</v>
      </c>
      <c r="BR34" s="3476" t="s">
        <v>3594</v>
      </c>
      <c r="BS34" s="3476" t="s">
        <v>3594</v>
      </c>
      <c r="BT34" s="3476" t="s">
        <v>3594</v>
      </c>
      <c r="BU34" s="3476" t="s">
        <v>3594</v>
      </c>
      <c r="BV34" s="3476" t="s">
        <v>3594</v>
      </c>
      <c r="BW34" s="3476" t="s">
        <v>3594</v>
      </c>
      <c r="BX34" s="3476" t="s">
        <v>3594</v>
      </c>
      <c r="BY34" s="3476" t="s">
        <v>3594</v>
      </c>
      <c r="BZ34" s="3476" t="s">
        <v>3594</v>
      </c>
      <c r="CA34" s="3476" t="s">
        <v>3594</v>
      </c>
      <c r="CB34" s="3476" t="s">
        <v>3594</v>
      </c>
      <c r="CC34" s="3476" t="s">
        <v>3594</v>
      </c>
      <c r="CD34" s="3476" t="s">
        <v>3594</v>
      </c>
      <c r="CE34" s="3476" t="s">
        <v>3594</v>
      </c>
      <c r="CF34" s="3476" t="s">
        <v>3594</v>
      </c>
      <c r="CG34" s="3476" t="s">
        <v>3594</v>
      </c>
      <c r="CH34" s="3476" t="s">
        <v>3594</v>
      </c>
      <c r="CI34" s="3476" t="s">
        <v>3594</v>
      </c>
      <c r="CJ34" s="3476" t="s">
        <v>3594</v>
      </c>
      <c r="CK34" s="3476" t="s">
        <v>3594</v>
      </c>
      <c r="CL34" s="3476" t="s">
        <v>3594</v>
      </c>
      <c r="CM34" s="3476" t="s">
        <v>3594</v>
      </c>
      <c r="CN34" s="3476" t="s">
        <v>3594</v>
      </c>
    </row>
    <row r="35" spans="1:92" ht="14.1" customHeight="1">
      <c r="A35" s="3475" t="s">
        <v>3670</v>
      </c>
      <c r="B35" s="3475" t="s">
        <v>3671</v>
      </c>
      <c r="C35" s="3475" t="s">
        <v>3603</v>
      </c>
      <c r="D35" s="3475" t="s">
        <v>3673</v>
      </c>
      <c r="E35" s="3475" t="s">
        <v>3674</v>
      </c>
      <c r="F35" s="3475" t="s">
        <v>3665</v>
      </c>
      <c r="G35" s="3475" t="s">
        <v>3666</v>
      </c>
      <c r="H35" s="3475" t="s">
        <v>3675</v>
      </c>
      <c r="I35" s="3475" t="s">
        <v>3612</v>
      </c>
      <c r="J35" s="3475">
        <v>23270.82</v>
      </c>
      <c r="K35" s="3475" t="s">
        <v>3596</v>
      </c>
      <c r="L35" s="3475" t="s">
        <v>3597</v>
      </c>
      <c r="M35" s="3475">
        <v>0.14097999999999999</v>
      </c>
      <c r="N35" s="3475" t="s">
        <v>3598</v>
      </c>
      <c r="O35" s="3475" t="s">
        <v>3676</v>
      </c>
      <c r="P35" s="3475" t="s">
        <v>3594</v>
      </c>
      <c r="Q35" s="3475" t="s">
        <v>3630</v>
      </c>
      <c r="R35" s="3475" t="s">
        <v>3638</v>
      </c>
      <c r="S35" s="3475" t="s">
        <v>3630</v>
      </c>
      <c r="T35" s="3475" t="s">
        <v>3638</v>
      </c>
      <c r="U35" s="3475">
        <v>101702.33</v>
      </c>
      <c r="V35" s="3475">
        <v>91860.17</v>
      </c>
      <c r="W35" s="3475">
        <v>101702.33</v>
      </c>
      <c r="X35" s="3475">
        <v>98421.61</v>
      </c>
      <c r="Y35" s="3475">
        <v>101702.33</v>
      </c>
      <c r="Z35" s="3475">
        <v>98421.61</v>
      </c>
      <c r="AA35" s="3475">
        <v>101702.33</v>
      </c>
      <c r="AB35" s="3475">
        <v>101702.33</v>
      </c>
      <c r="AC35" s="3475">
        <v>98421.61</v>
      </c>
      <c r="AD35" s="3475">
        <v>101702.33</v>
      </c>
      <c r="AE35" s="3475">
        <v>98421.61</v>
      </c>
      <c r="AF35" s="3475">
        <v>101702.33</v>
      </c>
      <c r="AG35" s="3476">
        <v>101702.33</v>
      </c>
      <c r="AH35" s="3476">
        <v>95140.89</v>
      </c>
      <c r="AI35" s="3476">
        <v>101702.33</v>
      </c>
      <c r="AJ35" s="3476">
        <v>98421.61</v>
      </c>
      <c r="AK35" s="3476">
        <v>101702.33</v>
      </c>
      <c r="AL35" s="3476">
        <v>98421.61</v>
      </c>
      <c r="AM35" s="3476">
        <v>101702.33</v>
      </c>
      <c r="AN35" s="3476">
        <v>101702.33</v>
      </c>
      <c r="AO35" s="3476">
        <v>98421.61</v>
      </c>
      <c r="AP35" s="3476">
        <v>101702.33</v>
      </c>
      <c r="AQ35" s="3476">
        <v>98421.61</v>
      </c>
      <c r="AR35" s="3476">
        <v>101702.33</v>
      </c>
      <c r="AS35" s="3476">
        <v>101702.33</v>
      </c>
      <c r="AT35" s="3476">
        <v>91860.17</v>
      </c>
      <c r="AU35" s="3476" t="s">
        <v>3594</v>
      </c>
      <c r="AV35" s="3476" t="s">
        <v>3594</v>
      </c>
      <c r="AW35" s="3476" t="s">
        <v>3594</v>
      </c>
      <c r="AX35" s="3476" t="s">
        <v>3594</v>
      </c>
      <c r="AY35" s="3476" t="s">
        <v>3594</v>
      </c>
      <c r="AZ35" s="3476" t="s">
        <v>3594</v>
      </c>
      <c r="BA35" s="3476" t="s">
        <v>3594</v>
      </c>
      <c r="BB35" s="3476" t="s">
        <v>3594</v>
      </c>
      <c r="BC35" s="3476" t="s">
        <v>3594</v>
      </c>
      <c r="BD35" s="3476" t="s">
        <v>3594</v>
      </c>
      <c r="BE35" s="3476" t="s">
        <v>3594</v>
      </c>
      <c r="BF35" s="3476" t="s">
        <v>3594</v>
      </c>
      <c r="BG35" s="3476" t="s">
        <v>3594</v>
      </c>
      <c r="BH35" s="3476" t="s">
        <v>3594</v>
      </c>
      <c r="BI35" s="3476" t="s">
        <v>3594</v>
      </c>
      <c r="BJ35" s="3476" t="s">
        <v>3594</v>
      </c>
      <c r="BK35" s="3476" t="s">
        <v>3594</v>
      </c>
      <c r="BL35" s="3476" t="s">
        <v>3594</v>
      </c>
      <c r="BM35" s="3476" t="s">
        <v>3594</v>
      </c>
      <c r="BN35" s="3476" t="s">
        <v>3594</v>
      </c>
      <c r="BO35" s="3476" t="s">
        <v>3594</v>
      </c>
      <c r="BP35" s="3476" t="s">
        <v>3594</v>
      </c>
      <c r="BQ35" s="3476" t="s">
        <v>3594</v>
      </c>
      <c r="BR35" s="3476" t="s">
        <v>3594</v>
      </c>
      <c r="BS35" s="3476" t="s">
        <v>3594</v>
      </c>
      <c r="BT35" s="3476" t="s">
        <v>3594</v>
      </c>
      <c r="BU35" s="3476" t="s">
        <v>3594</v>
      </c>
      <c r="BV35" s="3476" t="s">
        <v>3594</v>
      </c>
      <c r="BW35" s="3476" t="s">
        <v>3594</v>
      </c>
      <c r="BX35" s="3476" t="s">
        <v>3594</v>
      </c>
      <c r="BY35" s="3476" t="s">
        <v>3594</v>
      </c>
      <c r="BZ35" s="3476" t="s">
        <v>3594</v>
      </c>
      <c r="CA35" s="3476" t="s">
        <v>3594</v>
      </c>
      <c r="CB35" s="3476" t="s">
        <v>3594</v>
      </c>
      <c r="CC35" s="3476" t="s">
        <v>3594</v>
      </c>
      <c r="CD35" s="3476" t="s">
        <v>3594</v>
      </c>
      <c r="CE35" s="3476" t="s">
        <v>3594</v>
      </c>
      <c r="CF35" s="3476" t="s">
        <v>3594</v>
      </c>
      <c r="CG35" s="3476" t="s">
        <v>3594</v>
      </c>
      <c r="CH35" s="3476" t="s">
        <v>3594</v>
      </c>
      <c r="CI35" s="3476" t="s">
        <v>3594</v>
      </c>
      <c r="CJ35" s="3476" t="s">
        <v>3594</v>
      </c>
      <c r="CK35" s="3476" t="s">
        <v>3594</v>
      </c>
      <c r="CL35" s="3476" t="s">
        <v>3594</v>
      </c>
      <c r="CM35" s="3476" t="s">
        <v>3594</v>
      </c>
      <c r="CN35" s="3476" t="s">
        <v>3594</v>
      </c>
    </row>
    <row r="36" spans="1:92" ht="14.1" customHeight="1">
      <c r="A36" s="3475" t="s">
        <v>3670</v>
      </c>
      <c r="B36" s="3475" t="s">
        <v>3671</v>
      </c>
      <c r="C36" s="3475" t="s">
        <v>3580</v>
      </c>
      <c r="D36" s="3475" t="s">
        <v>3673</v>
      </c>
      <c r="E36" s="3475" t="s">
        <v>3674</v>
      </c>
      <c r="F36" s="3475" t="s">
        <v>3665</v>
      </c>
      <c r="G36" s="3475" t="s">
        <v>3677</v>
      </c>
      <c r="H36" s="3475" t="s">
        <v>3678</v>
      </c>
      <c r="I36" s="3475" t="s">
        <v>3612</v>
      </c>
      <c r="J36" s="3475">
        <v>23300.57</v>
      </c>
      <c r="K36" s="3475" t="s">
        <v>3587</v>
      </c>
      <c r="L36" s="3475" t="s">
        <v>3588</v>
      </c>
      <c r="M36" s="3475">
        <v>4.9619850000000003</v>
      </c>
      <c r="N36" s="3475" t="s">
        <v>3589</v>
      </c>
      <c r="O36" s="3475" t="s">
        <v>3676</v>
      </c>
      <c r="P36" s="3475" t="s">
        <v>3594</v>
      </c>
      <c r="Q36" s="3475" t="s">
        <v>3630</v>
      </c>
      <c r="R36" s="3475" t="s">
        <v>3638</v>
      </c>
      <c r="S36" s="3475" t="s">
        <v>3630</v>
      </c>
      <c r="T36" s="3475" t="s">
        <v>3638</v>
      </c>
      <c r="U36" s="3475">
        <v>3584129.44</v>
      </c>
      <c r="V36" s="3475">
        <v>3237278.21</v>
      </c>
      <c r="W36" s="3475">
        <v>3584129.44</v>
      </c>
      <c r="X36" s="3475">
        <v>3468512.36</v>
      </c>
      <c r="Y36" s="3475">
        <v>3584129.44</v>
      </c>
      <c r="Z36" s="3475">
        <v>3468512.36</v>
      </c>
      <c r="AA36" s="3475">
        <v>3584129.44</v>
      </c>
      <c r="AB36" s="3475">
        <v>3584129.44</v>
      </c>
      <c r="AC36" s="3475">
        <v>3468512.36</v>
      </c>
      <c r="AD36" s="3475">
        <v>3584129.44</v>
      </c>
      <c r="AE36" s="3475">
        <v>3468512.36</v>
      </c>
      <c r="AF36" s="3475">
        <v>3584129.44</v>
      </c>
      <c r="AG36" s="3476">
        <v>3584129.44</v>
      </c>
      <c r="AH36" s="3476">
        <v>3352895.29</v>
      </c>
      <c r="AI36" s="3476">
        <v>3584129.44</v>
      </c>
      <c r="AJ36" s="3476">
        <v>3468512.36</v>
      </c>
      <c r="AK36" s="3476">
        <v>3584129.44</v>
      </c>
      <c r="AL36" s="3476">
        <v>3468512.36</v>
      </c>
      <c r="AM36" s="3476">
        <v>3584129.44</v>
      </c>
      <c r="AN36" s="3476">
        <v>3584129.44</v>
      </c>
      <c r="AO36" s="3476">
        <v>3468512.36</v>
      </c>
      <c r="AP36" s="3476">
        <v>3584129.44</v>
      </c>
      <c r="AQ36" s="3476">
        <v>3468512.36</v>
      </c>
      <c r="AR36" s="3476">
        <v>3584129.44</v>
      </c>
      <c r="AS36" s="3476">
        <v>3584129.44</v>
      </c>
      <c r="AT36" s="3476">
        <v>3237278.21</v>
      </c>
      <c r="AU36" s="3476" t="s">
        <v>3594</v>
      </c>
      <c r="AV36" s="3476" t="s">
        <v>3594</v>
      </c>
      <c r="AW36" s="3476" t="s">
        <v>3594</v>
      </c>
      <c r="AX36" s="3476" t="s">
        <v>3594</v>
      </c>
      <c r="AY36" s="3476" t="s">
        <v>3594</v>
      </c>
      <c r="AZ36" s="3476" t="s">
        <v>3594</v>
      </c>
      <c r="BA36" s="3476" t="s">
        <v>3594</v>
      </c>
      <c r="BB36" s="3476" t="s">
        <v>3594</v>
      </c>
      <c r="BC36" s="3476" t="s">
        <v>3594</v>
      </c>
      <c r="BD36" s="3476" t="s">
        <v>3594</v>
      </c>
      <c r="BE36" s="3476" t="s">
        <v>3594</v>
      </c>
      <c r="BF36" s="3476" t="s">
        <v>3594</v>
      </c>
      <c r="BG36" s="3476" t="s">
        <v>3594</v>
      </c>
      <c r="BH36" s="3476" t="s">
        <v>3594</v>
      </c>
      <c r="BI36" s="3476" t="s">
        <v>3594</v>
      </c>
      <c r="BJ36" s="3476" t="s">
        <v>3594</v>
      </c>
      <c r="BK36" s="3476" t="s">
        <v>3594</v>
      </c>
      <c r="BL36" s="3476" t="s">
        <v>3594</v>
      </c>
      <c r="BM36" s="3476" t="s">
        <v>3594</v>
      </c>
      <c r="BN36" s="3476" t="s">
        <v>3594</v>
      </c>
      <c r="BO36" s="3476" t="s">
        <v>3594</v>
      </c>
      <c r="BP36" s="3476" t="s">
        <v>3594</v>
      </c>
      <c r="BQ36" s="3476" t="s">
        <v>3594</v>
      </c>
      <c r="BR36" s="3476" t="s">
        <v>3594</v>
      </c>
      <c r="BS36" s="3476" t="s">
        <v>3594</v>
      </c>
      <c r="BT36" s="3476" t="s">
        <v>3594</v>
      </c>
      <c r="BU36" s="3476" t="s">
        <v>3594</v>
      </c>
      <c r="BV36" s="3476" t="s">
        <v>3594</v>
      </c>
      <c r="BW36" s="3476" t="s">
        <v>3594</v>
      </c>
      <c r="BX36" s="3476" t="s">
        <v>3594</v>
      </c>
      <c r="BY36" s="3476" t="s">
        <v>3594</v>
      </c>
      <c r="BZ36" s="3476" t="s">
        <v>3594</v>
      </c>
      <c r="CA36" s="3476" t="s">
        <v>3594</v>
      </c>
      <c r="CB36" s="3476" t="s">
        <v>3594</v>
      </c>
      <c r="CC36" s="3476" t="s">
        <v>3594</v>
      </c>
      <c r="CD36" s="3476" t="s">
        <v>3594</v>
      </c>
      <c r="CE36" s="3476" t="s">
        <v>3594</v>
      </c>
      <c r="CF36" s="3476" t="s">
        <v>3594</v>
      </c>
      <c r="CG36" s="3476" t="s">
        <v>3594</v>
      </c>
      <c r="CH36" s="3476" t="s">
        <v>3594</v>
      </c>
      <c r="CI36" s="3476" t="s">
        <v>3594</v>
      </c>
      <c r="CJ36" s="3476" t="s">
        <v>3594</v>
      </c>
      <c r="CK36" s="3476" t="s">
        <v>3594</v>
      </c>
      <c r="CL36" s="3476" t="s">
        <v>3594</v>
      </c>
      <c r="CM36" s="3476" t="s">
        <v>3594</v>
      </c>
      <c r="CN36" s="3476" t="s">
        <v>3594</v>
      </c>
    </row>
    <row r="37" spans="1:92" ht="14.1" customHeight="1">
      <c r="A37" s="3475" t="s">
        <v>3670</v>
      </c>
      <c r="B37" s="3475" t="s">
        <v>3671</v>
      </c>
      <c r="C37" s="3475" t="s">
        <v>3679</v>
      </c>
      <c r="D37" s="3475" t="s">
        <v>3673</v>
      </c>
      <c r="E37" s="3475" t="s">
        <v>3674</v>
      </c>
      <c r="F37" s="3475" t="s">
        <v>3665</v>
      </c>
      <c r="G37" s="3475" t="s">
        <v>3677</v>
      </c>
      <c r="H37" s="3475" t="s">
        <v>3678</v>
      </c>
      <c r="I37" s="3475" t="s">
        <v>3612</v>
      </c>
      <c r="J37" s="3475">
        <v>23300.57</v>
      </c>
      <c r="K37" s="3475" t="s">
        <v>3587</v>
      </c>
      <c r="L37" s="3475" t="s">
        <v>3588</v>
      </c>
      <c r="M37" s="3475">
        <v>-0.20391000000000001</v>
      </c>
      <c r="N37" s="3475" t="s">
        <v>3589</v>
      </c>
      <c r="O37" s="3475" t="s">
        <v>3676</v>
      </c>
      <c r="P37" s="3475" t="s">
        <v>3594</v>
      </c>
      <c r="Q37" s="3475" t="s">
        <v>3630</v>
      </c>
      <c r="R37" s="3475" t="s">
        <v>3638</v>
      </c>
      <c r="S37" s="3475" t="s">
        <v>3630</v>
      </c>
      <c r="T37" s="3475" t="s">
        <v>3638</v>
      </c>
      <c r="U37" s="3475">
        <v>-147287.79999999999</v>
      </c>
      <c r="V37" s="3475">
        <v>-133034.14000000001</v>
      </c>
      <c r="W37" s="3475">
        <v>-147287.79999999999</v>
      </c>
      <c r="X37" s="3475">
        <v>-142536.57999999999</v>
      </c>
      <c r="Y37" s="3475">
        <v>-147287.79999999999</v>
      </c>
      <c r="Z37" s="3475">
        <v>-142536.57999999999</v>
      </c>
      <c r="AA37" s="3475">
        <v>-147287.79999999999</v>
      </c>
      <c r="AB37" s="3475">
        <v>-147287.79999999999</v>
      </c>
      <c r="AC37" s="3475">
        <v>-142536.57999999999</v>
      </c>
      <c r="AD37" s="3475">
        <v>-147287.79999999999</v>
      </c>
      <c r="AE37" s="3475">
        <v>-142536.57999999999</v>
      </c>
      <c r="AF37" s="3475">
        <v>-147287.79999999999</v>
      </c>
      <c r="AG37" s="3476">
        <v>-147287.79999999999</v>
      </c>
      <c r="AH37" s="3476">
        <v>-137785.35999999999</v>
      </c>
      <c r="AI37" s="3476">
        <v>-147287.79999999999</v>
      </c>
      <c r="AJ37" s="3476">
        <v>-142536.57999999999</v>
      </c>
      <c r="AK37" s="3476">
        <v>-147287.79999999999</v>
      </c>
      <c r="AL37" s="3476">
        <v>-142536.57999999999</v>
      </c>
      <c r="AM37" s="3476">
        <v>-147287.79999999999</v>
      </c>
      <c r="AN37" s="3476">
        <v>-147287.79999999999</v>
      </c>
      <c r="AO37" s="3476">
        <v>-142536.57999999999</v>
      </c>
      <c r="AP37" s="3476">
        <v>-147287.79999999999</v>
      </c>
      <c r="AQ37" s="3476">
        <v>-142536.57999999999</v>
      </c>
      <c r="AR37" s="3476">
        <v>-147287.79999999999</v>
      </c>
      <c r="AS37" s="3476">
        <v>-147287.79999999999</v>
      </c>
      <c r="AT37" s="3476">
        <v>-133034.14000000001</v>
      </c>
      <c r="AU37" s="3476" t="s">
        <v>3594</v>
      </c>
      <c r="AV37" s="3476" t="s">
        <v>3594</v>
      </c>
      <c r="AW37" s="3476" t="s">
        <v>3594</v>
      </c>
      <c r="AX37" s="3476" t="s">
        <v>3594</v>
      </c>
      <c r="AY37" s="3476" t="s">
        <v>3594</v>
      </c>
      <c r="AZ37" s="3476" t="s">
        <v>3594</v>
      </c>
      <c r="BA37" s="3476" t="s">
        <v>3594</v>
      </c>
      <c r="BB37" s="3476" t="s">
        <v>3594</v>
      </c>
      <c r="BC37" s="3476" t="s">
        <v>3594</v>
      </c>
      <c r="BD37" s="3476" t="s">
        <v>3594</v>
      </c>
      <c r="BE37" s="3476" t="s">
        <v>3594</v>
      </c>
      <c r="BF37" s="3476" t="s">
        <v>3594</v>
      </c>
      <c r="BG37" s="3476" t="s">
        <v>3594</v>
      </c>
      <c r="BH37" s="3476" t="s">
        <v>3594</v>
      </c>
      <c r="BI37" s="3476" t="s">
        <v>3594</v>
      </c>
      <c r="BJ37" s="3476" t="s">
        <v>3594</v>
      </c>
      <c r="BK37" s="3476" t="s">
        <v>3594</v>
      </c>
      <c r="BL37" s="3476" t="s">
        <v>3594</v>
      </c>
      <c r="BM37" s="3476" t="s">
        <v>3594</v>
      </c>
      <c r="BN37" s="3476" t="s">
        <v>3594</v>
      </c>
      <c r="BO37" s="3476" t="s">
        <v>3594</v>
      </c>
      <c r="BP37" s="3476" t="s">
        <v>3594</v>
      </c>
      <c r="BQ37" s="3476" t="s">
        <v>3594</v>
      </c>
      <c r="BR37" s="3476" t="s">
        <v>3594</v>
      </c>
      <c r="BS37" s="3476" t="s">
        <v>3594</v>
      </c>
      <c r="BT37" s="3476" t="s">
        <v>3594</v>
      </c>
      <c r="BU37" s="3476" t="s">
        <v>3594</v>
      </c>
      <c r="BV37" s="3476" t="s">
        <v>3594</v>
      </c>
      <c r="BW37" s="3476" t="s">
        <v>3594</v>
      </c>
      <c r="BX37" s="3476" t="s">
        <v>3594</v>
      </c>
      <c r="BY37" s="3476" t="s">
        <v>3594</v>
      </c>
      <c r="BZ37" s="3476" t="s">
        <v>3594</v>
      </c>
      <c r="CA37" s="3476" t="s">
        <v>3594</v>
      </c>
      <c r="CB37" s="3476" t="s">
        <v>3594</v>
      </c>
      <c r="CC37" s="3476" t="s">
        <v>3594</v>
      </c>
      <c r="CD37" s="3476" t="s">
        <v>3594</v>
      </c>
      <c r="CE37" s="3476" t="s">
        <v>3594</v>
      </c>
      <c r="CF37" s="3476" t="s">
        <v>3594</v>
      </c>
      <c r="CG37" s="3476" t="s">
        <v>3594</v>
      </c>
      <c r="CH37" s="3476" t="s">
        <v>3594</v>
      </c>
      <c r="CI37" s="3476" t="s">
        <v>3594</v>
      </c>
      <c r="CJ37" s="3476" t="s">
        <v>3594</v>
      </c>
      <c r="CK37" s="3476" t="s">
        <v>3594</v>
      </c>
      <c r="CL37" s="3476" t="s">
        <v>3594</v>
      </c>
      <c r="CM37" s="3476" t="s">
        <v>3594</v>
      </c>
      <c r="CN37" s="3476" t="s">
        <v>3594</v>
      </c>
    </row>
    <row r="38" spans="1:92" ht="14.1" customHeight="1">
      <c r="A38" s="3475" t="s">
        <v>3670</v>
      </c>
      <c r="B38" s="3475" t="s">
        <v>3671</v>
      </c>
      <c r="C38" s="3475" t="s">
        <v>3595</v>
      </c>
      <c r="D38" s="3475" t="s">
        <v>3673</v>
      </c>
      <c r="E38" s="3475" t="s">
        <v>3674</v>
      </c>
      <c r="F38" s="3475" t="s">
        <v>3665</v>
      </c>
      <c r="G38" s="3475" t="s">
        <v>3677</v>
      </c>
      <c r="H38" s="3475" t="s">
        <v>3678</v>
      </c>
      <c r="I38" s="3475" t="s">
        <v>3612</v>
      </c>
      <c r="J38" s="3475">
        <v>23300.57</v>
      </c>
      <c r="K38" s="3475" t="s">
        <v>3596</v>
      </c>
      <c r="L38" s="3475" t="s">
        <v>3597</v>
      </c>
      <c r="M38" s="3475">
        <v>0.14097999999999999</v>
      </c>
      <c r="N38" s="3475" t="s">
        <v>3598</v>
      </c>
      <c r="O38" s="3475" t="s">
        <v>3676</v>
      </c>
      <c r="P38" s="3475" t="s">
        <v>3594</v>
      </c>
      <c r="Q38" s="3475" t="s">
        <v>3630</v>
      </c>
      <c r="R38" s="3475" t="s">
        <v>3638</v>
      </c>
      <c r="S38" s="3475" t="s">
        <v>3630</v>
      </c>
      <c r="T38" s="3475" t="s">
        <v>3638</v>
      </c>
      <c r="U38" s="3475">
        <v>101832.35</v>
      </c>
      <c r="V38" s="3475">
        <v>91977.600000000006</v>
      </c>
      <c r="W38" s="3475">
        <v>101832.35</v>
      </c>
      <c r="X38" s="3475">
        <v>98547.43</v>
      </c>
      <c r="Y38" s="3475">
        <v>101832.35</v>
      </c>
      <c r="Z38" s="3475">
        <v>98547.43</v>
      </c>
      <c r="AA38" s="3475">
        <v>101832.35</v>
      </c>
      <c r="AB38" s="3475">
        <v>101832.35</v>
      </c>
      <c r="AC38" s="3475">
        <v>98547.43</v>
      </c>
      <c r="AD38" s="3475">
        <v>101832.35</v>
      </c>
      <c r="AE38" s="3475">
        <v>98547.43</v>
      </c>
      <c r="AF38" s="3475">
        <v>101832.35</v>
      </c>
      <c r="AG38" s="3476">
        <v>101832.35</v>
      </c>
      <c r="AH38" s="3476">
        <v>95262.52</v>
      </c>
      <c r="AI38" s="3476">
        <v>101832.35</v>
      </c>
      <c r="AJ38" s="3476">
        <v>98547.43</v>
      </c>
      <c r="AK38" s="3476">
        <v>101832.35</v>
      </c>
      <c r="AL38" s="3476">
        <v>98547.43</v>
      </c>
      <c r="AM38" s="3476">
        <v>101832.35</v>
      </c>
      <c r="AN38" s="3476">
        <v>101832.35</v>
      </c>
      <c r="AO38" s="3476">
        <v>98547.43</v>
      </c>
      <c r="AP38" s="3476">
        <v>101832.35</v>
      </c>
      <c r="AQ38" s="3476">
        <v>98547.43</v>
      </c>
      <c r="AR38" s="3476">
        <v>101832.35</v>
      </c>
      <c r="AS38" s="3476">
        <v>101832.35</v>
      </c>
      <c r="AT38" s="3476">
        <v>91977.600000000006</v>
      </c>
      <c r="AU38" s="3476" t="s">
        <v>3594</v>
      </c>
      <c r="AV38" s="3476" t="s">
        <v>3594</v>
      </c>
      <c r="AW38" s="3476" t="s">
        <v>3594</v>
      </c>
      <c r="AX38" s="3476" t="s">
        <v>3594</v>
      </c>
      <c r="AY38" s="3476" t="s">
        <v>3594</v>
      </c>
      <c r="AZ38" s="3476" t="s">
        <v>3594</v>
      </c>
      <c r="BA38" s="3476" t="s">
        <v>3594</v>
      </c>
      <c r="BB38" s="3476" t="s">
        <v>3594</v>
      </c>
      <c r="BC38" s="3476" t="s">
        <v>3594</v>
      </c>
      <c r="BD38" s="3476" t="s">
        <v>3594</v>
      </c>
      <c r="BE38" s="3476" t="s">
        <v>3594</v>
      </c>
      <c r="BF38" s="3476" t="s">
        <v>3594</v>
      </c>
      <c r="BG38" s="3476" t="s">
        <v>3594</v>
      </c>
      <c r="BH38" s="3476" t="s">
        <v>3594</v>
      </c>
      <c r="BI38" s="3476" t="s">
        <v>3594</v>
      </c>
      <c r="BJ38" s="3476" t="s">
        <v>3594</v>
      </c>
      <c r="BK38" s="3476" t="s">
        <v>3594</v>
      </c>
      <c r="BL38" s="3476" t="s">
        <v>3594</v>
      </c>
      <c r="BM38" s="3476" t="s">
        <v>3594</v>
      </c>
      <c r="BN38" s="3476" t="s">
        <v>3594</v>
      </c>
      <c r="BO38" s="3476" t="s">
        <v>3594</v>
      </c>
      <c r="BP38" s="3476" t="s">
        <v>3594</v>
      </c>
      <c r="BQ38" s="3476" t="s">
        <v>3594</v>
      </c>
      <c r="BR38" s="3476" t="s">
        <v>3594</v>
      </c>
      <c r="BS38" s="3476" t="s">
        <v>3594</v>
      </c>
      <c r="BT38" s="3476" t="s">
        <v>3594</v>
      </c>
      <c r="BU38" s="3476" t="s">
        <v>3594</v>
      </c>
      <c r="BV38" s="3476" t="s">
        <v>3594</v>
      </c>
      <c r="BW38" s="3476" t="s">
        <v>3594</v>
      </c>
      <c r="BX38" s="3476" t="s">
        <v>3594</v>
      </c>
      <c r="BY38" s="3476" t="s">
        <v>3594</v>
      </c>
      <c r="BZ38" s="3476" t="s">
        <v>3594</v>
      </c>
      <c r="CA38" s="3476" t="s">
        <v>3594</v>
      </c>
      <c r="CB38" s="3476" t="s">
        <v>3594</v>
      </c>
      <c r="CC38" s="3476" t="s">
        <v>3594</v>
      </c>
      <c r="CD38" s="3476" t="s">
        <v>3594</v>
      </c>
      <c r="CE38" s="3476" t="s">
        <v>3594</v>
      </c>
      <c r="CF38" s="3476" t="s">
        <v>3594</v>
      </c>
      <c r="CG38" s="3476" t="s">
        <v>3594</v>
      </c>
      <c r="CH38" s="3476" t="s">
        <v>3594</v>
      </c>
      <c r="CI38" s="3476" t="s">
        <v>3594</v>
      </c>
      <c r="CJ38" s="3476" t="s">
        <v>3594</v>
      </c>
      <c r="CK38" s="3476" t="s">
        <v>3594</v>
      </c>
      <c r="CL38" s="3476" t="s">
        <v>3594</v>
      </c>
      <c r="CM38" s="3476" t="s">
        <v>3594</v>
      </c>
      <c r="CN38" s="3476" t="s">
        <v>3594</v>
      </c>
    </row>
    <row r="39" spans="1:92" ht="14.1" customHeight="1">
      <c r="A39" s="3475" t="s">
        <v>3670</v>
      </c>
      <c r="B39" s="3475" t="s">
        <v>3671</v>
      </c>
      <c r="C39" s="3475" t="s">
        <v>3580</v>
      </c>
      <c r="D39" s="3475" t="s">
        <v>3673</v>
      </c>
      <c r="E39" s="3475" t="s">
        <v>3674</v>
      </c>
      <c r="F39" s="3475" t="s">
        <v>3665</v>
      </c>
      <c r="G39" s="3475" t="s">
        <v>3680</v>
      </c>
      <c r="H39" s="3475" t="s">
        <v>3405</v>
      </c>
      <c r="I39" s="3475" t="s">
        <v>3612</v>
      </c>
      <c r="J39" s="3475">
        <v>642.77</v>
      </c>
      <c r="K39" s="3475" t="s">
        <v>3587</v>
      </c>
      <c r="L39" s="3475" t="s">
        <v>3588</v>
      </c>
      <c r="M39" s="3475">
        <v>4.9619850000000003</v>
      </c>
      <c r="N39" s="3475" t="s">
        <v>3589</v>
      </c>
      <c r="O39" s="3475" t="s">
        <v>3676</v>
      </c>
      <c r="P39" s="3475" t="s">
        <v>3594</v>
      </c>
      <c r="Q39" s="3475" t="s">
        <v>3630</v>
      </c>
      <c r="R39" s="3475" t="s">
        <v>3638</v>
      </c>
      <c r="S39" s="3475" t="s">
        <v>3630</v>
      </c>
      <c r="T39" s="3475" t="s">
        <v>3638</v>
      </c>
      <c r="U39" s="3475">
        <v>98871.87</v>
      </c>
      <c r="V39" s="3475">
        <v>89303.62</v>
      </c>
      <c r="W39" s="3475">
        <v>98871.87</v>
      </c>
      <c r="X39" s="3475">
        <v>95682.45</v>
      </c>
      <c r="Y39" s="3475">
        <v>98871.87</v>
      </c>
      <c r="Z39" s="3475">
        <v>95682.45</v>
      </c>
      <c r="AA39" s="3475">
        <v>98871.87</v>
      </c>
      <c r="AB39" s="3475">
        <v>98871.87</v>
      </c>
      <c r="AC39" s="3475">
        <v>95682.45</v>
      </c>
      <c r="AD39" s="3475">
        <v>98871.87</v>
      </c>
      <c r="AE39" s="3475">
        <v>95682.45</v>
      </c>
      <c r="AF39" s="3475">
        <v>98871.87</v>
      </c>
      <c r="AG39" s="3476">
        <v>98871.87</v>
      </c>
      <c r="AH39" s="3476">
        <v>92493.04</v>
      </c>
      <c r="AI39" s="3476">
        <v>98871.87</v>
      </c>
      <c r="AJ39" s="3476">
        <v>95682.45</v>
      </c>
      <c r="AK39" s="3476">
        <v>98871.87</v>
      </c>
      <c r="AL39" s="3476">
        <v>95682.45</v>
      </c>
      <c r="AM39" s="3476">
        <v>98871.87</v>
      </c>
      <c r="AN39" s="3476">
        <v>98871.87</v>
      </c>
      <c r="AO39" s="3476">
        <v>95682.45</v>
      </c>
      <c r="AP39" s="3476">
        <v>98871.87</v>
      </c>
      <c r="AQ39" s="3476">
        <v>95682.45</v>
      </c>
      <c r="AR39" s="3476">
        <v>98871.87</v>
      </c>
      <c r="AS39" s="3476">
        <v>98871.87</v>
      </c>
      <c r="AT39" s="3476">
        <v>89303.62</v>
      </c>
      <c r="AU39" s="3476" t="s">
        <v>3594</v>
      </c>
      <c r="AV39" s="3476" t="s">
        <v>3594</v>
      </c>
      <c r="AW39" s="3476" t="s">
        <v>3594</v>
      </c>
      <c r="AX39" s="3476" t="s">
        <v>3594</v>
      </c>
      <c r="AY39" s="3476" t="s">
        <v>3594</v>
      </c>
      <c r="AZ39" s="3476" t="s">
        <v>3594</v>
      </c>
      <c r="BA39" s="3476" t="s">
        <v>3594</v>
      </c>
      <c r="BB39" s="3476" t="s">
        <v>3594</v>
      </c>
      <c r="BC39" s="3476" t="s">
        <v>3594</v>
      </c>
      <c r="BD39" s="3476" t="s">
        <v>3594</v>
      </c>
      <c r="BE39" s="3476" t="s">
        <v>3594</v>
      </c>
      <c r="BF39" s="3476" t="s">
        <v>3594</v>
      </c>
      <c r="BG39" s="3476" t="s">
        <v>3594</v>
      </c>
      <c r="BH39" s="3476" t="s">
        <v>3594</v>
      </c>
      <c r="BI39" s="3476" t="s">
        <v>3594</v>
      </c>
      <c r="BJ39" s="3476" t="s">
        <v>3594</v>
      </c>
      <c r="BK39" s="3476" t="s">
        <v>3594</v>
      </c>
      <c r="BL39" s="3476" t="s">
        <v>3594</v>
      </c>
      <c r="BM39" s="3476" t="s">
        <v>3594</v>
      </c>
      <c r="BN39" s="3476" t="s">
        <v>3594</v>
      </c>
      <c r="BO39" s="3476" t="s">
        <v>3594</v>
      </c>
      <c r="BP39" s="3476" t="s">
        <v>3594</v>
      </c>
      <c r="BQ39" s="3476" t="s">
        <v>3594</v>
      </c>
      <c r="BR39" s="3476" t="s">
        <v>3594</v>
      </c>
      <c r="BS39" s="3476" t="s">
        <v>3594</v>
      </c>
      <c r="BT39" s="3476" t="s">
        <v>3594</v>
      </c>
      <c r="BU39" s="3476" t="s">
        <v>3594</v>
      </c>
      <c r="BV39" s="3476" t="s">
        <v>3594</v>
      </c>
      <c r="BW39" s="3476" t="s">
        <v>3594</v>
      </c>
      <c r="BX39" s="3476" t="s">
        <v>3594</v>
      </c>
      <c r="BY39" s="3476" t="s">
        <v>3594</v>
      </c>
      <c r="BZ39" s="3476" t="s">
        <v>3594</v>
      </c>
      <c r="CA39" s="3476" t="s">
        <v>3594</v>
      </c>
      <c r="CB39" s="3476" t="s">
        <v>3594</v>
      </c>
      <c r="CC39" s="3476" t="s">
        <v>3594</v>
      </c>
      <c r="CD39" s="3476" t="s">
        <v>3594</v>
      </c>
      <c r="CE39" s="3476" t="s">
        <v>3594</v>
      </c>
      <c r="CF39" s="3476" t="s">
        <v>3594</v>
      </c>
      <c r="CG39" s="3476" t="s">
        <v>3594</v>
      </c>
      <c r="CH39" s="3476" t="s">
        <v>3594</v>
      </c>
      <c r="CI39" s="3476" t="s">
        <v>3594</v>
      </c>
      <c r="CJ39" s="3476" t="s">
        <v>3594</v>
      </c>
      <c r="CK39" s="3476" t="s">
        <v>3594</v>
      </c>
      <c r="CL39" s="3476" t="s">
        <v>3594</v>
      </c>
      <c r="CM39" s="3476" t="s">
        <v>3594</v>
      </c>
      <c r="CN39" s="3476" t="s">
        <v>3594</v>
      </c>
    </row>
    <row r="40" spans="1:92" ht="14.1" customHeight="1">
      <c r="A40" s="3475" t="s">
        <v>3670</v>
      </c>
      <c r="B40" s="3475" t="s">
        <v>3671</v>
      </c>
      <c r="C40" s="3475" t="s">
        <v>3679</v>
      </c>
      <c r="D40" s="3475" t="s">
        <v>3673</v>
      </c>
      <c r="E40" s="3475" t="s">
        <v>3674</v>
      </c>
      <c r="F40" s="3475" t="s">
        <v>3665</v>
      </c>
      <c r="G40" s="3475" t="s">
        <v>3680</v>
      </c>
      <c r="H40" s="3475" t="s">
        <v>3405</v>
      </c>
      <c r="I40" s="3475" t="s">
        <v>3612</v>
      </c>
      <c r="J40" s="3475">
        <v>642.77</v>
      </c>
      <c r="K40" s="3475" t="s">
        <v>3587</v>
      </c>
      <c r="L40" s="3475" t="s">
        <v>3588</v>
      </c>
      <c r="M40" s="3475">
        <v>-0.20391000000000001</v>
      </c>
      <c r="N40" s="3475" t="s">
        <v>3589</v>
      </c>
      <c r="O40" s="3475" t="s">
        <v>3676</v>
      </c>
      <c r="P40" s="3475" t="s">
        <v>3594</v>
      </c>
      <c r="Q40" s="3475" t="s">
        <v>3630</v>
      </c>
      <c r="R40" s="3475" t="s">
        <v>3638</v>
      </c>
      <c r="S40" s="3475" t="s">
        <v>3630</v>
      </c>
      <c r="T40" s="3475" t="s">
        <v>3638</v>
      </c>
      <c r="U40" s="3475">
        <v>-4063.08</v>
      </c>
      <c r="V40" s="3475">
        <v>-3669.88</v>
      </c>
      <c r="W40" s="3475">
        <v>-4063.08</v>
      </c>
      <c r="X40" s="3475">
        <v>-3932.02</v>
      </c>
      <c r="Y40" s="3475">
        <v>-4063.08</v>
      </c>
      <c r="Z40" s="3475">
        <v>-3932.02</v>
      </c>
      <c r="AA40" s="3475">
        <v>-4063.08</v>
      </c>
      <c r="AB40" s="3475">
        <v>-4063.08</v>
      </c>
      <c r="AC40" s="3475">
        <v>-3932.02</v>
      </c>
      <c r="AD40" s="3475">
        <v>-4063.08</v>
      </c>
      <c r="AE40" s="3475">
        <v>-3932.02</v>
      </c>
      <c r="AF40" s="3475">
        <v>-4063.08</v>
      </c>
      <c r="AG40" s="3476">
        <v>-4063.08</v>
      </c>
      <c r="AH40" s="3476">
        <v>-3800.95</v>
      </c>
      <c r="AI40" s="3476">
        <v>-4063.08</v>
      </c>
      <c r="AJ40" s="3476">
        <v>-3932.02</v>
      </c>
      <c r="AK40" s="3476">
        <v>-4063.08</v>
      </c>
      <c r="AL40" s="3476">
        <v>-3932.02</v>
      </c>
      <c r="AM40" s="3476">
        <v>-4063.08</v>
      </c>
      <c r="AN40" s="3476">
        <v>-4063.08</v>
      </c>
      <c r="AO40" s="3476">
        <v>-3932.02</v>
      </c>
      <c r="AP40" s="3476">
        <v>-4063.08</v>
      </c>
      <c r="AQ40" s="3476">
        <v>-3932.02</v>
      </c>
      <c r="AR40" s="3476">
        <v>-4063.08</v>
      </c>
      <c r="AS40" s="3476">
        <v>-4063.08</v>
      </c>
      <c r="AT40" s="3476">
        <v>-3669.88</v>
      </c>
      <c r="AU40" s="3476" t="s">
        <v>3594</v>
      </c>
      <c r="AV40" s="3476" t="s">
        <v>3594</v>
      </c>
      <c r="AW40" s="3476" t="s">
        <v>3594</v>
      </c>
      <c r="AX40" s="3476" t="s">
        <v>3594</v>
      </c>
      <c r="AY40" s="3476" t="s">
        <v>3594</v>
      </c>
      <c r="AZ40" s="3476" t="s">
        <v>3594</v>
      </c>
      <c r="BA40" s="3476" t="s">
        <v>3594</v>
      </c>
      <c r="BB40" s="3476" t="s">
        <v>3594</v>
      </c>
      <c r="BC40" s="3476" t="s">
        <v>3594</v>
      </c>
      <c r="BD40" s="3476" t="s">
        <v>3594</v>
      </c>
      <c r="BE40" s="3476" t="s">
        <v>3594</v>
      </c>
      <c r="BF40" s="3476" t="s">
        <v>3594</v>
      </c>
      <c r="BG40" s="3476" t="s">
        <v>3594</v>
      </c>
      <c r="BH40" s="3476" t="s">
        <v>3594</v>
      </c>
      <c r="BI40" s="3476" t="s">
        <v>3594</v>
      </c>
      <c r="BJ40" s="3476" t="s">
        <v>3594</v>
      </c>
      <c r="BK40" s="3476" t="s">
        <v>3594</v>
      </c>
      <c r="BL40" s="3476" t="s">
        <v>3594</v>
      </c>
      <c r="BM40" s="3476" t="s">
        <v>3594</v>
      </c>
      <c r="BN40" s="3476" t="s">
        <v>3594</v>
      </c>
      <c r="BO40" s="3476" t="s">
        <v>3594</v>
      </c>
      <c r="BP40" s="3476" t="s">
        <v>3594</v>
      </c>
      <c r="BQ40" s="3476" t="s">
        <v>3594</v>
      </c>
      <c r="BR40" s="3476" t="s">
        <v>3594</v>
      </c>
      <c r="BS40" s="3476" t="s">
        <v>3594</v>
      </c>
      <c r="BT40" s="3476" t="s">
        <v>3594</v>
      </c>
      <c r="BU40" s="3476" t="s">
        <v>3594</v>
      </c>
      <c r="BV40" s="3476" t="s">
        <v>3594</v>
      </c>
      <c r="BW40" s="3476" t="s">
        <v>3594</v>
      </c>
      <c r="BX40" s="3476" t="s">
        <v>3594</v>
      </c>
      <c r="BY40" s="3476" t="s">
        <v>3594</v>
      </c>
      <c r="BZ40" s="3476" t="s">
        <v>3594</v>
      </c>
      <c r="CA40" s="3476" t="s">
        <v>3594</v>
      </c>
      <c r="CB40" s="3476" t="s">
        <v>3594</v>
      </c>
      <c r="CC40" s="3476" t="s">
        <v>3594</v>
      </c>
      <c r="CD40" s="3476" t="s">
        <v>3594</v>
      </c>
      <c r="CE40" s="3476" t="s">
        <v>3594</v>
      </c>
      <c r="CF40" s="3476" t="s">
        <v>3594</v>
      </c>
      <c r="CG40" s="3476" t="s">
        <v>3594</v>
      </c>
      <c r="CH40" s="3476" t="s">
        <v>3594</v>
      </c>
      <c r="CI40" s="3476" t="s">
        <v>3594</v>
      </c>
      <c r="CJ40" s="3476" t="s">
        <v>3594</v>
      </c>
      <c r="CK40" s="3476" t="s">
        <v>3594</v>
      </c>
      <c r="CL40" s="3476" t="s">
        <v>3594</v>
      </c>
      <c r="CM40" s="3476" t="s">
        <v>3594</v>
      </c>
      <c r="CN40" s="3476" t="s">
        <v>3594</v>
      </c>
    </row>
    <row r="41" spans="1:92" ht="14.1" customHeight="1">
      <c r="A41" s="3475" t="s">
        <v>3670</v>
      </c>
      <c r="B41" s="3475" t="s">
        <v>3671</v>
      </c>
      <c r="C41" s="3475" t="s">
        <v>3595</v>
      </c>
      <c r="D41" s="3475" t="s">
        <v>3673</v>
      </c>
      <c r="E41" s="3475" t="s">
        <v>3674</v>
      </c>
      <c r="F41" s="3475" t="s">
        <v>3665</v>
      </c>
      <c r="G41" s="3475" t="s">
        <v>3680</v>
      </c>
      <c r="H41" s="3475" t="s">
        <v>3405</v>
      </c>
      <c r="I41" s="3475" t="s">
        <v>3612</v>
      </c>
      <c r="J41" s="3475">
        <v>642.77</v>
      </c>
      <c r="K41" s="3475" t="s">
        <v>3596</v>
      </c>
      <c r="L41" s="3475" t="s">
        <v>3597</v>
      </c>
      <c r="M41" s="3475">
        <v>0.14097999999999999</v>
      </c>
      <c r="N41" s="3475" t="s">
        <v>3598</v>
      </c>
      <c r="O41" s="3475" t="s">
        <v>3676</v>
      </c>
      <c r="P41" s="3475" t="s">
        <v>3594</v>
      </c>
      <c r="Q41" s="3475" t="s">
        <v>3630</v>
      </c>
      <c r="R41" s="3475" t="s">
        <v>3638</v>
      </c>
      <c r="S41" s="3475" t="s">
        <v>3630</v>
      </c>
      <c r="T41" s="3475" t="s">
        <v>3638</v>
      </c>
      <c r="U41" s="3475">
        <v>2809.15</v>
      </c>
      <c r="V41" s="3475">
        <v>2537.3000000000002</v>
      </c>
      <c r="W41" s="3475">
        <v>2809.15</v>
      </c>
      <c r="X41" s="3475">
        <v>2718.53</v>
      </c>
      <c r="Y41" s="3475">
        <v>2809.15</v>
      </c>
      <c r="Z41" s="3475">
        <v>2718.53</v>
      </c>
      <c r="AA41" s="3475">
        <v>2809.15</v>
      </c>
      <c r="AB41" s="3475">
        <v>2809.15</v>
      </c>
      <c r="AC41" s="3475">
        <v>2718.53</v>
      </c>
      <c r="AD41" s="3475">
        <v>2809.15</v>
      </c>
      <c r="AE41" s="3475">
        <v>2718.53</v>
      </c>
      <c r="AF41" s="3475">
        <v>2809.15</v>
      </c>
      <c r="AG41" s="3476">
        <v>2809.15</v>
      </c>
      <c r="AH41" s="3476">
        <v>2627.91</v>
      </c>
      <c r="AI41" s="3476">
        <v>2809.15</v>
      </c>
      <c r="AJ41" s="3476">
        <v>2718.53</v>
      </c>
      <c r="AK41" s="3476">
        <v>2809.15</v>
      </c>
      <c r="AL41" s="3476">
        <v>2718.53</v>
      </c>
      <c r="AM41" s="3476">
        <v>2809.15</v>
      </c>
      <c r="AN41" s="3476">
        <v>2809.15</v>
      </c>
      <c r="AO41" s="3476">
        <v>2718.53</v>
      </c>
      <c r="AP41" s="3476">
        <v>2809.15</v>
      </c>
      <c r="AQ41" s="3476">
        <v>2718.53</v>
      </c>
      <c r="AR41" s="3476">
        <v>2809.15</v>
      </c>
      <c r="AS41" s="3476">
        <v>2809.15</v>
      </c>
      <c r="AT41" s="3476">
        <v>2537.3000000000002</v>
      </c>
      <c r="AU41" s="3476" t="s">
        <v>3594</v>
      </c>
      <c r="AV41" s="3476" t="s">
        <v>3594</v>
      </c>
      <c r="AW41" s="3476" t="s">
        <v>3594</v>
      </c>
      <c r="AX41" s="3476" t="s">
        <v>3594</v>
      </c>
      <c r="AY41" s="3476" t="s">
        <v>3594</v>
      </c>
      <c r="AZ41" s="3476" t="s">
        <v>3594</v>
      </c>
      <c r="BA41" s="3476" t="s">
        <v>3594</v>
      </c>
      <c r="BB41" s="3476" t="s">
        <v>3594</v>
      </c>
      <c r="BC41" s="3476" t="s">
        <v>3594</v>
      </c>
      <c r="BD41" s="3476" t="s">
        <v>3594</v>
      </c>
      <c r="BE41" s="3476" t="s">
        <v>3594</v>
      </c>
      <c r="BF41" s="3476" t="s">
        <v>3594</v>
      </c>
      <c r="BG41" s="3476" t="s">
        <v>3594</v>
      </c>
      <c r="BH41" s="3476" t="s">
        <v>3594</v>
      </c>
      <c r="BI41" s="3476" t="s">
        <v>3594</v>
      </c>
      <c r="BJ41" s="3476" t="s">
        <v>3594</v>
      </c>
      <c r="BK41" s="3476" t="s">
        <v>3594</v>
      </c>
      <c r="BL41" s="3476" t="s">
        <v>3594</v>
      </c>
      <c r="BM41" s="3476" t="s">
        <v>3594</v>
      </c>
      <c r="BN41" s="3476" t="s">
        <v>3594</v>
      </c>
      <c r="BO41" s="3476" t="s">
        <v>3594</v>
      </c>
      <c r="BP41" s="3476" t="s">
        <v>3594</v>
      </c>
      <c r="BQ41" s="3476" t="s">
        <v>3594</v>
      </c>
      <c r="BR41" s="3476" t="s">
        <v>3594</v>
      </c>
      <c r="BS41" s="3476" t="s">
        <v>3594</v>
      </c>
      <c r="BT41" s="3476" t="s">
        <v>3594</v>
      </c>
      <c r="BU41" s="3476" t="s">
        <v>3594</v>
      </c>
      <c r="BV41" s="3476" t="s">
        <v>3594</v>
      </c>
      <c r="BW41" s="3476" t="s">
        <v>3594</v>
      </c>
      <c r="BX41" s="3476" t="s">
        <v>3594</v>
      </c>
      <c r="BY41" s="3476" t="s">
        <v>3594</v>
      </c>
      <c r="BZ41" s="3476" t="s">
        <v>3594</v>
      </c>
      <c r="CA41" s="3476" t="s">
        <v>3594</v>
      </c>
      <c r="CB41" s="3476" t="s">
        <v>3594</v>
      </c>
      <c r="CC41" s="3476" t="s">
        <v>3594</v>
      </c>
      <c r="CD41" s="3476" t="s">
        <v>3594</v>
      </c>
      <c r="CE41" s="3476" t="s">
        <v>3594</v>
      </c>
      <c r="CF41" s="3476" t="s">
        <v>3594</v>
      </c>
      <c r="CG41" s="3476" t="s">
        <v>3594</v>
      </c>
      <c r="CH41" s="3476" t="s">
        <v>3594</v>
      </c>
      <c r="CI41" s="3476" t="s">
        <v>3594</v>
      </c>
      <c r="CJ41" s="3476" t="s">
        <v>3594</v>
      </c>
      <c r="CK41" s="3476" t="s">
        <v>3594</v>
      </c>
      <c r="CL41" s="3476" t="s">
        <v>3594</v>
      </c>
      <c r="CM41" s="3476" t="s">
        <v>3594</v>
      </c>
      <c r="CN41" s="3476" t="s">
        <v>3594</v>
      </c>
    </row>
    <row r="42" spans="1:92" ht="14.1" customHeight="1">
      <c r="A42" s="3475" t="s">
        <v>3670</v>
      </c>
      <c r="B42" s="3475" t="s">
        <v>3671</v>
      </c>
      <c r="C42" s="3475" t="s">
        <v>3580</v>
      </c>
      <c r="D42" s="3475" t="s">
        <v>3673</v>
      </c>
      <c r="E42" s="3475" t="s">
        <v>3674</v>
      </c>
      <c r="F42" s="3475" t="s">
        <v>3665</v>
      </c>
      <c r="G42" s="3475" t="s">
        <v>3681</v>
      </c>
      <c r="H42" s="3475" t="s">
        <v>3682</v>
      </c>
      <c r="I42" s="3475" t="s">
        <v>3612</v>
      </c>
      <c r="J42" s="3475">
        <v>12611.92</v>
      </c>
      <c r="K42" s="3475" t="s">
        <v>3587</v>
      </c>
      <c r="L42" s="3475" t="s">
        <v>3588</v>
      </c>
      <c r="M42" s="3475">
        <v>4.9619850000000003</v>
      </c>
      <c r="N42" s="3475" t="s">
        <v>3589</v>
      </c>
      <c r="O42" s="3475" t="s">
        <v>3676</v>
      </c>
      <c r="P42" s="3475" t="s">
        <v>3594</v>
      </c>
      <c r="Q42" s="3475" t="s">
        <v>3630</v>
      </c>
      <c r="R42" s="3475" t="s">
        <v>3638</v>
      </c>
      <c r="S42" s="3475" t="s">
        <v>3630</v>
      </c>
      <c r="T42" s="3475" t="s">
        <v>3638</v>
      </c>
      <c r="U42" s="3475">
        <v>1939984.89</v>
      </c>
      <c r="V42" s="3475">
        <v>1752244.42</v>
      </c>
      <c r="W42" s="3475">
        <v>1939984.89</v>
      </c>
      <c r="X42" s="3475">
        <v>1877404.74</v>
      </c>
      <c r="Y42" s="3475">
        <v>1939984.89</v>
      </c>
      <c r="Z42" s="3475">
        <v>1877404.74</v>
      </c>
      <c r="AA42" s="3475">
        <v>1939984.89</v>
      </c>
      <c r="AB42" s="3475">
        <v>1939984.89</v>
      </c>
      <c r="AC42" s="3475">
        <v>1877404.74</v>
      </c>
      <c r="AD42" s="3475">
        <v>1939984.89</v>
      </c>
      <c r="AE42" s="3475">
        <v>1877404.74</v>
      </c>
      <c r="AF42" s="3475">
        <v>1939984.89</v>
      </c>
      <c r="AG42" s="3476">
        <v>1939984.89</v>
      </c>
      <c r="AH42" s="3476">
        <v>1814824.58</v>
      </c>
      <c r="AI42" s="3476">
        <v>1939984.89</v>
      </c>
      <c r="AJ42" s="3476">
        <v>1877404.74</v>
      </c>
      <c r="AK42" s="3476">
        <v>1939984.89</v>
      </c>
      <c r="AL42" s="3476">
        <v>1877404.74</v>
      </c>
      <c r="AM42" s="3476">
        <v>1939984.89</v>
      </c>
      <c r="AN42" s="3476">
        <v>1939984.89</v>
      </c>
      <c r="AO42" s="3476">
        <v>1877404.74</v>
      </c>
      <c r="AP42" s="3476">
        <v>1939984.89</v>
      </c>
      <c r="AQ42" s="3476">
        <v>1877404.74</v>
      </c>
      <c r="AR42" s="3476">
        <v>1939984.89</v>
      </c>
      <c r="AS42" s="3476">
        <v>1939984.89</v>
      </c>
      <c r="AT42" s="3476">
        <v>1752244.42</v>
      </c>
      <c r="AU42" s="3476" t="s">
        <v>3594</v>
      </c>
      <c r="AV42" s="3476" t="s">
        <v>3594</v>
      </c>
      <c r="AW42" s="3476" t="s">
        <v>3594</v>
      </c>
      <c r="AX42" s="3476" t="s">
        <v>3594</v>
      </c>
      <c r="AY42" s="3476" t="s">
        <v>3594</v>
      </c>
      <c r="AZ42" s="3476" t="s">
        <v>3594</v>
      </c>
      <c r="BA42" s="3476" t="s">
        <v>3594</v>
      </c>
      <c r="BB42" s="3476" t="s">
        <v>3594</v>
      </c>
      <c r="BC42" s="3476" t="s">
        <v>3594</v>
      </c>
      <c r="BD42" s="3476" t="s">
        <v>3594</v>
      </c>
      <c r="BE42" s="3476" t="s">
        <v>3594</v>
      </c>
      <c r="BF42" s="3476" t="s">
        <v>3594</v>
      </c>
      <c r="BG42" s="3476" t="s">
        <v>3594</v>
      </c>
      <c r="BH42" s="3476" t="s">
        <v>3594</v>
      </c>
      <c r="BI42" s="3476" t="s">
        <v>3594</v>
      </c>
      <c r="BJ42" s="3476" t="s">
        <v>3594</v>
      </c>
      <c r="BK42" s="3476" t="s">
        <v>3594</v>
      </c>
      <c r="BL42" s="3476" t="s">
        <v>3594</v>
      </c>
      <c r="BM42" s="3476" t="s">
        <v>3594</v>
      </c>
      <c r="BN42" s="3476" t="s">
        <v>3594</v>
      </c>
      <c r="BO42" s="3476" t="s">
        <v>3594</v>
      </c>
      <c r="BP42" s="3476" t="s">
        <v>3594</v>
      </c>
      <c r="BQ42" s="3476" t="s">
        <v>3594</v>
      </c>
      <c r="BR42" s="3476" t="s">
        <v>3594</v>
      </c>
      <c r="BS42" s="3476" t="s">
        <v>3594</v>
      </c>
      <c r="BT42" s="3476" t="s">
        <v>3594</v>
      </c>
      <c r="BU42" s="3476" t="s">
        <v>3594</v>
      </c>
      <c r="BV42" s="3476" t="s">
        <v>3594</v>
      </c>
      <c r="BW42" s="3476" t="s">
        <v>3594</v>
      </c>
      <c r="BX42" s="3476" t="s">
        <v>3594</v>
      </c>
      <c r="BY42" s="3476" t="s">
        <v>3594</v>
      </c>
      <c r="BZ42" s="3476" t="s">
        <v>3594</v>
      </c>
      <c r="CA42" s="3476" t="s">
        <v>3594</v>
      </c>
      <c r="CB42" s="3476" t="s">
        <v>3594</v>
      </c>
      <c r="CC42" s="3476" t="s">
        <v>3594</v>
      </c>
      <c r="CD42" s="3476" t="s">
        <v>3594</v>
      </c>
      <c r="CE42" s="3476" t="s">
        <v>3594</v>
      </c>
      <c r="CF42" s="3476" t="s">
        <v>3594</v>
      </c>
      <c r="CG42" s="3476" t="s">
        <v>3594</v>
      </c>
      <c r="CH42" s="3476" t="s">
        <v>3594</v>
      </c>
      <c r="CI42" s="3476" t="s">
        <v>3594</v>
      </c>
      <c r="CJ42" s="3476" t="s">
        <v>3594</v>
      </c>
      <c r="CK42" s="3476" t="s">
        <v>3594</v>
      </c>
      <c r="CL42" s="3476" t="s">
        <v>3594</v>
      </c>
      <c r="CM42" s="3476" t="s">
        <v>3594</v>
      </c>
      <c r="CN42" s="3476" t="s">
        <v>3594</v>
      </c>
    </row>
    <row r="43" spans="1:92" ht="14.1" customHeight="1">
      <c r="A43" s="3475" t="s">
        <v>3670</v>
      </c>
      <c r="B43" s="3475" t="s">
        <v>3671</v>
      </c>
      <c r="C43" s="3475" t="s">
        <v>3679</v>
      </c>
      <c r="D43" s="3475" t="s">
        <v>3673</v>
      </c>
      <c r="E43" s="3475" t="s">
        <v>3674</v>
      </c>
      <c r="F43" s="3475" t="s">
        <v>3665</v>
      </c>
      <c r="G43" s="3475" t="s">
        <v>3681</v>
      </c>
      <c r="H43" s="3475" t="s">
        <v>3682</v>
      </c>
      <c r="I43" s="3475" t="s">
        <v>3612</v>
      </c>
      <c r="J43" s="3475">
        <v>12611.92</v>
      </c>
      <c r="K43" s="3475" t="s">
        <v>3587</v>
      </c>
      <c r="L43" s="3475" t="s">
        <v>3588</v>
      </c>
      <c r="M43" s="3475">
        <v>-0.20391000000000001</v>
      </c>
      <c r="N43" s="3475" t="s">
        <v>3589</v>
      </c>
      <c r="O43" s="3475" t="s">
        <v>3676</v>
      </c>
      <c r="P43" s="3475" t="s">
        <v>3594</v>
      </c>
      <c r="Q43" s="3475" t="s">
        <v>3630</v>
      </c>
      <c r="R43" s="3475" t="s">
        <v>3638</v>
      </c>
      <c r="S43" s="3475" t="s">
        <v>3630</v>
      </c>
      <c r="T43" s="3475" t="s">
        <v>3638</v>
      </c>
      <c r="U43" s="3475">
        <v>-79722.59</v>
      </c>
      <c r="V43" s="3475">
        <v>-72007.509999999995</v>
      </c>
      <c r="W43" s="3475">
        <v>-79722.59</v>
      </c>
      <c r="X43" s="3475">
        <v>-77150.899999999994</v>
      </c>
      <c r="Y43" s="3475">
        <v>-79722.59</v>
      </c>
      <c r="Z43" s="3475">
        <v>-77150.899999999994</v>
      </c>
      <c r="AA43" s="3475">
        <v>-79722.59</v>
      </c>
      <c r="AB43" s="3475">
        <v>-79722.59</v>
      </c>
      <c r="AC43" s="3475">
        <v>-77150.899999999994</v>
      </c>
      <c r="AD43" s="3475">
        <v>-79722.59</v>
      </c>
      <c r="AE43" s="3475">
        <v>-77150.899999999994</v>
      </c>
      <c r="AF43" s="3475">
        <v>-79722.59</v>
      </c>
      <c r="AG43" s="3476">
        <v>-79722.59</v>
      </c>
      <c r="AH43" s="3476">
        <v>-74579.199999999997</v>
      </c>
      <c r="AI43" s="3476">
        <v>-79722.59</v>
      </c>
      <c r="AJ43" s="3476">
        <v>-77150.899999999994</v>
      </c>
      <c r="AK43" s="3476">
        <v>-79722.59</v>
      </c>
      <c r="AL43" s="3476">
        <v>-77150.899999999994</v>
      </c>
      <c r="AM43" s="3476">
        <v>-79722.59</v>
      </c>
      <c r="AN43" s="3476">
        <v>-79722.59</v>
      </c>
      <c r="AO43" s="3476">
        <v>-77150.899999999994</v>
      </c>
      <c r="AP43" s="3476">
        <v>-79722.59</v>
      </c>
      <c r="AQ43" s="3476">
        <v>-77150.899999999994</v>
      </c>
      <c r="AR43" s="3476">
        <v>-79722.59</v>
      </c>
      <c r="AS43" s="3476">
        <v>-79722.59</v>
      </c>
      <c r="AT43" s="3476">
        <v>-72007.509999999995</v>
      </c>
      <c r="AU43" s="3476" t="s">
        <v>3594</v>
      </c>
      <c r="AV43" s="3476" t="s">
        <v>3594</v>
      </c>
      <c r="AW43" s="3476" t="s">
        <v>3594</v>
      </c>
      <c r="AX43" s="3476" t="s">
        <v>3594</v>
      </c>
      <c r="AY43" s="3476" t="s">
        <v>3594</v>
      </c>
      <c r="AZ43" s="3476" t="s">
        <v>3594</v>
      </c>
      <c r="BA43" s="3476" t="s">
        <v>3594</v>
      </c>
      <c r="BB43" s="3476" t="s">
        <v>3594</v>
      </c>
      <c r="BC43" s="3476" t="s">
        <v>3594</v>
      </c>
      <c r="BD43" s="3476" t="s">
        <v>3594</v>
      </c>
      <c r="BE43" s="3476" t="s">
        <v>3594</v>
      </c>
      <c r="BF43" s="3476" t="s">
        <v>3594</v>
      </c>
      <c r="BG43" s="3476" t="s">
        <v>3594</v>
      </c>
      <c r="BH43" s="3476" t="s">
        <v>3594</v>
      </c>
      <c r="BI43" s="3476" t="s">
        <v>3594</v>
      </c>
      <c r="BJ43" s="3476" t="s">
        <v>3594</v>
      </c>
      <c r="BK43" s="3476" t="s">
        <v>3594</v>
      </c>
      <c r="BL43" s="3476" t="s">
        <v>3594</v>
      </c>
      <c r="BM43" s="3476" t="s">
        <v>3594</v>
      </c>
      <c r="BN43" s="3476" t="s">
        <v>3594</v>
      </c>
      <c r="BO43" s="3476" t="s">
        <v>3594</v>
      </c>
      <c r="BP43" s="3476" t="s">
        <v>3594</v>
      </c>
      <c r="BQ43" s="3476" t="s">
        <v>3594</v>
      </c>
      <c r="BR43" s="3476" t="s">
        <v>3594</v>
      </c>
      <c r="BS43" s="3476" t="s">
        <v>3594</v>
      </c>
      <c r="BT43" s="3476" t="s">
        <v>3594</v>
      </c>
      <c r="BU43" s="3476" t="s">
        <v>3594</v>
      </c>
      <c r="BV43" s="3476" t="s">
        <v>3594</v>
      </c>
      <c r="BW43" s="3476" t="s">
        <v>3594</v>
      </c>
      <c r="BX43" s="3476" t="s">
        <v>3594</v>
      </c>
      <c r="BY43" s="3476" t="s">
        <v>3594</v>
      </c>
      <c r="BZ43" s="3476" t="s">
        <v>3594</v>
      </c>
      <c r="CA43" s="3476" t="s">
        <v>3594</v>
      </c>
      <c r="CB43" s="3476" t="s">
        <v>3594</v>
      </c>
      <c r="CC43" s="3476" t="s">
        <v>3594</v>
      </c>
      <c r="CD43" s="3476" t="s">
        <v>3594</v>
      </c>
      <c r="CE43" s="3476" t="s">
        <v>3594</v>
      </c>
      <c r="CF43" s="3476" t="s">
        <v>3594</v>
      </c>
      <c r="CG43" s="3476" t="s">
        <v>3594</v>
      </c>
      <c r="CH43" s="3476" t="s">
        <v>3594</v>
      </c>
      <c r="CI43" s="3476" t="s">
        <v>3594</v>
      </c>
      <c r="CJ43" s="3476" t="s">
        <v>3594</v>
      </c>
      <c r="CK43" s="3476" t="s">
        <v>3594</v>
      </c>
      <c r="CL43" s="3476" t="s">
        <v>3594</v>
      </c>
      <c r="CM43" s="3476" t="s">
        <v>3594</v>
      </c>
      <c r="CN43" s="3476" t="s">
        <v>3594</v>
      </c>
    </row>
    <row r="44" spans="1:92" ht="14.1" customHeight="1">
      <c r="A44" s="3475" t="s">
        <v>3670</v>
      </c>
      <c r="B44" s="3475" t="s">
        <v>3671</v>
      </c>
      <c r="C44" s="3475" t="s">
        <v>3595</v>
      </c>
      <c r="D44" s="3475" t="s">
        <v>3673</v>
      </c>
      <c r="E44" s="3475" t="s">
        <v>3674</v>
      </c>
      <c r="F44" s="3475" t="s">
        <v>3665</v>
      </c>
      <c r="G44" s="3475" t="s">
        <v>3681</v>
      </c>
      <c r="H44" s="3475" t="s">
        <v>3682</v>
      </c>
      <c r="I44" s="3475" t="s">
        <v>3612</v>
      </c>
      <c r="J44" s="3475">
        <v>12611.92</v>
      </c>
      <c r="K44" s="3475" t="s">
        <v>3596</v>
      </c>
      <c r="L44" s="3475" t="s">
        <v>3597</v>
      </c>
      <c r="M44" s="3475">
        <v>0.14097999999999999</v>
      </c>
      <c r="N44" s="3475" t="s">
        <v>3598</v>
      </c>
      <c r="O44" s="3475" t="s">
        <v>3676</v>
      </c>
      <c r="P44" s="3475" t="s">
        <v>3594</v>
      </c>
      <c r="Q44" s="3475" t="s">
        <v>3630</v>
      </c>
      <c r="R44" s="3475" t="s">
        <v>3638</v>
      </c>
      <c r="S44" s="3475" t="s">
        <v>3630</v>
      </c>
      <c r="T44" s="3475" t="s">
        <v>3638</v>
      </c>
      <c r="U44" s="3475">
        <v>55118.879999999997</v>
      </c>
      <c r="V44" s="3475">
        <v>49784.800000000003</v>
      </c>
      <c r="W44" s="3475">
        <v>55118.879999999997</v>
      </c>
      <c r="X44" s="3475">
        <v>53340.85</v>
      </c>
      <c r="Y44" s="3475">
        <v>55118.879999999997</v>
      </c>
      <c r="Z44" s="3475">
        <v>53340.85</v>
      </c>
      <c r="AA44" s="3475">
        <v>55118.879999999997</v>
      </c>
      <c r="AB44" s="3475">
        <v>55118.879999999997</v>
      </c>
      <c r="AC44" s="3475">
        <v>53340.85</v>
      </c>
      <c r="AD44" s="3475">
        <v>55118.879999999997</v>
      </c>
      <c r="AE44" s="3475">
        <v>53340.85</v>
      </c>
      <c r="AF44" s="3475">
        <v>55118.879999999997</v>
      </c>
      <c r="AG44" s="3476">
        <v>55118.879999999997</v>
      </c>
      <c r="AH44" s="3476">
        <v>51562.83</v>
      </c>
      <c r="AI44" s="3476">
        <v>55118.879999999997</v>
      </c>
      <c r="AJ44" s="3476">
        <v>53340.85</v>
      </c>
      <c r="AK44" s="3476">
        <v>55118.879999999997</v>
      </c>
      <c r="AL44" s="3476">
        <v>53340.85</v>
      </c>
      <c r="AM44" s="3476">
        <v>55118.879999999997</v>
      </c>
      <c r="AN44" s="3476">
        <v>55118.879999999997</v>
      </c>
      <c r="AO44" s="3476">
        <v>53340.85</v>
      </c>
      <c r="AP44" s="3476">
        <v>55118.879999999997</v>
      </c>
      <c r="AQ44" s="3476">
        <v>53340.85</v>
      </c>
      <c r="AR44" s="3476">
        <v>55118.879999999997</v>
      </c>
      <c r="AS44" s="3476">
        <v>55118.879999999997</v>
      </c>
      <c r="AT44" s="3476">
        <v>49784.800000000003</v>
      </c>
      <c r="AU44" s="3476" t="s">
        <v>3594</v>
      </c>
      <c r="AV44" s="3476" t="s">
        <v>3594</v>
      </c>
      <c r="AW44" s="3476" t="s">
        <v>3594</v>
      </c>
      <c r="AX44" s="3476" t="s">
        <v>3594</v>
      </c>
      <c r="AY44" s="3476" t="s">
        <v>3594</v>
      </c>
      <c r="AZ44" s="3476" t="s">
        <v>3594</v>
      </c>
      <c r="BA44" s="3476" t="s">
        <v>3594</v>
      </c>
      <c r="BB44" s="3476" t="s">
        <v>3594</v>
      </c>
      <c r="BC44" s="3476" t="s">
        <v>3594</v>
      </c>
      <c r="BD44" s="3476" t="s">
        <v>3594</v>
      </c>
      <c r="BE44" s="3476" t="s">
        <v>3594</v>
      </c>
      <c r="BF44" s="3476" t="s">
        <v>3594</v>
      </c>
      <c r="BG44" s="3476" t="s">
        <v>3594</v>
      </c>
      <c r="BH44" s="3476" t="s">
        <v>3594</v>
      </c>
      <c r="BI44" s="3476" t="s">
        <v>3594</v>
      </c>
      <c r="BJ44" s="3476" t="s">
        <v>3594</v>
      </c>
      <c r="BK44" s="3476" t="s">
        <v>3594</v>
      </c>
      <c r="BL44" s="3476" t="s">
        <v>3594</v>
      </c>
      <c r="BM44" s="3476" t="s">
        <v>3594</v>
      </c>
      <c r="BN44" s="3476" t="s">
        <v>3594</v>
      </c>
      <c r="BO44" s="3476" t="s">
        <v>3594</v>
      </c>
      <c r="BP44" s="3476" t="s">
        <v>3594</v>
      </c>
      <c r="BQ44" s="3476" t="s">
        <v>3594</v>
      </c>
      <c r="BR44" s="3476" t="s">
        <v>3594</v>
      </c>
      <c r="BS44" s="3476" t="s">
        <v>3594</v>
      </c>
      <c r="BT44" s="3476" t="s">
        <v>3594</v>
      </c>
      <c r="BU44" s="3476" t="s">
        <v>3594</v>
      </c>
      <c r="BV44" s="3476" t="s">
        <v>3594</v>
      </c>
      <c r="BW44" s="3476" t="s">
        <v>3594</v>
      </c>
      <c r="BX44" s="3476" t="s">
        <v>3594</v>
      </c>
      <c r="BY44" s="3476" t="s">
        <v>3594</v>
      </c>
      <c r="BZ44" s="3476" t="s">
        <v>3594</v>
      </c>
      <c r="CA44" s="3476" t="s">
        <v>3594</v>
      </c>
      <c r="CB44" s="3476" t="s">
        <v>3594</v>
      </c>
      <c r="CC44" s="3476" t="s">
        <v>3594</v>
      </c>
      <c r="CD44" s="3476" t="s">
        <v>3594</v>
      </c>
      <c r="CE44" s="3476" t="s">
        <v>3594</v>
      </c>
      <c r="CF44" s="3476" t="s">
        <v>3594</v>
      </c>
      <c r="CG44" s="3476" t="s">
        <v>3594</v>
      </c>
      <c r="CH44" s="3476" t="s">
        <v>3594</v>
      </c>
      <c r="CI44" s="3476" t="s">
        <v>3594</v>
      </c>
      <c r="CJ44" s="3476" t="s">
        <v>3594</v>
      </c>
      <c r="CK44" s="3476" t="s">
        <v>3594</v>
      </c>
      <c r="CL44" s="3476" t="s">
        <v>3594</v>
      </c>
      <c r="CM44" s="3476" t="s">
        <v>3594</v>
      </c>
      <c r="CN44" s="3476" t="s">
        <v>3594</v>
      </c>
    </row>
    <row r="45" spans="1:92" ht="14.1" customHeight="1">
      <c r="A45" s="3475" t="s">
        <v>3683</v>
      </c>
      <c r="B45" s="3475" t="s">
        <v>3684</v>
      </c>
      <c r="C45" s="3475" t="s">
        <v>3624</v>
      </c>
      <c r="D45" s="3475" t="s">
        <v>3685</v>
      </c>
      <c r="E45" s="3475" t="s">
        <v>3686</v>
      </c>
      <c r="F45" s="3475" t="s">
        <v>3583</v>
      </c>
      <c r="G45" s="3475" t="s">
        <v>3610</v>
      </c>
      <c r="H45" s="3475" t="s">
        <v>3687</v>
      </c>
      <c r="I45" s="3475" t="s">
        <v>3612</v>
      </c>
      <c r="J45" s="3475">
        <v>2367.1</v>
      </c>
      <c r="K45" s="3475" t="s">
        <v>3587</v>
      </c>
      <c r="L45" s="3475" t="s">
        <v>3588</v>
      </c>
      <c r="M45" s="3475">
        <v>4.9619850000000003</v>
      </c>
      <c r="N45" s="3475" t="s">
        <v>3589</v>
      </c>
      <c r="O45" s="3475" t="s">
        <v>3590</v>
      </c>
      <c r="P45" s="3475">
        <v>1217900.19</v>
      </c>
      <c r="Q45" s="3475" t="s">
        <v>3688</v>
      </c>
      <c r="R45" s="3475" t="s">
        <v>3689</v>
      </c>
      <c r="S45" s="3475" t="s">
        <v>3688</v>
      </c>
      <c r="T45" s="3475" t="s">
        <v>3690</v>
      </c>
      <c r="U45" s="3475">
        <v>364110.96</v>
      </c>
      <c r="V45" s="3475">
        <v>328874.40999999997</v>
      </c>
      <c r="W45" s="3475">
        <v>364110.96</v>
      </c>
      <c r="X45" s="3475" t="s">
        <v>3594</v>
      </c>
      <c r="Y45" s="3475" t="s">
        <v>3594</v>
      </c>
      <c r="Z45" s="3475" t="s">
        <v>3594</v>
      </c>
      <c r="AA45" s="3475" t="s">
        <v>3594</v>
      </c>
      <c r="AB45" s="3475" t="s">
        <v>3594</v>
      </c>
      <c r="AC45" s="3475" t="s">
        <v>3594</v>
      </c>
      <c r="AD45" s="3475" t="s">
        <v>3594</v>
      </c>
      <c r="AE45" s="3475" t="s">
        <v>3594</v>
      </c>
      <c r="AF45" s="3475" t="s">
        <v>3594</v>
      </c>
      <c r="AG45" s="3476" t="s">
        <v>3594</v>
      </c>
      <c r="AH45" s="3476" t="s">
        <v>3594</v>
      </c>
      <c r="AI45" s="3476" t="s">
        <v>3594</v>
      </c>
      <c r="AJ45" s="3476" t="s">
        <v>3594</v>
      </c>
      <c r="AK45" s="3476" t="s">
        <v>3594</v>
      </c>
      <c r="AL45" s="3476" t="s">
        <v>3594</v>
      </c>
      <c r="AM45" s="3476" t="s">
        <v>3594</v>
      </c>
      <c r="AN45" s="3476" t="s">
        <v>3594</v>
      </c>
      <c r="AO45" s="3476" t="s">
        <v>3594</v>
      </c>
      <c r="AP45" s="3476" t="s">
        <v>3594</v>
      </c>
      <c r="AQ45" s="3476" t="s">
        <v>3594</v>
      </c>
      <c r="AR45" s="3476" t="s">
        <v>3594</v>
      </c>
      <c r="AS45" s="3476" t="s">
        <v>3594</v>
      </c>
      <c r="AT45" s="3476" t="s">
        <v>3594</v>
      </c>
      <c r="AU45" s="3476" t="s">
        <v>3594</v>
      </c>
      <c r="AV45" s="3476" t="s">
        <v>3594</v>
      </c>
      <c r="AW45" s="3476" t="s">
        <v>3594</v>
      </c>
      <c r="AX45" s="3476" t="s">
        <v>3594</v>
      </c>
      <c r="AY45" s="3476" t="s">
        <v>3594</v>
      </c>
      <c r="AZ45" s="3476" t="s">
        <v>3594</v>
      </c>
      <c r="BA45" s="3476" t="s">
        <v>3594</v>
      </c>
      <c r="BB45" s="3476" t="s">
        <v>3594</v>
      </c>
      <c r="BC45" s="3476" t="s">
        <v>3594</v>
      </c>
      <c r="BD45" s="3476" t="s">
        <v>3594</v>
      </c>
      <c r="BE45" s="3476" t="s">
        <v>3594</v>
      </c>
      <c r="BF45" s="3476" t="s">
        <v>3594</v>
      </c>
      <c r="BG45" s="3476" t="s">
        <v>3594</v>
      </c>
      <c r="BH45" s="3476" t="s">
        <v>3594</v>
      </c>
      <c r="BI45" s="3476" t="s">
        <v>3594</v>
      </c>
      <c r="BJ45" s="3476" t="s">
        <v>3594</v>
      </c>
      <c r="BK45" s="3476" t="s">
        <v>3594</v>
      </c>
      <c r="BL45" s="3476" t="s">
        <v>3594</v>
      </c>
      <c r="BM45" s="3476" t="s">
        <v>3594</v>
      </c>
      <c r="BN45" s="3476" t="s">
        <v>3594</v>
      </c>
      <c r="BO45" s="3476" t="s">
        <v>3594</v>
      </c>
      <c r="BP45" s="3476" t="s">
        <v>3594</v>
      </c>
      <c r="BQ45" s="3476" t="s">
        <v>3594</v>
      </c>
      <c r="BR45" s="3476" t="s">
        <v>3594</v>
      </c>
      <c r="BS45" s="3476" t="s">
        <v>3594</v>
      </c>
      <c r="BT45" s="3476" t="s">
        <v>3594</v>
      </c>
      <c r="BU45" s="3476" t="s">
        <v>3594</v>
      </c>
      <c r="BV45" s="3476" t="s">
        <v>3594</v>
      </c>
      <c r="BW45" s="3476" t="s">
        <v>3594</v>
      </c>
      <c r="BX45" s="3476" t="s">
        <v>3594</v>
      </c>
      <c r="BY45" s="3476" t="s">
        <v>3594</v>
      </c>
      <c r="BZ45" s="3476" t="s">
        <v>3594</v>
      </c>
      <c r="CA45" s="3476" t="s">
        <v>3594</v>
      </c>
      <c r="CB45" s="3476" t="s">
        <v>3594</v>
      </c>
      <c r="CC45" s="3476" t="s">
        <v>3594</v>
      </c>
      <c r="CD45" s="3476" t="s">
        <v>3594</v>
      </c>
      <c r="CE45" s="3476" t="s">
        <v>3594</v>
      </c>
      <c r="CF45" s="3476" t="s">
        <v>3594</v>
      </c>
      <c r="CG45" s="3476" t="s">
        <v>3594</v>
      </c>
      <c r="CH45" s="3476" t="s">
        <v>3594</v>
      </c>
      <c r="CI45" s="3476" t="s">
        <v>3594</v>
      </c>
      <c r="CJ45" s="3476" t="s">
        <v>3594</v>
      </c>
      <c r="CK45" s="3476" t="s">
        <v>3594</v>
      </c>
      <c r="CL45" s="3476" t="s">
        <v>3594</v>
      </c>
      <c r="CM45" s="3476" t="s">
        <v>3594</v>
      </c>
      <c r="CN45" s="3476" t="s">
        <v>3594</v>
      </c>
    </row>
    <row r="46" spans="1:92" ht="14.1" customHeight="1">
      <c r="A46" s="3475" t="s">
        <v>3683</v>
      </c>
      <c r="B46" s="3475" t="s">
        <v>3684</v>
      </c>
      <c r="C46" s="3475" t="s">
        <v>3632</v>
      </c>
      <c r="D46" s="3475" t="s">
        <v>3685</v>
      </c>
      <c r="E46" s="3475" t="s">
        <v>3686</v>
      </c>
      <c r="F46" s="3475" t="s">
        <v>3583</v>
      </c>
      <c r="G46" s="3475" t="s">
        <v>3610</v>
      </c>
      <c r="H46" s="3475" t="s">
        <v>3687</v>
      </c>
      <c r="I46" s="3475" t="s">
        <v>3612</v>
      </c>
      <c r="J46" s="3475">
        <v>2367.1</v>
      </c>
      <c r="K46" s="3475" t="s">
        <v>3587</v>
      </c>
      <c r="L46" s="3475" t="s">
        <v>3588</v>
      </c>
      <c r="M46" s="3475">
        <v>-0.19844999999999999</v>
      </c>
      <c r="N46" s="3475" t="s">
        <v>3589</v>
      </c>
      <c r="O46" s="3475" t="s">
        <v>3590</v>
      </c>
      <c r="P46" s="3475" t="s">
        <v>3594</v>
      </c>
      <c r="Q46" s="3475" t="s">
        <v>3688</v>
      </c>
      <c r="R46" s="3475" t="s">
        <v>3689</v>
      </c>
      <c r="S46" s="3475" t="s">
        <v>3688</v>
      </c>
      <c r="T46" s="3475" t="s">
        <v>3690</v>
      </c>
      <c r="U46" s="3475">
        <v>-14562.28</v>
      </c>
      <c r="V46" s="3475">
        <v>-13153.03</v>
      </c>
      <c r="W46" s="3475">
        <v>-14562.28</v>
      </c>
      <c r="X46" s="3475" t="s">
        <v>3594</v>
      </c>
      <c r="Y46" s="3475" t="s">
        <v>3594</v>
      </c>
      <c r="Z46" s="3475" t="s">
        <v>3594</v>
      </c>
      <c r="AA46" s="3475" t="s">
        <v>3594</v>
      </c>
      <c r="AB46" s="3475" t="s">
        <v>3594</v>
      </c>
      <c r="AC46" s="3475" t="s">
        <v>3594</v>
      </c>
      <c r="AD46" s="3475" t="s">
        <v>3594</v>
      </c>
      <c r="AE46" s="3475" t="s">
        <v>3594</v>
      </c>
      <c r="AF46" s="3475" t="s">
        <v>3594</v>
      </c>
      <c r="AG46" s="3476" t="s">
        <v>3594</v>
      </c>
      <c r="AH46" s="3476" t="s">
        <v>3594</v>
      </c>
      <c r="AI46" s="3476" t="s">
        <v>3594</v>
      </c>
      <c r="AJ46" s="3476" t="s">
        <v>3594</v>
      </c>
      <c r="AK46" s="3476" t="s">
        <v>3594</v>
      </c>
      <c r="AL46" s="3476" t="s">
        <v>3594</v>
      </c>
      <c r="AM46" s="3476" t="s">
        <v>3594</v>
      </c>
      <c r="AN46" s="3476" t="s">
        <v>3594</v>
      </c>
      <c r="AO46" s="3476" t="s">
        <v>3594</v>
      </c>
      <c r="AP46" s="3476" t="s">
        <v>3594</v>
      </c>
      <c r="AQ46" s="3476" t="s">
        <v>3594</v>
      </c>
      <c r="AR46" s="3476" t="s">
        <v>3594</v>
      </c>
      <c r="AS46" s="3476" t="s">
        <v>3594</v>
      </c>
      <c r="AT46" s="3476" t="s">
        <v>3594</v>
      </c>
      <c r="AU46" s="3476" t="s">
        <v>3594</v>
      </c>
      <c r="AV46" s="3476" t="s">
        <v>3594</v>
      </c>
      <c r="AW46" s="3476" t="s">
        <v>3594</v>
      </c>
      <c r="AX46" s="3476" t="s">
        <v>3594</v>
      </c>
      <c r="AY46" s="3476" t="s">
        <v>3594</v>
      </c>
      <c r="AZ46" s="3476" t="s">
        <v>3594</v>
      </c>
      <c r="BA46" s="3476" t="s">
        <v>3594</v>
      </c>
      <c r="BB46" s="3476" t="s">
        <v>3594</v>
      </c>
      <c r="BC46" s="3476" t="s">
        <v>3594</v>
      </c>
      <c r="BD46" s="3476" t="s">
        <v>3594</v>
      </c>
      <c r="BE46" s="3476" t="s">
        <v>3594</v>
      </c>
      <c r="BF46" s="3476" t="s">
        <v>3594</v>
      </c>
      <c r="BG46" s="3476" t="s">
        <v>3594</v>
      </c>
      <c r="BH46" s="3476" t="s">
        <v>3594</v>
      </c>
      <c r="BI46" s="3476" t="s">
        <v>3594</v>
      </c>
      <c r="BJ46" s="3476" t="s">
        <v>3594</v>
      </c>
      <c r="BK46" s="3476" t="s">
        <v>3594</v>
      </c>
      <c r="BL46" s="3476" t="s">
        <v>3594</v>
      </c>
      <c r="BM46" s="3476" t="s">
        <v>3594</v>
      </c>
      <c r="BN46" s="3476" t="s">
        <v>3594</v>
      </c>
      <c r="BO46" s="3476" t="s">
        <v>3594</v>
      </c>
      <c r="BP46" s="3476" t="s">
        <v>3594</v>
      </c>
      <c r="BQ46" s="3476" t="s">
        <v>3594</v>
      </c>
      <c r="BR46" s="3476" t="s">
        <v>3594</v>
      </c>
      <c r="BS46" s="3476" t="s">
        <v>3594</v>
      </c>
      <c r="BT46" s="3476" t="s">
        <v>3594</v>
      </c>
      <c r="BU46" s="3476" t="s">
        <v>3594</v>
      </c>
      <c r="BV46" s="3476" t="s">
        <v>3594</v>
      </c>
      <c r="BW46" s="3476" t="s">
        <v>3594</v>
      </c>
      <c r="BX46" s="3476" t="s">
        <v>3594</v>
      </c>
      <c r="BY46" s="3476" t="s">
        <v>3594</v>
      </c>
      <c r="BZ46" s="3476" t="s">
        <v>3594</v>
      </c>
      <c r="CA46" s="3476" t="s">
        <v>3594</v>
      </c>
      <c r="CB46" s="3476" t="s">
        <v>3594</v>
      </c>
      <c r="CC46" s="3476" t="s">
        <v>3594</v>
      </c>
      <c r="CD46" s="3476" t="s">
        <v>3594</v>
      </c>
      <c r="CE46" s="3476" t="s">
        <v>3594</v>
      </c>
      <c r="CF46" s="3476" t="s">
        <v>3594</v>
      </c>
      <c r="CG46" s="3476" t="s">
        <v>3594</v>
      </c>
      <c r="CH46" s="3476" t="s">
        <v>3594</v>
      </c>
      <c r="CI46" s="3476" t="s">
        <v>3594</v>
      </c>
      <c r="CJ46" s="3476" t="s">
        <v>3594</v>
      </c>
      <c r="CK46" s="3476" t="s">
        <v>3594</v>
      </c>
      <c r="CL46" s="3476" t="s">
        <v>3594</v>
      </c>
      <c r="CM46" s="3476" t="s">
        <v>3594</v>
      </c>
      <c r="CN46" s="3476" t="s">
        <v>3594</v>
      </c>
    </row>
    <row r="47" spans="1:92" ht="14.1" customHeight="1">
      <c r="A47" s="3475" t="s">
        <v>3683</v>
      </c>
      <c r="B47" s="3475" t="s">
        <v>3684</v>
      </c>
      <c r="C47" s="3475" t="s">
        <v>3633</v>
      </c>
      <c r="D47" s="3475" t="s">
        <v>3685</v>
      </c>
      <c r="E47" s="3475" t="s">
        <v>3686</v>
      </c>
      <c r="F47" s="3475" t="s">
        <v>3583</v>
      </c>
      <c r="G47" s="3475" t="s">
        <v>3610</v>
      </c>
      <c r="H47" s="3475" t="s">
        <v>3687</v>
      </c>
      <c r="I47" s="3475" t="s">
        <v>3612</v>
      </c>
      <c r="J47" s="3475">
        <v>2367.1</v>
      </c>
      <c r="K47" s="3475" t="s">
        <v>3587</v>
      </c>
      <c r="L47" s="3475" t="s">
        <v>3588</v>
      </c>
      <c r="M47" s="3475">
        <v>4.9619850000000003</v>
      </c>
      <c r="N47" s="3475" t="s">
        <v>3589</v>
      </c>
      <c r="O47" s="3475" t="s">
        <v>3590</v>
      </c>
      <c r="P47" s="3475" t="s">
        <v>3594</v>
      </c>
      <c r="Q47" s="3475" t="s">
        <v>3691</v>
      </c>
      <c r="R47" s="3475" t="s">
        <v>3690</v>
      </c>
      <c r="S47" s="3475" t="s">
        <v>3688</v>
      </c>
      <c r="T47" s="3475" t="s">
        <v>3690</v>
      </c>
      <c r="U47" s="3475" t="s">
        <v>3594</v>
      </c>
      <c r="V47" s="3475" t="s">
        <v>3594</v>
      </c>
      <c r="W47" s="3475" t="s">
        <v>3594</v>
      </c>
      <c r="X47" s="3475">
        <v>352365.44</v>
      </c>
      <c r="Y47" s="3475">
        <v>364110.96</v>
      </c>
      <c r="Z47" s="3475">
        <v>352365.44</v>
      </c>
      <c r="AA47" s="3475">
        <v>364110.96</v>
      </c>
      <c r="AB47" s="3475">
        <v>364110.96</v>
      </c>
      <c r="AC47" s="3475">
        <v>352365.44</v>
      </c>
      <c r="AD47" s="3475">
        <v>364110.96</v>
      </c>
      <c r="AE47" s="3475">
        <v>352365.44</v>
      </c>
      <c r="AF47" s="3475">
        <v>364110.96</v>
      </c>
      <c r="AG47" s="3476">
        <v>364110.96</v>
      </c>
      <c r="AH47" s="3476">
        <v>340619.93</v>
      </c>
      <c r="AI47" s="3476">
        <v>364110.96</v>
      </c>
      <c r="AJ47" s="3476" t="s">
        <v>3594</v>
      </c>
      <c r="AK47" s="3476" t="s">
        <v>3594</v>
      </c>
      <c r="AL47" s="3476" t="s">
        <v>3594</v>
      </c>
      <c r="AM47" s="3476" t="s">
        <v>3594</v>
      </c>
      <c r="AN47" s="3476" t="s">
        <v>3594</v>
      </c>
      <c r="AO47" s="3476" t="s">
        <v>3594</v>
      </c>
      <c r="AP47" s="3476" t="s">
        <v>3594</v>
      </c>
      <c r="AQ47" s="3476" t="s">
        <v>3594</v>
      </c>
      <c r="AR47" s="3476" t="s">
        <v>3594</v>
      </c>
      <c r="AS47" s="3476" t="s">
        <v>3594</v>
      </c>
      <c r="AT47" s="3476" t="s">
        <v>3594</v>
      </c>
      <c r="AU47" s="3476" t="s">
        <v>3594</v>
      </c>
      <c r="AV47" s="3476" t="s">
        <v>3594</v>
      </c>
      <c r="AW47" s="3476" t="s">
        <v>3594</v>
      </c>
      <c r="AX47" s="3476" t="s">
        <v>3594</v>
      </c>
      <c r="AY47" s="3476" t="s">
        <v>3594</v>
      </c>
      <c r="AZ47" s="3476" t="s">
        <v>3594</v>
      </c>
      <c r="BA47" s="3476" t="s">
        <v>3594</v>
      </c>
      <c r="BB47" s="3476" t="s">
        <v>3594</v>
      </c>
      <c r="BC47" s="3476" t="s">
        <v>3594</v>
      </c>
      <c r="BD47" s="3476" t="s">
        <v>3594</v>
      </c>
      <c r="BE47" s="3476" t="s">
        <v>3594</v>
      </c>
      <c r="BF47" s="3476" t="s">
        <v>3594</v>
      </c>
      <c r="BG47" s="3476" t="s">
        <v>3594</v>
      </c>
      <c r="BH47" s="3476" t="s">
        <v>3594</v>
      </c>
      <c r="BI47" s="3476" t="s">
        <v>3594</v>
      </c>
      <c r="BJ47" s="3476" t="s">
        <v>3594</v>
      </c>
      <c r="BK47" s="3476" t="s">
        <v>3594</v>
      </c>
      <c r="BL47" s="3476" t="s">
        <v>3594</v>
      </c>
      <c r="BM47" s="3476" t="s">
        <v>3594</v>
      </c>
      <c r="BN47" s="3476" t="s">
        <v>3594</v>
      </c>
      <c r="BO47" s="3476" t="s">
        <v>3594</v>
      </c>
      <c r="BP47" s="3476" t="s">
        <v>3594</v>
      </c>
      <c r="BQ47" s="3476" t="s">
        <v>3594</v>
      </c>
      <c r="BR47" s="3476" t="s">
        <v>3594</v>
      </c>
      <c r="BS47" s="3476" t="s">
        <v>3594</v>
      </c>
      <c r="BT47" s="3476" t="s">
        <v>3594</v>
      </c>
      <c r="BU47" s="3476" t="s">
        <v>3594</v>
      </c>
      <c r="BV47" s="3476" t="s">
        <v>3594</v>
      </c>
      <c r="BW47" s="3476" t="s">
        <v>3594</v>
      </c>
      <c r="BX47" s="3476" t="s">
        <v>3594</v>
      </c>
      <c r="BY47" s="3476" t="s">
        <v>3594</v>
      </c>
      <c r="BZ47" s="3476" t="s">
        <v>3594</v>
      </c>
      <c r="CA47" s="3476" t="s">
        <v>3594</v>
      </c>
      <c r="CB47" s="3476" t="s">
        <v>3594</v>
      </c>
      <c r="CC47" s="3476" t="s">
        <v>3594</v>
      </c>
      <c r="CD47" s="3476" t="s">
        <v>3594</v>
      </c>
      <c r="CE47" s="3476" t="s">
        <v>3594</v>
      </c>
      <c r="CF47" s="3476" t="s">
        <v>3594</v>
      </c>
      <c r="CG47" s="3476" t="s">
        <v>3594</v>
      </c>
      <c r="CH47" s="3476" t="s">
        <v>3594</v>
      </c>
      <c r="CI47" s="3476" t="s">
        <v>3594</v>
      </c>
      <c r="CJ47" s="3476" t="s">
        <v>3594</v>
      </c>
      <c r="CK47" s="3476" t="s">
        <v>3594</v>
      </c>
      <c r="CL47" s="3476" t="s">
        <v>3594</v>
      </c>
      <c r="CM47" s="3476" t="s">
        <v>3594</v>
      </c>
      <c r="CN47" s="3476" t="s">
        <v>3594</v>
      </c>
    </row>
    <row r="48" spans="1:92" ht="14.1" customHeight="1">
      <c r="A48" s="3475" t="s">
        <v>3683</v>
      </c>
      <c r="B48" s="3475" t="s">
        <v>3684</v>
      </c>
      <c r="C48" s="3475" t="s">
        <v>3644</v>
      </c>
      <c r="D48" s="3475" t="s">
        <v>3685</v>
      </c>
      <c r="E48" s="3475" t="s">
        <v>3686</v>
      </c>
      <c r="F48" s="3475" t="s">
        <v>3583</v>
      </c>
      <c r="G48" s="3475" t="s">
        <v>3610</v>
      </c>
      <c r="H48" s="3475" t="s">
        <v>3687</v>
      </c>
      <c r="I48" s="3475" t="s">
        <v>3612</v>
      </c>
      <c r="J48" s="3475">
        <v>2367.1</v>
      </c>
      <c r="K48" s="3475" t="s">
        <v>3596</v>
      </c>
      <c r="L48" s="3475" t="s">
        <v>3597</v>
      </c>
      <c r="M48" s="3475">
        <v>0.169706</v>
      </c>
      <c r="N48" s="3475" t="s">
        <v>3598</v>
      </c>
      <c r="O48" s="3475" t="s">
        <v>3590</v>
      </c>
      <c r="P48" s="3475" t="s">
        <v>3594</v>
      </c>
      <c r="Q48" s="3475" t="s">
        <v>3688</v>
      </c>
      <c r="R48" s="3475" t="s">
        <v>3689</v>
      </c>
      <c r="S48" s="3475" t="s">
        <v>3688</v>
      </c>
      <c r="T48" s="3475" t="s">
        <v>3690</v>
      </c>
      <c r="U48" s="3475">
        <v>12453.04</v>
      </c>
      <c r="V48" s="3475">
        <v>11247.91</v>
      </c>
      <c r="W48" s="3475">
        <v>12453.04</v>
      </c>
      <c r="X48" s="3475" t="s">
        <v>3594</v>
      </c>
      <c r="Y48" s="3475" t="s">
        <v>3594</v>
      </c>
      <c r="Z48" s="3475" t="s">
        <v>3594</v>
      </c>
      <c r="AA48" s="3475" t="s">
        <v>3594</v>
      </c>
      <c r="AB48" s="3475" t="s">
        <v>3594</v>
      </c>
      <c r="AC48" s="3475" t="s">
        <v>3594</v>
      </c>
      <c r="AD48" s="3475" t="s">
        <v>3594</v>
      </c>
      <c r="AE48" s="3475" t="s">
        <v>3594</v>
      </c>
      <c r="AF48" s="3475" t="s">
        <v>3594</v>
      </c>
      <c r="AG48" s="3476" t="s">
        <v>3594</v>
      </c>
      <c r="AH48" s="3476" t="s">
        <v>3594</v>
      </c>
      <c r="AI48" s="3476" t="s">
        <v>3594</v>
      </c>
      <c r="AJ48" s="3476" t="s">
        <v>3594</v>
      </c>
      <c r="AK48" s="3476" t="s">
        <v>3594</v>
      </c>
      <c r="AL48" s="3476" t="s">
        <v>3594</v>
      </c>
      <c r="AM48" s="3476" t="s">
        <v>3594</v>
      </c>
      <c r="AN48" s="3476" t="s">
        <v>3594</v>
      </c>
      <c r="AO48" s="3476" t="s">
        <v>3594</v>
      </c>
      <c r="AP48" s="3476" t="s">
        <v>3594</v>
      </c>
      <c r="AQ48" s="3476" t="s">
        <v>3594</v>
      </c>
      <c r="AR48" s="3476" t="s">
        <v>3594</v>
      </c>
      <c r="AS48" s="3476" t="s">
        <v>3594</v>
      </c>
      <c r="AT48" s="3476" t="s">
        <v>3594</v>
      </c>
      <c r="AU48" s="3476" t="s">
        <v>3594</v>
      </c>
      <c r="AV48" s="3476" t="s">
        <v>3594</v>
      </c>
      <c r="AW48" s="3476" t="s">
        <v>3594</v>
      </c>
      <c r="AX48" s="3476" t="s">
        <v>3594</v>
      </c>
      <c r="AY48" s="3476" t="s">
        <v>3594</v>
      </c>
      <c r="AZ48" s="3476" t="s">
        <v>3594</v>
      </c>
      <c r="BA48" s="3476" t="s">
        <v>3594</v>
      </c>
      <c r="BB48" s="3476" t="s">
        <v>3594</v>
      </c>
      <c r="BC48" s="3476" t="s">
        <v>3594</v>
      </c>
      <c r="BD48" s="3476" t="s">
        <v>3594</v>
      </c>
      <c r="BE48" s="3476" t="s">
        <v>3594</v>
      </c>
      <c r="BF48" s="3476" t="s">
        <v>3594</v>
      </c>
      <c r="BG48" s="3476" t="s">
        <v>3594</v>
      </c>
      <c r="BH48" s="3476" t="s">
        <v>3594</v>
      </c>
      <c r="BI48" s="3476" t="s">
        <v>3594</v>
      </c>
      <c r="BJ48" s="3476" t="s">
        <v>3594</v>
      </c>
      <c r="BK48" s="3476" t="s">
        <v>3594</v>
      </c>
      <c r="BL48" s="3476" t="s">
        <v>3594</v>
      </c>
      <c r="BM48" s="3476" t="s">
        <v>3594</v>
      </c>
      <c r="BN48" s="3476" t="s">
        <v>3594</v>
      </c>
      <c r="BO48" s="3476" t="s">
        <v>3594</v>
      </c>
      <c r="BP48" s="3476" t="s">
        <v>3594</v>
      </c>
      <c r="BQ48" s="3476" t="s">
        <v>3594</v>
      </c>
      <c r="BR48" s="3476" t="s">
        <v>3594</v>
      </c>
      <c r="BS48" s="3476" t="s">
        <v>3594</v>
      </c>
      <c r="BT48" s="3476" t="s">
        <v>3594</v>
      </c>
      <c r="BU48" s="3476" t="s">
        <v>3594</v>
      </c>
      <c r="BV48" s="3476" t="s">
        <v>3594</v>
      </c>
      <c r="BW48" s="3476" t="s">
        <v>3594</v>
      </c>
      <c r="BX48" s="3476" t="s">
        <v>3594</v>
      </c>
      <c r="BY48" s="3476" t="s">
        <v>3594</v>
      </c>
      <c r="BZ48" s="3476" t="s">
        <v>3594</v>
      </c>
      <c r="CA48" s="3476" t="s">
        <v>3594</v>
      </c>
      <c r="CB48" s="3476" t="s">
        <v>3594</v>
      </c>
      <c r="CC48" s="3476" t="s">
        <v>3594</v>
      </c>
      <c r="CD48" s="3476" t="s">
        <v>3594</v>
      </c>
      <c r="CE48" s="3476" t="s">
        <v>3594</v>
      </c>
      <c r="CF48" s="3476" t="s">
        <v>3594</v>
      </c>
      <c r="CG48" s="3476" t="s">
        <v>3594</v>
      </c>
      <c r="CH48" s="3476" t="s">
        <v>3594</v>
      </c>
      <c r="CI48" s="3476" t="s">
        <v>3594</v>
      </c>
      <c r="CJ48" s="3476" t="s">
        <v>3594</v>
      </c>
      <c r="CK48" s="3476" t="s">
        <v>3594</v>
      </c>
      <c r="CL48" s="3476" t="s">
        <v>3594</v>
      </c>
      <c r="CM48" s="3476" t="s">
        <v>3594</v>
      </c>
      <c r="CN48" s="3476" t="s">
        <v>3594</v>
      </c>
    </row>
    <row r="49" spans="1:92" ht="14.1" customHeight="1">
      <c r="A49" s="3475" t="s">
        <v>3683</v>
      </c>
      <c r="B49" s="3475" t="s">
        <v>3684</v>
      </c>
      <c r="C49" s="3475" t="s">
        <v>3645</v>
      </c>
      <c r="D49" s="3475" t="s">
        <v>3685</v>
      </c>
      <c r="E49" s="3475" t="s">
        <v>3686</v>
      </c>
      <c r="F49" s="3475" t="s">
        <v>3583</v>
      </c>
      <c r="G49" s="3475" t="s">
        <v>3610</v>
      </c>
      <c r="H49" s="3475" t="s">
        <v>3687</v>
      </c>
      <c r="I49" s="3475" t="s">
        <v>3612</v>
      </c>
      <c r="J49" s="3475">
        <v>2367.1</v>
      </c>
      <c r="K49" s="3475" t="s">
        <v>3596</v>
      </c>
      <c r="L49" s="3475" t="s">
        <v>3597</v>
      </c>
      <c r="M49" s="3475">
        <v>0.17988199999999999</v>
      </c>
      <c r="N49" s="3475" t="s">
        <v>3598</v>
      </c>
      <c r="O49" s="3475" t="s">
        <v>3590</v>
      </c>
      <c r="P49" s="3475" t="s">
        <v>3594</v>
      </c>
      <c r="Q49" s="3475" t="s">
        <v>3691</v>
      </c>
      <c r="R49" s="3475" t="s">
        <v>3690</v>
      </c>
      <c r="S49" s="3475" t="s">
        <v>3688</v>
      </c>
      <c r="T49" s="3475" t="s">
        <v>3690</v>
      </c>
      <c r="U49" s="3475" t="s">
        <v>3594</v>
      </c>
      <c r="V49" s="3475" t="s">
        <v>3594</v>
      </c>
      <c r="W49" s="3475" t="s">
        <v>3594</v>
      </c>
      <c r="X49" s="3475">
        <v>12773.96</v>
      </c>
      <c r="Y49" s="3475">
        <v>13199.76</v>
      </c>
      <c r="Z49" s="3475">
        <v>12773.96</v>
      </c>
      <c r="AA49" s="3475">
        <v>13199.76</v>
      </c>
      <c r="AB49" s="3475">
        <v>13199.76</v>
      </c>
      <c r="AC49" s="3475">
        <v>12773.96</v>
      </c>
      <c r="AD49" s="3475">
        <v>13199.76</v>
      </c>
      <c r="AE49" s="3475">
        <v>12773.96</v>
      </c>
      <c r="AF49" s="3475">
        <v>13199.76</v>
      </c>
      <c r="AG49" s="3476">
        <v>13199.76</v>
      </c>
      <c r="AH49" s="3476">
        <v>12348.16</v>
      </c>
      <c r="AI49" s="3476">
        <v>13199.76</v>
      </c>
      <c r="AJ49" s="3476" t="s">
        <v>3594</v>
      </c>
      <c r="AK49" s="3476" t="s">
        <v>3594</v>
      </c>
      <c r="AL49" s="3476" t="s">
        <v>3594</v>
      </c>
      <c r="AM49" s="3476" t="s">
        <v>3594</v>
      </c>
      <c r="AN49" s="3476" t="s">
        <v>3594</v>
      </c>
      <c r="AO49" s="3476" t="s">
        <v>3594</v>
      </c>
      <c r="AP49" s="3476" t="s">
        <v>3594</v>
      </c>
      <c r="AQ49" s="3476" t="s">
        <v>3594</v>
      </c>
      <c r="AR49" s="3476" t="s">
        <v>3594</v>
      </c>
      <c r="AS49" s="3476" t="s">
        <v>3594</v>
      </c>
      <c r="AT49" s="3476" t="s">
        <v>3594</v>
      </c>
      <c r="AU49" s="3476" t="s">
        <v>3594</v>
      </c>
      <c r="AV49" s="3476" t="s">
        <v>3594</v>
      </c>
      <c r="AW49" s="3476" t="s">
        <v>3594</v>
      </c>
      <c r="AX49" s="3476" t="s">
        <v>3594</v>
      </c>
      <c r="AY49" s="3476" t="s">
        <v>3594</v>
      </c>
      <c r="AZ49" s="3476" t="s">
        <v>3594</v>
      </c>
      <c r="BA49" s="3476" t="s">
        <v>3594</v>
      </c>
      <c r="BB49" s="3476" t="s">
        <v>3594</v>
      </c>
      <c r="BC49" s="3476" t="s">
        <v>3594</v>
      </c>
      <c r="BD49" s="3476" t="s">
        <v>3594</v>
      </c>
      <c r="BE49" s="3476" t="s">
        <v>3594</v>
      </c>
      <c r="BF49" s="3476" t="s">
        <v>3594</v>
      </c>
      <c r="BG49" s="3476" t="s">
        <v>3594</v>
      </c>
      <c r="BH49" s="3476" t="s">
        <v>3594</v>
      </c>
      <c r="BI49" s="3476" t="s">
        <v>3594</v>
      </c>
      <c r="BJ49" s="3476" t="s">
        <v>3594</v>
      </c>
      <c r="BK49" s="3476" t="s">
        <v>3594</v>
      </c>
      <c r="BL49" s="3476" t="s">
        <v>3594</v>
      </c>
      <c r="BM49" s="3476" t="s">
        <v>3594</v>
      </c>
      <c r="BN49" s="3476" t="s">
        <v>3594</v>
      </c>
      <c r="BO49" s="3476" t="s">
        <v>3594</v>
      </c>
      <c r="BP49" s="3476" t="s">
        <v>3594</v>
      </c>
      <c r="BQ49" s="3476" t="s">
        <v>3594</v>
      </c>
      <c r="BR49" s="3476" t="s">
        <v>3594</v>
      </c>
      <c r="BS49" s="3476" t="s">
        <v>3594</v>
      </c>
      <c r="BT49" s="3476" t="s">
        <v>3594</v>
      </c>
      <c r="BU49" s="3476" t="s">
        <v>3594</v>
      </c>
      <c r="BV49" s="3476" t="s">
        <v>3594</v>
      </c>
      <c r="BW49" s="3476" t="s">
        <v>3594</v>
      </c>
      <c r="BX49" s="3476" t="s">
        <v>3594</v>
      </c>
      <c r="BY49" s="3476" t="s">
        <v>3594</v>
      </c>
      <c r="BZ49" s="3476" t="s">
        <v>3594</v>
      </c>
      <c r="CA49" s="3476" t="s">
        <v>3594</v>
      </c>
      <c r="CB49" s="3476" t="s">
        <v>3594</v>
      </c>
      <c r="CC49" s="3476" t="s">
        <v>3594</v>
      </c>
      <c r="CD49" s="3476" t="s">
        <v>3594</v>
      </c>
      <c r="CE49" s="3476" t="s">
        <v>3594</v>
      </c>
      <c r="CF49" s="3476" t="s">
        <v>3594</v>
      </c>
      <c r="CG49" s="3476" t="s">
        <v>3594</v>
      </c>
      <c r="CH49" s="3476" t="s">
        <v>3594</v>
      </c>
      <c r="CI49" s="3476" t="s">
        <v>3594</v>
      </c>
      <c r="CJ49" s="3476" t="s">
        <v>3594</v>
      </c>
      <c r="CK49" s="3476" t="s">
        <v>3594</v>
      </c>
      <c r="CL49" s="3476" t="s">
        <v>3594</v>
      </c>
      <c r="CM49" s="3476" t="s">
        <v>3594</v>
      </c>
      <c r="CN49" s="3476" t="s">
        <v>3594</v>
      </c>
    </row>
    <row r="50" spans="1:92" ht="14.1" customHeight="1">
      <c r="A50" s="3475" t="s">
        <v>3683</v>
      </c>
      <c r="B50" s="3475" t="s">
        <v>3684</v>
      </c>
      <c r="C50" s="3475" t="s">
        <v>3649</v>
      </c>
      <c r="D50" s="3475" t="s">
        <v>3685</v>
      </c>
      <c r="E50" s="3475" t="s">
        <v>3686</v>
      </c>
      <c r="F50" s="3475" t="s">
        <v>3583</v>
      </c>
      <c r="G50" s="3475" t="s">
        <v>3610</v>
      </c>
      <c r="H50" s="3475" t="s">
        <v>3692</v>
      </c>
      <c r="I50" s="3475" t="s">
        <v>3612</v>
      </c>
      <c r="J50" s="3475">
        <v>381.26</v>
      </c>
      <c r="K50" s="3475" t="s">
        <v>3601</v>
      </c>
      <c r="L50" s="3475" t="s">
        <v>3602</v>
      </c>
      <c r="M50" s="3475">
        <v>6.1649700000000003</v>
      </c>
      <c r="N50" s="3475" t="s">
        <v>3589</v>
      </c>
      <c r="O50" s="3475" t="s">
        <v>3590</v>
      </c>
      <c r="P50" s="3475" t="s">
        <v>3594</v>
      </c>
      <c r="Q50" s="3475" t="s">
        <v>3688</v>
      </c>
      <c r="R50" s="3475" t="s">
        <v>3689</v>
      </c>
      <c r="S50" s="3475" t="s">
        <v>3688</v>
      </c>
      <c r="T50" s="3475" t="s">
        <v>3690</v>
      </c>
      <c r="U50" s="3475">
        <v>72864.149999999994</v>
      </c>
      <c r="V50" s="3475">
        <v>65812.78</v>
      </c>
      <c r="W50" s="3475">
        <v>72864.149999999994</v>
      </c>
      <c r="X50" s="3475" t="s">
        <v>3594</v>
      </c>
      <c r="Y50" s="3475" t="s">
        <v>3594</v>
      </c>
      <c r="Z50" s="3475" t="s">
        <v>3594</v>
      </c>
      <c r="AA50" s="3475" t="s">
        <v>3594</v>
      </c>
      <c r="AB50" s="3475" t="s">
        <v>3594</v>
      </c>
      <c r="AC50" s="3475" t="s">
        <v>3594</v>
      </c>
      <c r="AD50" s="3475" t="s">
        <v>3594</v>
      </c>
      <c r="AE50" s="3475" t="s">
        <v>3594</v>
      </c>
      <c r="AF50" s="3475" t="s">
        <v>3594</v>
      </c>
      <c r="AG50" s="3476" t="s">
        <v>3594</v>
      </c>
      <c r="AH50" s="3476" t="s">
        <v>3594</v>
      </c>
      <c r="AI50" s="3476" t="s">
        <v>3594</v>
      </c>
      <c r="AJ50" s="3476" t="s">
        <v>3594</v>
      </c>
      <c r="AK50" s="3476" t="s">
        <v>3594</v>
      </c>
      <c r="AL50" s="3476" t="s">
        <v>3594</v>
      </c>
      <c r="AM50" s="3476" t="s">
        <v>3594</v>
      </c>
      <c r="AN50" s="3476" t="s">
        <v>3594</v>
      </c>
      <c r="AO50" s="3476" t="s">
        <v>3594</v>
      </c>
      <c r="AP50" s="3476" t="s">
        <v>3594</v>
      </c>
      <c r="AQ50" s="3476" t="s">
        <v>3594</v>
      </c>
      <c r="AR50" s="3476" t="s">
        <v>3594</v>
      </c>
      <c r="AS50" s="3476" t="s">
        <v>3594</v>
      </c>
      <c r="AT50" s="3476" t="s">
        <v>3594</v>
      </c>
      <c r="AU50" s="3476" t="s">
        <v>3594</v>
      </c>
      <c r="AV50" s="3476" t="s">
        <v>3594</v>
      </c>
      <c r="AW50" s="3476" t="s">
        <v>3594</v>
      </c>
      <c r="AX50" s="3476" t="s">
        <v>3594</v>
      </c>
      <c r="AY50" s="3476" t="s">
        <v>3594</v>
      </c>
      <c r="AZ50" s="3476" t="s">
        <v>3594</v>
      </c>
      <c r="BA50" s="3476" t="s">
        <v>3594</v>
      </c>
      <c r="BB50" s="3476" t="s">
        <v>3594</v>
      </c>
      <c r="BC50" s="3476" t="s">
        <v>3594</v>
      </c>
      <c r="BD50" s="3476" t="s">
        <v>3594</v>
      </c>
      <c r="BE50" s="3476" t="s">
        <v>3594</v>
      </c>
      <c r="BF50" s="3476" t="s">
        <v>3594</v>
      </c>
      <c r="BG50" s="3476" t="s">
        <v>3594</v>
      </c>
      <c r="BH50" s="3476" t="s">
        <v>3594</v>
      </c>
      <c r="BI50" s="3476" t="s">
        <v>3594</v>
      </c>
      <c r="BJ50" s="3476" t="s">
        <v>3594</v>
      </c>
      <c r="BK50" s="3476" t="s">
        <v>3594</v>
      </c>
      <c r="BL50" s="3476" t="s">
        <v>3594</v>
      </c>
      <c r="BM50" s="3476" t="s">
        <v>3594</v>
      </c>
      <c r="BN50" s="3476" t="s">
        <v>3594</v>
      </c>
      <c r="BO50" s="3476" t="s">
        <v>3594</v>
      </c>
      <c r="BP50" s="3476" t="s">
        <v>3594</v>
      </c>
      <c r="BQ50" s="3476" t="s">
        <v>3594</v>
      </c>
      <c r="BR50" s="3476" t="s">
        <v>3594</v>
      </c>
      <c r="BS50" s="3476" t="s">
        <v>3594</v>
      </c>
      <c r="BT50" s="3476" t="s">
        <v>3594</v>
      </c>
      <c r="BU50" s="3476" t="s">
        <v>3594</v>
      </c>
      <c r="BV50" s="3476" t="s">
        <v>3594</v>
      </c>
      <c r="BW50" s="3476" t="s">
        <v>3594</v>
      </c>
      <c r="BX50" s="3476" t="s">
        <v>3594</v>
      </c>
      <c r="BY50" s="3476" t="s">
        <v>3594</v>
      </c>
      <c r="BZ50" s="3476" t="s">
        <v>3594</v>
      </c>
      <c r="CA50" s="3476" t="s">
        <v>3594</v>
      </c>
      <c r="CB50" s="3476" t="s">
        <v>3594</v>
      </c>
      <c r="CC50" s="3476" t="s">
        <v>3594</v>
      </c>
      <c r="CD50" s="3476" t="s">
        <v>3594</v>
      </c>
      <c r="CE50" s="3476" t="s">
        <v>3594</v>
      </c>
      <c r="CF50" s="3476" t="s">
        <v>3594</v>
      </c>
      <c r="CG50" s="3476" t="s">
        <v>3594</v>
      </c>
      <c r="CH50" s="3476" t="s">
        <v>3594</v>
      </c>
      <c r="CI50" s="3476" t="s">
        <v>3594</v>
      </c>
      <c r="CJ50" s="3476" t="s">
        <v>3594</v>
      </c>
      <c r="CK50" s="3476" t="s">
        <v>3594</v>
      </c>
      <c r="CL50" s="3476" t="s">
        <v>3594</v>
      </c>
      <c r="CM50" s="3476" t="s">
        <v>3594</v>
      </c>
      <c r="CN50" s="3476" t="s">
        <v>3594</v>
      </c>
    </row>
    <row r="51" spans="1:92" ht="14.1" customHeight="1">
      <c r="A51" s="3475" t="s">
        <v>3683</v>
      </c>
      <c r="B51" s="3475" t="s">
        <v>3684</v>
      </c>
      <c r="C51" s="3475" t="s">
        <v>3651</v>
      </c>
      <c r="D51" s="3475" t="s">
        <v>3685</v>
      </c>
      <c r="E51" s="3475" t="s">
        <v>3686</v>
      </c>
      <c r="F51" s="3475" t="s">
        <v>3583</v>
      </c>
      <c r="G51" s="3475" t="s">
        <v>3610</v>
      </c>
      <c r="H51" s="3475" t="s">
        <v>3692</v>
      </c>
      <c r="I51" s="3475" t="s">
        <v>3612</v>
      </c>
      <c r="J51" s="3475">
        <v>381.26</v>
      </c>
      <c r="K51" s="3475" t="s">
        <v>3601</v>
      </c>
      <c r="L51" s="3475" t="s">
        <v>3602</v>
      </c>
      <c r="M51" s="3475">
        <v>-0.24654000000000001</v>
      </c>
      <c r="N51" s="3475" t="s">
        <v>3589</v>
      </c>
      <c r="O51" s="3475" t="s">
        <v>3590</v>
      </c>
      <c r="P51" s="3475" t="s">
        <v>3594</v>
      </c>
      <c r="Q51" s="3475" t="s">
        <v>3688</v>
      </c>
      <c r="R51" s="3475" t="s">
        <v>3689</v>
      </c>
      <c r="S51" s="3475" t="s">
        <v>3688</v>
      </c>
      <c r="T51" s="3475" t="s">
        <v>3690</v>
      </c>
      <c r="U51" s="3475">
        <v>-2913.87</v>
      </c>
      <c r="V51" s="3475">
        <v>-2631.88</v>
      </c>
      <c r="W51" s="3475">
        <v>-2913.87</v>
      </c>
      <c r="X51" s="3475" t="s">
        <v>3594</v>
      </c>
      <c r="Y51" s="3475" t="s">
        <v>3594</v>
      </c>
      <c r="Z51" s="3475" t="s">
        <v>3594</v>
      </c>
      <c r="AA51" s="3475" t="s">
        <v>3594</v>
      </c>
      <c r="AB51" s="3475" t="s">
        <v>3594</v>
      </c>
      <c r="AC51" s="3475" t="s">
        <v>3594</v>
      </c>
      <c r="AD51" s="3475" t="s">
        <v>3594</v>
      </c>
      <c r="AE51" s="3475" t="s">
        <v>3594</v>
      </c>
      <c r="AF51" s="3475" t="s">
        <v>3594</v>
      </c>
      <c r="AG51" s="3476" t="s">
        <v>3594</v>
      </c>
      <c r="AH51" s="3476" t="s">
        <v>3594</v>
      </c>
      <c r="AI51" s="3476" t="s">
        <v>3594</v>
      </c>
      <c r="AJ51" s="3476" t="s">
        <v>3594</v>
      </c>
      <c r="AK51" s="3476" t="s">
        <v>3594</v>
      </c>
      <c r="AL51" s="3476" t="s">
        <v>3594</v>
      </c>
      <c r="AM51" s="3476" t="s">
        <v>3594</v>
      </c>
      <c r="AN51" s="3476" t="s">
        <v>3594</v>
      </c>
      <c r="AO51" s="3476" t="s">
        <v>3594</v>
      </c>
      <c r="AP51" s="3476" t="s">
        <v>3594</v>
      </c>
      <c r="AQ51" s="3476" t="s">
        <v>3594</v>
      </c>
      <c r="AR51" s="3476" t="s">
        <v>3594</v>
      </c>
      <c r="AS51" s="3476" t="s">
        <v>3594</v>
      </c>
      <c r="AT51" s="3476" t="s">
        <v>3594</v>
      </c>
      <c r="AU51" s="3476" t="s">
        <v>3594</v>
      </c>
      <c r="AV51" s="3476" t="s">
        <v>3594</v>
      </c>
      <c r="AW51" s="3476" t="s">
        <v>3594</v>
      </c>
      <c r="AX51" s="3476" t="s">
        <v>3594</v>
      </c>
      <c r="AY51" s="3476" t="s">
        <v>3594</v>
      </c>
      <c r="AZ51" s="3476" t="s">
        <v>3594</v>
      </c>
      <c r="BA51" s="3476" t="s">
        <v>3594</v>
      </c>
      <c r="BB51" s="3476" t="s">
        <v>3594</v>
      </c>
      <c r="BC51" s="3476" t="s">
        <v>3594</v>
      </c>
      <c r="BD51" s="3476" t="s">
        <v>3594</v>
      </c>
      <c r="BE51" s="3476" t="s">
        <v>3594</v>
      </c>
      <c r="BF51" s="3476" t="s">
        <v>3594</v>
      </c>
      <c r="BG51" s="3476" t="s">
        <v>3594</v>
      </c>
      <c r="BH51" s="3476" t="s">
        <v>3594</v>
      </c>
      <c r="BI51" s="3476" t="s">
        <v>3594</v>
      </c>
      <c r="BJ51" s="3476" t="s">
        <v>3594</v>
      </c>
      <c r="BK51" s="3476" t="s">
        <v>3594</v>
      </c>
      <c r="BL51" s="3476" t="s">
        <v>3594</v>
      </c>
      <c r="BM51" s="3476" t="s">
        <v>3594</v>
      </c>
      <c r="BN51" s="3476" t="s">
        <v>3594</v>
      </c>
      <c r="BO51" s="3476" t="s">
        <v>3594</v>
      </c>
      <c r="BP51" s="3476" t="s">
        <v>3594</v>
      </c>
      <c r="BQ51" s="3476" t="s">
        <v>3594</v>
      </c>
      <c r="BR51" s="3476" t="s">
        <v>3594</v>
      </c>
      <c r="BS51" s="3476" t="s">
        <v>3594</v>
      </c>
      <c r="BT51" s="3476" t="s">
        <v>3594</v>
      </c>
      <c r="BU51" s="3476" t="s">
        <v>3594</v>
      </c>
      <c r="BV51" s="3476" t="s">
        <v>3594</v>
      </c>
      <c r="BW51" s="3476" t="s">
        <v>3594</v>
      </c>
      <c r="BX51" s="3476" t="s">
        <v>3594</v>
      </c>
      <c r="BY51" s="3476" t="s">
        <v>3594</v>
      </c>
      <c r="BZ51" s="3476" t="s">
        <v>3594</v>
      </c>
      <c r="CA51" s="3476" t="s">
        <v>3594</v>
      </c>
      <c r="CB51" s="3476" t="s">
        <v>3594</v>
      </c>
      <c r="CC51" s="3476" t="s">
        <v>3594</v>
      </c>
      <c r="CD51" s="3476" t="s">
        <v>3594</v>
      </c>
      <c r="CE51" s="3476" t="s">
        <v>3594</v>
      </c>
      <c r="CF51" s="3476" t="s">
        <v>3594</v>
      </c>
      <c r="CG51" s="3476" t="s">
        <v>3594</v>
      </c>
      <c r="CH51" s="3476" t="s">
        <v>3594</v>
      </c>
      <c r="CI51" s="3476" t="s">
        <v>3594</v>
      </c>
      <c r="CJ51" s="3476" t="s">
        <v>3594</v>
      </c>
      <c r="CK51" s="3476" t="s">
        <v>3594</v>
      </c>
      <c r="CL51" s="3476" t="s">
        <v>3594</v>
      </c>
      <c r="CM51" s="3476" t="s">
        <v>3594</v>
      </c>
      <c r="CN51" s="3476" t="s">
        <v>3594</v>
      </c>
    </row>
    <row r="52" spans="1:92" ht="14.1" customHeight="1">
      <c r="A52" s="3475" t="s">
        <v>3683</v>
      </c>
      <c r="B52" s="3475" t="s">
        <v>3684</v>
      </c>
      <c r="C52" s="3475" t="s">
        <v>3652</v>
      </c>
      <c r="D52" s="3475" t="s">
        <v>3685</v>
      </c>
      <c r="E52" s="3475" t="s">
        <v>3686</v>
      </c>
      <c r="F52" s="3475" t="s">
        <v>3583</v>
      </c>
      <c r="G52" s="3475" t="s">
        <v>3610</v>
      </c>
      <c r="H52" s="3475" t="s">
        <v>3692</v>
      </c>
      <c r="I52" s="3475" t="s">
        <v>3612</v>
      </c>
      <c r="J52" s="3475">
        <v>381.26</v>
      </c>
      <c r="K52" s="3475" t="s">
        <v>3601</v>
      </c>
      <c r="L52" s="3475" t="s">
        <v>3602</v>
      </c>
      <c r="M52" s="3475">
        <v>6.1649700000000003</v>
      </c>
      <c r="N52" s="3475" t="s">
        <v>3589</v>
      </c>
      <c r="O52" s="3475" t="s">
        <v>3590</v>
      </c>
      <c r="P52" s="3475" t="s">
        <v>3594</v>
      </c>
      <c r="Q52" s="3475" t="s">
        <v>3691</v>
      </c>
      <c r="R52" s="3475" t="s">
        <v>3690</v>
      </c>
      <c r="S52" s="3475" t="s">
        <v>3688</v>
      </c>
      <c r="T52" s="3475" t="s">
        <v>3690</v>
      </c>
      <c r="U52" s="3475" t="s">
        <v>3594</v>
      </c>
      <c r="V52" s="3475" t="s">
        <v>3594</v>
      </c>
      <c r="W52" s="3475" t="s">
        <v>3594</v>
      </c>
      <c r="X52" s="3475">
        <v>70513.69</v>
      </c>
      <c r="Y52" s="3475">
        <v>72864.149999999994</v>
      </c>
      <c r="Z52" s="3475">
        <v>70513.69</v>
      </c>
      <c r="AA52" s="3475">
        <v>72864.149999999994</v>
      </c>
      <c r="AB52" s="3475">
        <v>72864.149999999994</v>
      </c>
      <c r="AC52" s="3475">
        <v>70513.69</v>
      </c>
      <c r="AD52" s="3475">
        <v>72864.149999999994</v>
      </c>
      <c r="AE52" s="3475">
        <v>70513.69</v>
      </c>
      <c r="AF52" s="3475">
        <v>72864.149999999994</v>
      </c>
      <c r="AG52" s="3476">
        <v>72864.149999999994</v>
      </c>
      <c r="AH52" s="3476">
        <v>68163.240000000005</v>
      </c>
      <c r="AI52" s="3476">
        <v>72864.149999999994</v>
      </c>
      <c r="AJ52" s="3476" t="s">
        <v>3594</v>
      </c>
      <c r="AK52" s="3476" t="s">
        <v>3594</v>
      </c>
      <c r="AL52" s="3476" t="s">
        <v>3594</v>
      </c>
      <c r="AM52" s="3476" t="s">
        <v>3594</v>
      </c>
      <c r="AN52" s="3476" t="s">
        <v>3594</v>
      </c>
      <c r="AO52" s="3476" t="s">
        <v>3594</v>
      </c>
      <c r="AP52" s="3476" t="s">
        <v>3594</v>
      </c>
      <c r="AQ52" s="3476" t="s">
        <v>3594</v>
      </c>
      <c r="AR52" s="3476" t="s">
        <v>3594</v>
      </c>
      <c r="AS52" s="3476" t="s">
        <v>3594</v>
      </c>
      <c r="AT52" s="3476" t="s">
        <v>3594</v>
      </c>
      <c r="AU52" s="3476" t="s">
        <v>3594</v>
      </c>
      <c r="AV52" s="3476" t="s">
        <v>3594</v>
      </c>
      <c r="AW52" s="3476" t="s">
        <v>3594</v>
      </c>
      <c r="AX52" s="3476" t="s">
        <v>3594</v>
      </c>
      <c r="AY52" s="3476" t="s">
        <v>3594</v>
      </c>
      <c r="AZ52" s="3476" t="s">
        <v>3594</v>
      </c>
      <c r="BA52" s="3476" t="s">
        <v>3594</v>
      </c>
      <c r="BB52" s="3476" t="s">
        <v>3594</v>
      </c>
      <c r="BC52" s="3476" t="s">
        <v>3594</v>
      </c>
      <c r="BD52" s="3476" t="s">
        <v>3594</v>
      </c>
      <c r="BE52" s="3476" t="s">
        <v>3594</v>
      </c>
      <c r="BF52" s="3476" t="s">
        <v>3594</v>
      </c>
      <c r="BG52" s="3476" t="s">
        <v>3594</v>
      </c>
      <c r="BH52" s="3476" t="s">
        <v>3594</v>
      </c>
      <c r="BI52" s="3476" t="s">
        <v>3594</v>
      </c>
      <c r="BJ52" s="3476" t="s">
        <v>3594</v>
      </c>
      <c r="BK52" s="3476" t="s">
        <v>3594</v>
      </c>
      <c r="BL52" s="3476" t="s">
        <v>3594</v>
      </c>
      <c r="BM52" s="3476" t="s">
        <v>3594</v>
      </c>
      <c r="BN52" s="3476" t="s">
        <v>3594</v>
      </c>
      <c r="BO52" s="3476" t="s">
        <v>3594</v>
      </c>
      <c r="BP52" s="3476" t="s">
        <v>3594</v>
      </c>
      <c r="BQ52" s="3476" t="s">
        <v>3594</v>
      </c>
      <c r="BR52" s="3476" t="s">
        <v>3594</v>
      </c>
      <c r="BS52" s="3476" t="s">
        <v>3594</v>
      </c>
      <c r="BT52" s="3476" t="s">
        <v>3594</v>
      </c>
      <c r="BU52" s="3476" t="s">
        <v>3594</v>
      </c>
      <c r="BV52" s="3476" t="s">
        <v>3594</v>
      </c>
      <c r="BW52" s="3476" t="s">
        <v>3594</v>
      </c>
      <c r="BX52" s="3476" t="s">
        <v>3594</v>
      </c>
      <c r="BY52" s="3476" t="s">
        <v>3594</v>
      </c>
      <c r="BZ52" s="3476" t="s">
        <v>3594</v>
      </c>
      <c r="CA52" s="3476" t="s">
        <v>3594</v>
      </c>
      <c r="CB52" s="3476" t="s">
        <v>3594</v>
      </c>
      <c r="CC52" s="3476" t="s">
        <v>3594</v>
      </c>
      <c r="CD52" s="3476" t="s">
        <v>3594</v>
      </c>
      <c r="CE52" s="3476" t="s">
        <v>3594</v>
      </c>
      <c r="CF52" s="3476" t="s">
        <v>3594</v>
      </c>
      <c r="CG52" s="3476" t="s">
        <v>3594</v>
      </c>
      <c r="CH52" s="3476" t="s">
        <v>3594</v>
      </c>
      <c r="CI52" s="3476" t="s">
        <v>3594</v>
      </c>
      <c r="CJ52" s="3476" t="s">
        <v>3594</v>
      </c>
      <c r="CK52" s="3476" t="s">
        <v>3594</v>
      </c>
      <c r="CL52" s="3476" t="s">
        <v>3594</v>
      </c>
      <c r="CM52" s="3476" t="s">
        <v>3594</v>
      </c>
      <c r="CN52" s="3476" t="s">
        <v>3594</v>
      </c>
    </row>
    <row r="53" spans="1:92" ht="14.1" customHeight="1">
      <c r="A53" s="3475" t="s">
        <v>3683</v>
      </c>
      <c r="B53" s="3475" t="s">
        <v>3684</v>
      </c>
      <c r="C53" s="3475" t="s">
        <v>3656</v>
      </c>
      <c r="D53" s="3475" t="s">
        <v>3685</v>
      </c>
      <c r="E53" s="3475" t="s">
        <v>3686</v>
      </c>
      <c r="F53" s="3475" t="s">
        <v>3583</v>
      </c>
      <c r="G53" s="3475" t="s">
        <v>3610</v>
      </c>
      <c r="H53" s="3475" t="s">
        <v>3692</v>
      </c>
      <c r="I53" s="3475" t="s">
        <v>3612</v>
      </c>
      <c r="J53" s="3475">
        <v>381.26</v>
      </c>
      <c r="K53" s="3475" t="s">
        <v>3604</v>
      </c>
      <c r="L53" s="3475" t="s">
        <v>3605</v>
      </c>
      <c r="M53" s="3475">
        <v>0.33824599999999999</v>
      </c>
      <c r="N53" s="3475" t="s">
        <v>3598</v>
      </c>
      <c r="O53" s="3475" t="s">
        <v>3590</v>
      </c>
      <c r="P53" s="3475" t="s">
        <v>3594</v>
      </c>
      <c r="Q53" s="3475" t="s">
        <v>3688</v>
      </c>
      <c r="R53" s="3475" t="s">
        <v>3689</v>
      </c>
      <c r="S53" s="3475" t="s">
        <v>3688</v>
      </c>
      <c r="T53" s="3475" t="s">
        <v>3690</v>
      </c>
      <c r="U53" s="3475">
        <v>3997.75</v>
      </c>
      <c r="V53" s="3475">
        <v>3610.87</v>
      </c>
      <c r="W53" s="3475">
        <v>3997.75</v>
      </c>
      <c r="X53" s="3475" t="s">
        <v>3594</v>
      </c>
      <c r="Y53" s="3475" t="s">
        <v>3594</v>
      </c>
      <c r="Z53" s="3475" t="s">
        <v>3594</v>
      </c>
      <c r="AA53" s="3475" t="s">
        <v>3594</v>
      </c>
      <c r="AB53" s="3475" t="s">
        <v>3594</v>
      </c>
      <c r="AC53" s="3475" t="s">
        <v>3594</v>
      </c>
      <c r="AD53" s="3475" t="s">
        <v>3594</v>
      </c>
      <c r="AE53" s="3475" t="s">
        <v>3594</v>
      </c>
      <c r="AF53" s="3475" t="s">
        <v>3594</v>
      </c>
      <c r="AG53" s="3476" t="s">
        <v>3594</v>
      </c>
      <c r="AH53" s="3476" t="s">
        <v>3594</v>
      </c>
      <c r="AI53" s="3476" t="s">
        <v>3594</v>
      </c>
      <c r="AJ53" s="3476" t="s">
        <v>3594</v>
      </c>
      <c r="AK53" s="3476" t="s">
        <v>3594</v>
      </c>
      <c r="AL53" s="3476" t="s">
        <v>3594</v>
      </c>
      <c r="AM53" s="3476" t="s">
        <v>3594</v>
      </c>
      <c r="AN53" s="3476" t="s">
        <v>3594</v>
      </c>
      <c r="AO53" s="3476" t="s">
        <v>3594</v>
      </c>
      <c r="AP53" s="3476" t="s">
        <v>3594</v>
      </c>
      <c r="AQ53" s="3476" t="s">
        <v>3594</v>
      </c>
      <c r="AR53" s="3476" t="s">
        <v>3594</v>
      </c>
      <c r="AS53" s="3476" t="s">
        <v>3594</v>
      </c>
      <c r="AT53" s="3476" t="s">
        <v>3594</v>
      </c>
      <c r="AU53" s="3476" t="s">
        <v>3594</v>
      </c>
      <c r="AV53" s="3476" t="s">
        <v>3594</v>
      </c>
      <c r="AW53" s="3476" t="s">
        <v>3594</v>
      </c>
      <c r="AX53" s="3476" t="s">
        <v>3594</v>
      </c>
      <c r="AY53" s="3476" t="s">
        <v>3594</v>
      </c>
      <c r="AZ53" s="3476" t="s">
        <v>3594</v>
      </c>
      <c r="BA53" s="3476" t="s">
        <v>3594</v>
      </c>
      <c r="BB53" s="3476" t="s">
        <v>3594</v>
      </c>
      <c r="BC53" s="3476" t="s">
        <v>3594</v>
      </c>
      <c r="BD53" s="3476" t="s">
        <v>3594</v>
      </c>
      <c r="BE53" s="3476" t="s">
        <v>3594</v>
      </c>
      <c r="BF53" s="3476" t="s">
        <v>3594</v>
      </c>
      <c r="BG53" s="3476" t="s">
        <v>3594</v>
      </c>
      <c r="BH53" s="3476" t="s">
        <v>3594</v>
      </c>
      <c r="BI53" s="3476" t="s">
        <v>3594</v>
      </c>
      <c r="BJ53" s="3476" t="s">
        <v>3594</v>
      </c>
      <c r="BK53" s="3476" t="s">
        <v>3594</v>
      </c>
      <c r="BL53" s="3476" t="s">
        <v>3594</v>
      </c>
      <c r="BM53" s="3476" t="s">
        <v>3594</v>
      </c>
      <c r="BN53" s="3476" t="s">
        <v>3594</v>
      </c>
      <c r="BO53" s="3476" t="s">
        <v>3594</v>
      </c>
      <c r="BP53" s="3476" t="s">
        <v>3594</v>
      </c>
      <c r="BQ53" s="3476" t="s">
        <v>3594</v>
      </c>
      <c r="BR53" s="3476" t="s">
        <v>3594</v>
      </c>
      <c r="BS53" s="3476" t="s">
        <v>3594</v>
      </c>
      <c r="BT53" s="3476" t="s">
        <v>3594</v>
      </c>
      <c r="BU53" s="3476" t="s">
        <v>3594</v>
      </c>
      <c r="BV53" s="3476" t="s">
        <v>3594</v>
      </c>
      <c r="BW53" s="3476" t="s">
        <v>3594</v>
      </c>
      <c r="BX53" s="3476" t="s">
        <v>3594</v>
      </c>
      <c r="BY53" s="3476" t="s">
        <v>3594</v>
      </c>
      <c r="BZ53" s="3476" t="s">
        <v>3594</v>
      </c>
      <c r="CA53" s="3476" t="s">
        <v>3594</v>
      </c>
      <c r="CB53" s="3476" t="s">
        <v>3594</v>
      </c>
      <c r="CC53" s="3476" t="s">
        <v>3594</v>
      </c>
      <c r="CD53" s="3476" t="s">
        <v>3594</v>
      </c>
      <c r="CE53" s="3476" t="s">
        <v>3594</v>
      </c>
      <c r="CF53" s="3476" t="s">
        <v>3594</v>
      </c>
      <c r="CG53" s="3476" t="s">
        <v>3594</v>
      </c>
      <c r="CH53" s="3476" t="s">
        <v>3594</v>
      </c>
      <c r="CI53" s="3476" t="s">
        <v>3594</v>
      </c>
      <c r="CJ53" s="3476" t="s">
        <v>3594</v>
      </c>
      <c r="CK53" s="3476" t="s">
        <v>3594</v>
      </c>
      <c r="CL53" s="3476" t="s">
        <v>3594</v>
      </c>
      <c r="CM53" s="3476" t="s">
        <v>3594</v>
      </c>
      <c r="CN53" s="3476" t="s">
        <v>3594</v>
      </c>
    </row>
    <row r="54" spans="1:92" ht="14.1" customHeight="1">
      <c r="A54" s="3475" t="s">
        <v>3683</v>
      </c>
      <c r="B54" s="3475" t="s">
        <v>3684</v>
      </c>
      <c r="C54" s="3475" t="s">
        <v>3657</v>
      </c>
      <c r="D54" s="3475" t="s">
        <v>3685</v>
      </c>
      <c r="E54" s="3475" t="s">
        <v>3686</v>
      </c>
      <c r="F54" s="3475" t="s">
        <v>3583</v>
      </c>
      <c r="G54" s="3475" t="s">
        <v>3610</v>
      </c>
      <c r="H54" s="3475" t="s">
        <v>3692</v>
      </c>
      <c r="I54" s="3475" t="s">
        <v>3612</v>
      </c>
      <c r="J54" s="3475">
        <v>381.26</v>
      </c>
      <c r="K54" s="3475" t="s">
        <v>3604</v>
      </c>
      <c r="L54" s="3475" t="s">
        <v>3605</v>
      </c>
      <c r="M54" s="3475">
        <v>0.35849199999999998</v>
      </c>
      <c r="N54" s="3475" t="s">
        <v>3598</v>
      </c>
      <c r="O54" s="3475" t="s">
        <v>3590</v>
      </c>
      <c r="P54" s="3475" t="s">
        <v>3594</v>
      </c>
      <c r="Q54" s="3475" t="s">
        <v>3691</v>
      </c>
      <c r="R54" s="3475" t="s">
        <v>3690</v>
      </c>
      <c r="S54" s="3475" t="s">
        <v>3688</v>
      </c>
      <c r="T54" s="3475" t="s">
        <v>3690</v>
      </c>
      <c r="U54" s="3475" t="s">
        <v>3594</v>
      </c>
      <c r="V54" s="3475" t="s">
        <v>3594</v>
      </c>
      <c r="W54" s="3475" t="s">
        <v>3594</v>
      </c>
      <c r="X54" s="3475">
        <v>4100.3599999999997</v>
      </c>
      <c r="Y54" s="3475">
        <v>4237.04</v>
      </c>
      <c r="Z54" s="3475">
        <v>4100.3599999999997</v>
      </c>
      <c r="AA54" s="3475">
        <v>4237.04</v>
      </c>
      <c r="AB54" s="3475">
        <v>4237.04</v>
      </c>
      <c r="AC54" s="3475">
        <v>4100.3599999999997</v>
      </c>
      <c r="AD54" s="3475">
        <v>4237.04</v>
      </c>
      <c r="AE54" s="3475">
        <v>4100.3599999999997</v>
      </c>
      <c r="AF54" s="3475">
        <v>4237.04</v>
      </c>
      <c r="AG54" s="3476">
        <v>4237.04</v>
      </c>
      <c r="AH54" s="3476">
        <v>3963.68</v>
      </c>
      <c r="AI54" s="3476">
        <v>4237.04</v>
      </c>
      <c r="AJ54" s="3476" t="s">
        <v>3594</v>
      </c>
      <c r="AK54" s="3476" t="s">
        <v>3594</v>
      </c>
      <c r="AL54" s="3476" t="s">
        <v>3594</v>
      </c>
      <c r="AM54" s="3476" t="s">
        <v>3594</v>
      </c>
      <c r="AN54" s="3476" t="s">
        <v>3594</v>
      </c>
      <c r="AO54" s="3476" t="s">
        <v>3594</v>
      </c>
      <c r="AP54" s="3476" t="s">
        <v>3594</v>
      </c>
      <c r="AQ54" s="3476" t="s">
        <v>3594</v>
      </c>
      <c r="AR54" s="3476" t="s">
        <v>3594</v>
      </c>
      <c r="AS54" s="3476" t="s">
        <v>3594</v>
      </c>
      <c r="AT54" s="3476" t="s">
        <v>3594</v>
      </c>
      <c r="AU54" s="3476" t="s">
        <v>3594</v>
      </c>
      <c r="AV54" s="3476" t="s">
        <v>3594</v>
      </c>
      <c r="AW54" s="3476" t="s">
        <v>3594</v>
      </c>
      <c r="AX54" s="3476" t="s">
        <v>3594</v>
      </c>
      <c r="AY54" s="3476" t="s">
        <v>3594</v>
      </c>
      <c r="AZ54" s="3476" t="s">
        <v>3594</v>
      </c>
      <c r="BA54" s="3476" t="s">
        <v>3594</v>
      </c>
      <c r="BB54" s="3476" t="s">
        <v>3594</v>
      </c>
      <c r="BC54" s="3476" t="s">
        <v>3594</v>
      </c>
      <c r="BD54" s="3476" t="s">
        <v>3594</v>
      </c>
      <c r="BE54" s="3476" t="s">
        <v>3594</v>
      </c>
      <c r="BF54" s="3476" t="s">
        <v>3594</v>
      </c>
      <c r="BG54" s="3476" t="s">
        <v>3594</v>
      </c>
      <c r="BH54" s="3476" t="s">
        <v>3594</v>
      </c>
      <c r="BI54" s="3476" t="s">
        <v>3594</v>
      </c>
      <c r="BJ54" s="3476" t="s">
        <v>3594</v>
      </c>
      <c r="BK54" s="3476" t="s">
        <v>3594</v>
      </c>
      <c r="BL54" s="3476" t="s">
        <v>3594</v>
      </c>
      <c r="BM54" s="3476" t="s">
        <v>3594</v>
      </c>
      <c r="BN54" s="3476" t="s">
        <v>3594</v>
      </c>
      <c r="BO54" s="3476" t="s">
        <v>3594</v>
      </c>
      <c r="BP54" s="3476" t="s">
        <v>3594</v>
      </c>
      <c r="BQ54" s="3476" t="s">
        <v>3594</v>
      </c>
      <c r="BR54" s="3476" t="s">
        <v>3594</v>
      </c>
      <c r="BS54" s="3476" t="s">
        <v>3594</v>
      </c>
      <c r="BT54" s="3476" t="s">
        <v>3594</v>
      </c>
      <c r="BU54" s="3476" t="s">
        <v>3594</v>
      </c>
      <c r="BV54" s="3476" t="s">
        <v>3594</v>
      </c>
      <c r="BW54" s="3476" t="s">
        <v>3594</v>
      </c>
      <c r="BX54" s="3476" t="s">
        <v>3594</v>
      </c>
      <c r="BY54" s="3476" t="s">
        <v>3594</v>
      </c>
      <c r="BZ54" s="3476" t="s">
        <v>3594</v>
      </c>
      <c r="CA54" s="3476" t="s">
        <v>3594</v>
      </c>
      <c r="CB54" s="3476" t="s">
        <v>3594</v>
      </c>
      <c r="CC54" s="3476" t="s">
        <v>3594</v>
      </c>
      <c r="CD54" s="3476" t="s">
        <v>3594</v>
      </c>
      <c r="CE54" s="3476" t="s">
        <v>3594</v>
      </c>
      <c r="CF54" s="3476" t="s">
        <v>3594</v>
      </c>
      <c r="CG54" s="3476" t="s">
        <v>3594</v>
      </c>
      <c r="CH54" s="3476" t="s">
        <v>3594</v>
      </c>
      <c r="CI54" s="3476" t="s">
        <v>3594</v>
      </c>
      <c r="CJ54" s="3476" t="s">
        <v>3594</v>
      </c>
      <c r="CK54" s="3476" t="s">
        <v>3594</v>
      </c>
      <c r="CL54" s="3476" t="s">
        <v>3594</v>
      </c>
      <c r="CM54" s="3476" t="s">
        <v>3594</v>
      </c>
      <c r="CN54" s="3476" t="s">
        <v>3594</v>
      </c>
    </row>
    <row r="55" spans="1:92" ht="14.1" customHeight="1">
      <c r="A55" s="3475" t="s">
        <v>3693</v>
      </c>
      <c r="B55" s="3475" t="s">
        <v>3694</v>
      </c>
      <c r="C55" s="3475" t="s">
        <v>3695</v>
      </c>
      <c r="D55" s="3475" t="s">
        <v>3696</v>
      </c>
      <c r="E55" s="3475" t="s">
        <v>3697</v>
      </c>
      <c r="F55" s="3475" t="s">
        <v>3583</v>
      </c>
      <c r="G55" s="3475" t="s">
        <v>3584</v>
      </c>
      <c r="H55" s="3475" t="s">
        <v>3698</v>
      </c>
      <c r="I55" s="3475" t="s">
        <v>3612</v>
      </c>
      <c r="J55" s="3475">
        <v>5871.35</v>
      </c>
      <c r="K55" s="3475" t="s">
        <v>3587</v>
      </c>
      <c r="L55" s="3475" t="s">
        <v>3588</v>
      </c>
      <c r="M55" s="3475">
        <v>4.9619850000000003</v>
      </c>
      <c r="N55" s="3475" t="s">
        <v>3589</v>
      </c>
      <c r="O55" s="3475" t="s">
        <v>3590</v>
      </c>
      <c r="P55" s="3475">
        <v>3706823.71</v>
      </c>
      <c r="Q55" s="3475" t="s">
        <v>3699</v>
      </c>
      <c r="R55" s="3475" t="s">
        <v>3592</v>
      </c>
      <c r="S55" s="3475" t="s">
        <v>3699</v>
      </c>
      <c r="T55" s="3475" t="s">
        <v>3592</v>
      </c>
      <c r="U55" s="3475">
        <v>903140.07</v>
      </c>
      <c r="V55" s="3475">
        <v>815739.42</v>
      </c>
      <c r="W55" s="3475">
        <v>903140.07</v>
      </c>
      <c r="X55" s="3475">
        <v>874006.52</v>
      </c>
      <c r="Y55" s="3475">
        <v>903140.07</v>
      </c>
      <c r="Z55" s="3475">
        <v>874006.52</v>
      </c>
      <c r="AA55" s="3475">
        <v>903140.07</v>
      </c>
      <c r="AB55" s="3475">
        <v>903140.07</v>
      </c>
      <c r="AC55" s="3475">
        <v>874006.52</v>
      </c>
      <c r="AD55" s="3475">
        <v>903140.07</v>
      </c>
      <c r="AE55" s="3475">
        <v>874006.52</v>
      </c>
      <c r="AF55" s="3475">
        <v>786605.87</v>
      </c>
      <c r="AG55" s="3476" t="s">
        <v>3594</v>
      </c>
      <c r="AH55" s="3476" t="s">
        <v>3594</v>
      </c>
      <c r="AI55" s="3476" t="s">
        <v>3594</v>
      </c>
      <c r="AJ55" s="3476" t="s">
        <v>3594</v>
      </c>
      <c r="AK55" s="3476" t="s">
        <v>3594</v>
      </c>
      <c r="AL55" s="3476" t="s">
        <v>3594</v>
      </c>
      <c r="AM55" s="3476" t="s">
        <v>3594</v>
      </c>
      <c r="AN55" s="3476" t="s">
        <v>3594</v>
      </c>
      <c r="AO55" s="3476" t="s">
        <v>3594</v>
      </c>
      <c r="AP55" s="3476" t="s">
        <v>3594</v>
      </c>
      <c r="AQ55" s="3476" t="s">
        <v>3594</v>
      </c>
      <c r="AR55" s="3476" t="s">
        <v>3594</v>
      </c>
      <c r="AS55" s="3476" t="s">
        <v>3594</v>
      </c>
      <c r="AT55" s="3476" t="s">
        <v>3594</v>
      </c>
      <c r="AU55" s="3476" t="s">
        <v>3594</v>
      </c>
      <c r="AV55" s="3476" t="s">
        <v>3594</v>
      </c>
      <c r="AW55" s="3476" t="s">
        <v>3594</v>
      </c>
      <c r="AX55" s="3476" t="s">
        <v>3594</v>
      </c>
      <c r="AY55" s="3476" t="s">
        <v>3594</v>
      </c>
      <c r="AZ55" s="3476" t="s">
        <v>3594</v>
      </c>
      <c r="BA55" s="3476" t="s">
        <v>3594</v>
      </c>
      <c r="BB55" s="3476" t="s">
        <v>3594</v>
      </c>
      <c r="BC55" s="3476" t="s">
        <v>3594</v>
      </c>
      <c r="BD55" s="3476" t="s">
        <v>3594</v>
      </c>
      <c r="BE55" s="3476" t="s">
        <v>3594</v>
      </c>
      <c r="BF55" s="3476" t="s">
        <v>3594</v>
      </c>
      <c r="BG55" s="3476" t="s">
        <v>3594</v>
      </c>
      <c r="BH55" s="3476" t="s">
        <v>3594</v>
      </c>
      <c r="BI55" s="3476" t="s">
        <v>3594</v>
      </c>
      <c r="BJ55" s="3476" t="s">
        <v>3594</v>
      </c>
      <c r="BK55" s="3476" t="s">
        <v>3594</v>
      </c>
      <c r="BL55" s="3476" t="s">
        <v>3594</v>
      </c>
      <c r="BM55" s="3476" t="s">
        <v>3594</v>
      </c>
      <c r="BN55" s="3476" t="s">
        <v>3594</v>
      </c>
      <c r="BO55" s="3476" t="s">
        <v>3594</v>
      </c>
      <c r="BP55" s="3476" t="s">
        <v>3594</v>
      </c>
      <c r="BQ55" s="3476" t="s">
        <v>3594</v>
      </c>
      <c r="BR55" s="3476" t="s">
        <v>3594</v>
      </c>
      <c r="BS55" s="3476" t="s">
        <v>3594</v>
      </c>
      <c r="BT55" s="3476" t="s">
        <v>3594</v>
      </c>
      <c r="BU55" s="3476" t="s">
        <v>3594</v>
      </c>
      <c r="BV55" s="3476" t="s">
        <v>3594</v>
      </c>
      <c r="BW55" s="3476" t="s">
        <v>3594</v>
      </c>
      <c r="BX55" s="3476" t="s">
        <v>3594</v>
      </c>
      <c r="BY55" s="3476" t="s">
        <v>3594</v>
      </c>
      <c r="BZ55" s="3476" t="s">
        <v>3594</v>
      </c>
      <c r="CA55" s="3476" t="s">
        <v>3594</v>
      </c>
      <c r="CB55" s="3476" t="s">
        <v>3594</v>
      </c>
      <c r="CC55" s="3476" t="s">
        <v>3594</v>
      </c>
      <c r="CD55" s="3476" t="s">
        <v>3594</v>
      </c>
      <c r="CE55" s="3476" t="s">
        <v>3594</v>
      </c>
      <c r="CF55" s="3476" t="s">
        <v>3594</v>
      </c>
      <c r="CG55" s="3476" t="s">
        <v>3594</v>
      </c>
      <c r="CH55" s="3476" t="s">
        <v>3594</v>
      </c>
      <c r="CI55" s="3476" t="s">
        <v>3594</v>
      </c>
      <c r="CJ55" s="3476" t="s">
        <v>3594</v>
      </c>
      <c r="CK55" s="3476" t="s">
        <v>3594</v>
      </c>
      <c r="CL55" s="3476" t="s">
        <v>3594</v>
      </c>
      <c r="CM55" s="3476" t="s">
        <v>3594</v>
      </c>
      <c r="CN55" s="3476" t="s">
        <v>3594</v>
      </c>
    </row>
    <row r="56" spans="1:92" ht="14.1" customHeight="1">
      <c r="A56" s="3475" t="s">
        <v>3693</v>
      </c>
      <c r="B56" s="3475" t="s">
        <v>3694</v>
      </c>
      <c r="C56" s="3475" t="s">
        <v>3700</v>
      </c>
      <c r="D56" s="3475" t="s">
        <v>3696</v>
      </c>
      <c r="E56" s="3475" t="s">
        <v>3697</v>
      </c>
      <c r="F56" s="3475" t="s">
        <v>3583</v>
      </c>
      <c r="G56" s="3475" t="s">
        <v>3584</v>
      </c>
      <c r="H56" s="3475" t="s">
        <v>3698</v>
      </c>
      <c r="I56" s="3475" t="s">
        <v>3612</v>
      </c>
      <c r="J56" s="3475">
        <v>5871.35</v>
      </c>
      <c r="K56" s="3475" t="s">
        <v>3596</v>
      </c>
      <c r="L56" s="3475" t="s">
        <v>3597</v>
      </c>
      <c r="M56" s="3475">
        <v>0.17988199999999999</v>
      </c>
      <c r="N56" s="3475" t="s">
        <v>3598</v>
      </c>
      <c r="O56" s="3475" t="s">
        <v>3590</v>
      </c>
      <c r="P56" s="3475" t="s">
        <v>3594</v>
      </c>
      <c r="Q56" s="3475" t="s">
        <v>3699</v>
      </c>
      <c r="R56" s="3475" t="s">
        <v>3592</v>
      </c>
      <c r="S56" s="3475" t="s">
        <v>3699</v>
      </c>
      <c r="T56" s="3475" t="s">
        <v>3592</v>
      </c>
      <c r="U56" s="3475">
        <v>32740.66</v>
      </c>
      <c r="V56" s="3475">
        <v>29572.21</v>
      </c>
      <c r="W56" s="3475">
        <v>32740.66</v>
      </c>
      <c r="X56" s="3475">
        <v>31684.51</v>
      </c>
      <c r="Y56" s="3475">
        <v>32740.66</v>
      </c>
      <c r="Z56" s="3475">
        <v>31684.51</v>
      </c>
      <c r="AA56" s="3475">
        <v>32740.66</v>
      </c>
      <c r="AB56" s="3475">
        <v>32740.66</v>
      </c>
      <c r="AC56" s="3475">
        <v>31684.51</v>
      </c>
      <c r="AD56" s="3475">
        <v>32740.66</v>
      </c>
      <c r="AE56" s="3475">
        <v>31684.51</v>
      </c>
      <c r="AF56" s="3475">
        <v>28516.05</v>
      </c>
      <c r="AG56" s="3476" t="s">
        <v>3594</v>
      </c>
      <c r="AH56" s="3476" t="s">
        <v>3594</v>
      </c>
      <c r="AI56" s="3476" t="s">
        <v>3594</v>
      </c>
      <c r="AJ56" s="3476" t="s">
        <v>3594</v>
      </c>
      <c r="AK56" s="3476" t="s">
        <v>3594</v>
      </c>
      <c r="AL56" s="3476" t="s">
        <v>3594</v>
      </c>
      <c r="AM56" s="3476" t="s">
        <v>3594</v>
      </c>
      <c r="AN56" s="3476" t="s">
        <v>3594</v>
      </c>
      <c r="AO56" s="3476" t="s">
        <v>3594</v>
      </c>
      <c r="AP56" s="3476" t="s">
        <v>3594</v>
      </c>
      <c r="AQ56" s="3476" t="s">
        <v>3594</v>
      </c>
      <c r="AR56" s="3476" t="s">
        <v>3594</v>
      </c>
      <c r="AS56" s="3476" t="s">
        <v>3594</v>
      </c>
      <c r="AT56" s="3476" t="s">
        <v>3594</v>
      </c>
      <c r="AU56" s="3476" t="s">
        <v>3594</v>
      </c>
      <c r="AV56" s="3476" t="s">
        <v>3594</v>
      </c>
      <c r="AW56" s="3476" t="s">
        <v>3594</v>
      </c>
      <c r="AX56" s="3476" t="s">
        <v>3594</v>
      </c>
      <c r="AY56" s="3476" t="s">
        <v>3594</v>
      </c>
      <c r="AZ56" s="3476" t="s">
        <v>3594</v>
      </c>
      <c r="BA56" s="3476" t="s">
        <v>3594</v>
      </c>
      <c r="BB56" s="3476" t="s">
        <v>3594</v>
      </c>
      <c r="BC56" s="3476" t="s">
        <v>3594</v>
      </c>
      <c r="BD56" s="3476" t="s">
        <v>3594</v>
      </c>
      <c r="BE56" s="3476" t="s">
        <v>3594</v>
      </c>
      <c r="BF56" s="3476" t="s">
        <v>3594</v>
      </c>
      <c r="BG56" s="3476" t="s">
        <v>3594</v>
      </c>
      <c r="BH56" s="3476" t="s">
        <v>3594</v>
      </c>
      <c r="BI56" s="3476" t="s">
        <v>3594</v>
      </c>
      <c r="BJ56" s="3476" t="s">
        <v>3594</v>
      </c>
      <c r="BK56" s="3476" t="s">
        <v>3594</v>
      </c>
      <c r="BL56" s="3476" t="s">
        <v>3594</v>
      </c>
      <c r="BM56" s="3476" t="s">
        <v>3594</v>
      </c>
      <c r="BN56" s="3476" t="s">
        <v>3594</v>
      </c>
      <c r="BO56" s="3476" t="s">
        <v>3594</v>
      </c>
      <c r="BP56" s="3476" t="s">
        <v>3594</v>
      </c>
      <c r="BQ56" s="3476" t="s">
        <v>3594</v>
      </c>
      <c r="BR56" s="3476" t="s">
        <v>3594</v>
      </c>
      <c r="BS56" s="3476" t="s">
        <v>3594</v>
      </c>
      <c r="BT56" s="3476" t="s">
        <v>3594</v>
      </c>
      <c r="BU56" s="3476" t="s">
        <v>3594</v>
      </c>
      <c r="BV56" s="3476" t="s">
        <v>3594</v>
      </c>
      <c r="BW56" s="3476" t="s">
        <v>3594</v>
      </c>
      <c r="BX56" s="3476" t="s">
        <v>3594</v>
      </c>
      <c r="BY56" s="3476" t="s">
        <v>3594</v>
      </c>
      <c r="BZ56" s="3476" t="s">
        <v>3594</v>
      </c>
      <c r="CA56" s="3476" t="s">
        <v>3594</v>
      </c>
      <c r="CB56" s="3476" t="s">
        <v>3594</v>
      </c>
      <c r="CC56" s="3476" t="s">
        <v>3594</v>
      </c>
      <c r="CD56" s="3476" t="s">
        <v>3594</v>
      </c>
      <c r="CE56" s="3476" t="s">
        <v>3594</v>
      </c>
      <c r="CF56" s="3476" t="s">
        <v>3594</v>
      </c>
      <c r="CG56" s="3476" t="s">
        <v>3594</v>
      </c>
      <c r="CH56" s="3476" t="s">
        <v>3594</v>
      </c>
      <c r="CI56" s="3476" t="s">
        <v>3594</v>
      </c>
      <c r="CJ56" s="3476" t="s">
        <v>3594</v>
      </c>
      <c r="CK56" s="3476" t="s">
        <v>3594</v>
      </c>
      <c r="CL56" s="3476" t="s">
        <v>3594</v>
      </c>
      <c r="CM56" s="3476" t="s">
        <v>3594</v>
      </c>
      <c r="CN56" s="3476" t="s">
        <v>3594</v>
      </c>
    </row>
    <row r="57" spans="1:92" ht="14.1" customHeight="1">
      <c r="A57" s="3475" t="s">
        <v>3693</v>
      </c>
      <c r="B57" s="3475" t="s">
        <v>3694</v>
      </c>
      <c r="C57" s="3475" t="s">
        <v>3701</v>
      </c>
      <c r="D57" s="3475" t="s">
        <v>3696</v>
      </c>
      <c r="E57" s="3475" t="s">
        <v>3697</v>
      </c>
      <c r="F57" s="3475" t="s">
        <v>3583</v>
      </c>
      <c r="G57" s="3475" t="s">
        <v>3584</v>
      </c>
      <c r="H57" s="3475" t="s">
        <v>3702</v>
      </c>
      <c r="I57" s="3475" t="s">
        <v>3612</v>
      </c>
      <c r="J57" s="3475">
        <v>1955.14</v>
      </c>
      <c r="K57" s="3475" t="s">
        <v>3601</v>
      </c>
      <c r="L57" s="3475" t="s">
        <v>3602</v>
      </c>
      <c r="M57" s="3475">
        <v>6.1649700000000003</v>
      </c>
      <c r="N57" s="3475" t="s">
        <v>3589</v>
      </c>
      <c r="O57" s="3475" t="s">
        <v>3590</v>
      </c>
      <c r="P57" s="3475" t="s">
        <v>3594</v>
      </c>
      <c r="Q57" s="3475" t="s">
        <v>3699</v>
      </c>
      <c r="R57" s="3475" t="s">
        <v>3592</v>
      </c>
      <c r="S57" s="3475" t="s">
        <v>3699</v>
      </c>
      <c r="T57" s="3475" t="s">
        <v>3592</v>
      </c>
      <c r="U57" s="3475">
        <v>373654.76</v>
      </c>
      <c r="V57" s="3475">
        <v>337494.62</v>
      </c>
      <c r="W57" s="3475">
        <v>373654.76</v>
      </c>
      <c r="X57" s="3475">
        <v>361601.38</v>
      </c>
      <c r="Y57" s="3475">
        <v>373654.76</v>
      </c>
      <c r="Z57" s="3475">
        <v>361601.38</v>
      </c>
      <c r="AA57" s="3475">
        <v>373654.76</v>
      </c>
      <c r="AB57" s="3475">
        <v>373654.76</v>
      </c>
      <c r="AC57" s="3475">
        <v>361601.38</v>
      </c>
      <c r="AD57" s="3475">
        <v>373654.76</v>
      </c>
      <c r="AE57" s="3475">
        <v>361601.38</v>
      </c>
      <c r="AF57" s="3475">
        <v>325441.25</v>
      </c>
      <c r="AG57" s="3476" t="s">
        <v>3594</v>
      </c>
      <c r="AH57" s="3476" t="s">
        <v>3594</v>
      </c>
      <c r="AI57" s="3476" t="s">
        <v>3594</v>
      </c>
      <c r="AJ57" s="3476" t="s">
        <v>3594</v>
      </c>
      <c r="AK57" s="3476" t="s">
        <v>3594</v>
      </c>
      <c r="AL57" s="3476" t="s">
        <v>3594</v>
      </c>
      <c r="AM57" s="3476" t="s">
        <v>3594</v>
      </c>
      <c r="AN57" s="3476" t="s">
        <v>3594</v>
      </c>
      <c r="AO57" s="3476" t="s">
        <v>3594</v>
      </c>
      <c r="AP57" s="3476" t="s">
        <v>3594</v>
      </c>
      <c r="AQ57" s="3476" t="s">
        <v>3594</v>
      </c>
      <c r="AR57" s="3476" t="s">
        <v>3594</v>
      </c>
      <c r="AS57" s="3476" t="s">
        <v>3594</v>
      </c>
      <c r="AT57" s="3476" t="s">
        <v>3594</v>
      </c>
      <c r="AU57" s="3476" t="s">
        <v>3594</v>
      </c>
      <c r="AV57" s="3476" t="s">
        <v>3594</v>
      </c>
      <c r="AW57" s="3476" t="s">
        <v>3594</v>
      </c>
      <c r="AX57" s="3476" t="s">
        <v>3594</v>
      </c>
      <c r="AY57" s="3476" t="s">
        <v>3594</v>
      </c>
      <c r="AZ57" s="3476" t="s">
        <v>3594</v>
      </c>
      <c r="BA57" s="3476" t="s">
        <v>3594</v>
      </c>
      <c r="BB57" s="3476" t="s">
        <v>3594</v>
      </c>
      <c r="BC57" s="3476" t="s">
        <v>3594</v>
      </c>
      <c r="BD57" s="3476" t="s">
        <v>3594</v>
      </c>
      <c r="BE57" s="3476" t="s">
        <v>3594</v>
      </c>
      <c r="BF57" s="3476" t="s">
        <v>3594</v>
      </c>
      <c r="BG57" s="3476" t="s">
        <v>3594</v>
      </c>
      <c r="BH57" s="3476" t="s">
        <v>3594</v>
      </c>
      <c r="BI57" s="3476" t="s">
        <v>3594</v>
      </c>
      <c r="BJ57" s="3476" t="s">
        <v>3594</v>
      </c>
      <c r="BK57" s="3476" t="s">
        <v>3594</v>
      </c>
      <c r="BL57" s="3476" t="s">
        <v>3594</v>
      </c>
      <c r="BM57" s="3476" t="s">
        <v>3594</v>
      </c>
      <c r="BN57" s="3476" t="s">
        <v>3594</v>
      </c>
      <c r="BO57" s="3476" t="s">
        <v>3594</v>
      </c>
      <c r="BP57" s="3476" t="s">
        <v>3594</v>
      </c>
      <c r="BQ57" s="3476" t="s">
        <v>3594</v>
      </c>
      <c r="BR57" s="3476" t="s">
        <v>3594</v>
      </c>
      <c r="BS57" s="3476" t="s">
        <v>3594</v>
      </c>
      <c r="BT57" s="3476" t="s">
        <v>3594</v>
      </c>
      <c r="BU57" s="3476" t="s">
        <v>3594</v>
      </c>
      <c r="BV57" s="3476" t="s">
        <v>3594</v>
      </c>
      <c r="BW57" s="3476" t="s">
        <v>3594</v>
      </c>
      <c r="BX57" s="3476" t="s">
        <v>3594</v>
      </c>
      <c r="BY57" s="3476" t="s">
        <v>3594</v>
      </c>
      <c r="BZ57" s="3476" t="s">
        <v>3594</v>
      </c>
      <c r="CA57" s="3476" t="s">
        <v>3594</v>
      </c>
      <c r="CB57" s="3476" t="s">
        <v>3594</v>
      </c>
      <c r="CC57" s="3476" t="s">
        <v>3594</v>
      </c>
      <c r="CD57" s="3476" t="s">
        <v>3594</v>
      </c>
      <c r="CE57" s="3476" t="s">
        <v>3594</v>
      </c>
      <c r="CF57" s="3476" t="s">
        <v>3594</v>
      </c>
      <c r="CG57" s="3476" t="s">
        <v>3594</v>
      </c>
      <c r="CH57" s="3476" t="s">
        <v>3594</v>
      </c>
      <c r="CI57" s="3476" t="s">
        <v>3594</v>
      </c>
      <c r="CJ57" s="3476" t="s">
        <v>3594</v>
      </c>
      <c r="CK57" s="3476" t="s">
        <v>3594</v>
      </c>
      <c r="CL57" s="3476" t="s">
        <v>3594</v>
      </c>
      <c r="CM57" s="3476" t="s">
        <v>3594</v>
      </c>
      <c r="CN57" s="3476" t="s">
        <v>3594</v>
      </c>
    </row>
    <row r="58" spans="1:92" ht="14.1" customHeight="1">
      <c r="A58" s="3475" t="s">
        <v>3693</v>
      </c>
      <c r="B58" s="3475" t="s">
        <v>3694</v>
      </c>
      <c r="C58" s="3475" t="s">
        <v>3703</v>
      </c>
      <c r="D58" s="3475" t="s">
        <v>3696</v>
      </c>
      <c r="E58" s="3475" t="s">
        <v>3697</v>
      </c>
      <c r="F58" s="3475" t="s">
        <v>3583</v>
      </c>
      <c r="G58" s="3475" t="s">
        <v>3584</v>
      </c>
      <c r="H58" s="3475" t="s">
        <v>3702</v>
      </c>
      <c r="I58" s="3475" t="s">
        <v>3612</v>
      </c>
      <c r="J58" s="3475">
        <v>1955.14</v>
      </c>
      <c r="K58" s="3475" t="s">
        <v>3604</v>
      </c>
      <c r="L58" s="3475" t="s">
        <v>3605</v>
      </c>
      <c r="M58" s="3475">
        <v>0.35849199999999998</v>
      </c>
      <c r="N58" s="3475" t="s">
        <v>3598</v>
      </c>
      <c r="O58" s="3475" t="s">
        <v>3590</v>
      </c>
      <c r="P58" s="3475" t="s">
        <v>3594</v>
      </c>
      <c r="Q58" s="3475" t="s">
        <v>3699</v>
      </c>
      <c r="R58" s="3475" t="s">
        <v>3592</v>
      </c>
      <c r="S58" s="3475" t="s">
        <v>3699</v>
      </c>
      <c r="T58" s="3475" t="s">
        <v>3592</v>
      </c>
      <c r="U58" s="3475">
        <v>21727.96</v>
      </c>
      <c r="V58" s="3475">
        <v>19625.259999999998</v>
      </c>
      <c r="W58" s="3475">
        <v>21727.96</v>
      </c>
      <c r="X58" s="3475">
        <v>21027.06</v>
      </c>
      <c r="Y58" s="3475">
        <v>21727.96</v>
      </c>
      <c r="Z58" s="3475">
        <v>21027.06</v>
      </c>
      <c r="AA58" s="3475">
        <v>21727.96</v>
      </c>
      <c r="AB58" s="3475">
        <v>21727.96</v>
      </c>
      <c r="AC58" s="3475">
        <v>21027.06</v>
      </c>
      <c r="AD58" s="3475">
        <v>21727.96</v>
      </c>
      <c r="AE58" s="3475">
        <v>21027.06</v>
      </c>
      <c r="AF58" s="3475">
        <v>18924.36</v>
      </c>
      <c r="AG58" s="3476" t="s">
        <v>3594</v>
      </c>
      <c r="AH58" s="3476" t="s">
        <v>3594</v>
      </c>
      <c r="AI58" s="3476" t="s">
        <v>3594</v>
      </c>
      <c r="AJ58" s="3476" t="s">
        <v>3594</v>
      </c>
      <c r="AK58" s="3476" t="s">
        <v>3594</v>
      </c>
      <c r="AL58" s="3476" t="s">
        <v>3594</v>
      </c>
      <c r="AM58" s="3476" t="s">
        <v>3594</v>
      </c>
      <c r="AN58" s="3476" t="s">
        <v>3594</v>
      </c>
      <c r="AO58" s="3476" t="s">
        <v>3594</v>
      </c>
      <c r="AP58" s="3476" t="s">
        <v>3594</v>
      </c>
      <c r="AQ58" s="3476" t="s">
        <v>3594</v>
      </c>
      <c r="AR58" s="3476" t="s">
        <v>3594</v>
      </c>
      <c r="AS58" s="3476" t="s">
        <v>3594</v>
      </c>
      <c r="AT58" s="3476" t="s">
        <v>3594</v>
      </c>
      <c r="AU58" s="3476" t="s">
        <v>3594</v>
      </c>
      <c r="AV58" s="3476" t="s">
        <v>3594</v>
      </c>
      <c r="AW58" s="3476" t="s">
        <v>3594</v>
      </c>
      <c r="AX58" s="3476" t="s">
        <v>3594</v>
      </c>
      <c r="AY58" s="3476" t="s">
        <v>3594</v>
      </c>
      <c r="AZ58" s="3476" t="s">
        <v>3594</v>
      </c>
      <c r="BA58" s="3476" t="s">
        <v>3594</v>
      </c>
      <c r="BB58" s="3476" t="s">
        <v>3594</v>
      </c>
      <c r="BC58" s="3476" t="s">
        <v>3594</v>
      </c>
      <c r="BD58" s="3476" t="s">
        <v>3594</v>
      </c>
      <c r="BE58" s="3476" t="s">
        <v>3594</v>
      </c>
      <c r="BF58" s="3476" t="s">
        <v>3594</v>
      </c>
      <c r="BG58" s="3476" t="s">
        <v>3594</v>
      </c>
      <c r="BH58" s="3476" t="s">
        <v>3594</v>
      </c>
      <c r="BI58" s="3476" t="s">
        <v>3594</v>
      </c>
      <c r="BJ58" s="3476" t="s">
        <v>3594</v>
      </c>
      <c r="BK58" s="3476" t="s">
        <v>3594</v>
      </c>
      <c r="BL58" s="3476" t="s">
        <v>3594</v>
      </c>
      <c r="BM58" s="3476" t="s">
        <v>3594</v>
      </c>
      <c r="BN58" s="3476" t="s">
        <v>3594</v>
      </c>
      <c r="BO58" s="3476" t="s">
        <v>3594</v>
      </c>
      <c r="BP58" s="3476" t="s">
        <v>3594</v>
      </c>
      <c r="BQ58" s="3476" t="s">
        <v>3594</v>
      </c>
      <c r="BR58" s="3476" t="s">
        <v>3594</v>
      </c>
      <c r="BS58" s="3476" t="s">
        <v>3594</v>
      </c>
      <c r="BT58" s="3476" t="s">
        <v>3594</v>
      </c>
      <c r="BU58" s="3476" t="s">
        <v>3594</v>
      </c>
      <c r="BV58" s="3476" t="s">
        <v>3594</v>
      </c>
      <c r="BW58" s="3476" t="s">
        <v>3594</v>
      </c>
      <c r="BX58" s="3476" t="s">
        <v>3594</v>
      </c>
      <c r="BY58" s="3476" t="s">
        <v>3594</v>
      </c>
      <c r="BZ58" s="3476" t="s">
        <v>3594</v>
      </c>
      <c r="CA58" s="3476" t="s">
        <v>3594</v>
      </c>
      <c r="CB58" s="3476" t="s">
        <v>3594</v>
      </c>
      <c r="CC58" s="3476" t="s">
        <v>3594</v>
      </c>
      <c r="CD58" s="3476" t="s">
        <v>3594</v>
      </c>
      <c r="CE58" s="3476" t="s">
        <v>3594</v>
      </c>
      <c r="CF58" s="3476" t="s">
        <v>3594</v>
      </c>
      <c r="CG58" s="3476" t="s">
        <v>3594</v>
      </c>
      <c r="CH58" s="3476" t="s">
        <v>3594</v>
      </c>
      <c r="CI58" s="3476" t="s">
        <v>3594</v>
      </c>
      <c r="CJ58" s="3476" t="s">
        <v>3594</v>
      </c>
      <c r="CK58" s="3476" t="s">
        <v>3594</v>
      </c>
      <c r="CL58" s="3476" t="s">
        <v>3594</v>
      </c>
      <c r="CM58" s="3476" t="s">
        <v>3594</v>
      </c>
      <c r="CN58" s="3476" t="s">
        <v>3594</v>
      </c>
    </row>
    <row r="59" spans="1:92" ht="14.1" customHeight="1">
      <c r="A59" s="3475" t="s">
        <v>3704</v>
      </c>
      <c r="B59" s="3475" t="s">
        <v>3705</v>
      </c>
      <c r="C59" s="3475" t="s">
        <v>3706</v>
      </c>
      <c r="D59" s="3475" t="s">
        <v>3707</v>
      </c>
      <c r="E59" s="3475" t="s">
        <v>3708</v>
      </c>
      <c r="F59" s="3475" t="s">
        <v>3583</v>
      </c>
      <c r="G59" s="3475" t="s">
        <v>3584</v>
      </c>
      <c r="H59" s="3475" t="s">
        <v>3709</v>
      </c>
      <c r="I59" s="3475" t="s">
        <v>3612</v>
      </c>
      <c r="J59" s="3475">
        <v>8218.1</v>
      </c>
      <c r="K59" s="3475" t="s">
        <v>3587</v>
      </c>
      <c r="L59" s="3475" t="s">
        <v>3588</v>
      </c>
      <c r="M59" s="3475">
        <v>4.9619850000000003</v>
      </c>
      <c r="N59" s="3475" t="s">
        <v>3589</v>
      </c>
      <c r="O59" s="3475" t="s">
        <v>3590</v>
      </c>
      <c r="P59" s="3475">
        <v>2774832.83</v>
      </c>
      <c r="Q59" s="3475" t="s">
        <v>3591</v>
      </c>
      <c r="R59" s="3475" t="s">
        <v>3710</v>
      </c>
      <c r="S59" s="3475" t="s">
        <v>3591</v>
      </c>
      <c r="T59" s="3475" t="s">
        <v>3711</v>
      </c>
      <c r="U59" s="3475">
        <v>1264120.76</v>
      </c>
      <c r="V59" s="3475">
        <v>1141786.49</v>
      </c>
      <c r="W59" s="3475">
        <v>1264120.76</v>
      </c>
      <c r="X59" s="3475">
        <v>1223342.67</v>
      </c>
      <c r="Y59" s="3475">
        <v>1264120.76</v>
      </c>
      <c r="Z59" s="3475">
        <v>1223342.67</v>
      </c>
      <c r="AA59" s="3475">
        <v>1264120.76</v>
      </c>
      <c r="AB59" s="3475">
        <v>1264120.76</v>
      </c>
      <c r="AC59" s="3475">
        <v>1223342.67</v>
      </c>
      <c r="AD59" s="3475">
        <v>1264120.76</v>
      </c>
      <c r="AE59" s="3475">
        <v>1223342.67</v>
      </c>
      <c r="AF59" s="3475">
        <v>1264120.76</v>
      </c>
      <c r="AG59" s="3476">
        <v>1264120.76</v>
      </c>
      <c r="AH59" s="3476">
        <v>1182564.58</v>
      </c>
      <c r="AI59" s="3476">
        <v>1264120.76</v>
      </c>
      <c r="AJ59" s="3476">
        <v>1223342.67</v>
      </c>
      <c r="AK59" s="3476">
        <v>1264120.76</v>
      </c>
      <c r="AL59" s="3476">
        <v>1223342.67</v>
      </c>
      <c r="AM59" s="3476">
        <v>1264120.76</v>
      </c>
      <c r="AN59" s="3476">
        <v>1264120.76</v>
      </c>
      <c r="AO59" s="3476">
        <v>1223342.67</v>
      </c>
      <c r="AP59" s="3476">
        <v>1264120.76</v>
      </c>
      <c r="AQ59" s="3476">
        <v>1223342.67</v>
      </c>
      <c r="AR59" s="3476">
        <v>1101008.3999999999</v>
      </c>
      <c r="AS59" s="3476" t="s">
        <v>3594</v>
      </c>
      <c r="AT59" s="3476" t="s">
        <v>3594</v>
      </c>
      <c r="AU59" s="3476" t="s">
        <v>3594</v>
      </c>
      <c r="AV59" s="3476" t="s">
        <v>3594</v>
      </c>
      <c r="AW59" s="3476" t="s">
        <v>3594</v>
      </c>
      <c r="AX59" s="3476" t="s">
        <v>3594</v>
      </c>
      <c r="AY59" s="3476" t="s">
        <v>3594</v>
      </c>
      <c r="AZ59" s="3476" t="s">
        <v>3594</v>
      </c>
      <c r="BA59" s="3476" t="s">
        <v>3594</v>
      </c>
      <c r="BB59" s="3476" t="s">
        <v>3594</v>
      </c>
      <c r="BC59" s="3476" t="s">
        <v>3594</v>
      </c>
      <c r="BD59" s="3476" t="s">
        <v>3594</v>
      </c>
      <c r="BE59" s="3476" t="s">
        <v>3594</v>
      </c>
      <c r="BF59" s="3476" t="s">
        <v>3594</v>
      </c>
      <c r="BG59" s="3476" t="s">
        <v>3594</v>
      </c>
      <c r="BH59" s="3476" t="s">
        <v>3594</v>
      </c>
      <c r="BI59" s="3476" t="s">
        <v>3594</v>
      </c>
      <c r="BJ59" s="3476" t="s">
        <v>3594</v>
      </c>
      <c r="BK59" s="3476" t="s">
        <v>3594</v>
      </c>
      <c r="BL59" s="3476" t="s">
        <v>3594</v>
      </c>
      <c r="BM59" s="3476" t="s">
        <v>3594</v>
      </c>
      <c r="BN59" s="3476" t="s">
        <v>3594</v>
      </c>
      <c r="BO59" s="3476" t="s">
        <v>3594</v>
      </c>
      <c r="BP59" s="3476" t="s">
        <v>3594</v>
      </c>
      <c r="BQ59" s="3476" t="s">
        <v>3594</v>
      </c>
      <c r="BR59" s="3476" t="s">
        <v>3594</v>
      </c>
      <c r="BS59" s="3476" t="s">
        <v>3594</v>
      </c>
      <c r="BT59" s="3476" t="s">
        <v>3594</v>
      </c>
      <c r="BU59" s="3476" t="s">
        <v>3594</v>
      </c>
      <c r="BV59" s="3476" t="s">
        <v>3594</v>
      </c>
      <c r="BW59" s="3476" t="s">
        <v>3594</v>
      </c>
      <c r="BX59" s="3476" t="s">
        <v>3594</v>
      </c>
      <c r="BY59" s="3476" t="s">
        <v>3594</v>
      </c>
      <c r="BZ59" s="3476" t="s">
        <v>3594</v>
      </c>
      <c r="CA59" s="3476" t="s">
        <v>3594</v>
      </c>
      <c r="CB59" s="3476" t="s">
        <v>3594</v>
      </c>
      <c r="CC59" s="3476" t="s">
        <v>3594</v>
      </c>
      <c r="CD59" s="3476" t="s">
        <v>3594</v>
      </c>
      <c r="CE59" s="3476" t="s">
        <v>3594</v>
      </c>
      <c r="CF59" s="3476" t="s">
        <v>3594</v>
      </c>
      <c r="CG59" s="3476" t="s">
        <v>3594</v>
      </c>
      <c r="CH59" s="3476" t="s">
        <v>3594</v>
      </c>
      <c r="CI59" s="3476" t="s">
        <v>3594</v>
      </c>
      <c r="CJ59" s="3476" t="s">
        <v>3594</v>
      </c>
      <c r="CK59" s="3476" t="s">
        <v>3594</v>
      </c>
      <c r="CL59" s="3476" t="s">
        <v>3594</v>
      </c>
      <c r="CM59" s="3476" t="s">
        <v>3594</v>
      </c>
      <c r="CN59" s="3476" t="s">
        <v>3594</v>
      </c>
    </row>
    <row r="60" spans="1:92" ht="14.1" customHeight="1">
      <c r="A60" s="3475" t="s">
        <v>3704</v>
      </c>
      <c r="B60" s="3475" t="s">
        <v>3705</v>
      </c>
      <c r="C60" s="3475" t="s">
        <v>3712</v>
      </c>
      <c r="D60" s="3475" t="s">
        <v>3707</v>
      </c>
      <c r="E60" s="3475" t="s">
        <v>3708</v>
      </c>
      <c r="F60" s="3475" t="s">
        <v>3583</v>
      </c>
      <c r="G60" s="3475" t="s">
        <v>3584</v>
      </c>
      <c r="H60" s="3475" t="s">
        <v>3709</v>
      </c>
      <c r="I60" s="3475" t="s">
        <v>3612</v>
      </c>
      <c r="J60" s="3475">
        <v>8218.1</v>
      </c>
      <c r="K60" s="3475" t="s">
        <v>3587</v>
      </c>
      <c r="L60" s="3475" t="s">
        <v>3588</v>
      </c>
      <c r="M60" s="3475">
        <v>-0.19844999999999999</v>
      </c>
      <c r="N60" s="3475" t="s">
        <v>3589</v>
      </c>
      <c r="O60" s="3475" t="s">
        <v>3590</v>
      </c>
      <c r="P60" s="3475" t="s">
        <v>3594</v>
      </c>
      <c r="Q60" s="3475" t="s">
        <v>3591</v>
      </c>
      <c r="R60" s="3475" t="s">
        <v>3710</v>
      </c>
      <c r="S60" s="3475" t="s">
        <v>3591</v>
      </c>
      <c r="T60" s="3475" t="s">
        <v>3711</v>
      </c>
      <c r="U60" s="3475">
        <v>-50557.34</v>
      </c>
      <c r="V60" s="3475">
        <v>-45664.69</v>
      </c>
      <c r="W60" s="3475">
        <v>-50557.34</v>
      </c>
      <c r="X60" s="3475">
        <v>-48926.46</v>
      </c>
      <c r="Y60" s="3475">
        <v>-50557.34</v>
      </c>
      <c r="Z60" s="3475">
        <v>-48926.46</v>
      </c>
      <c r="AA60" s="3475">
        <v>-50557.34</v>
      </c>
      <c r="AB60" s="3475">
        <v>-50557.34</v>
      </c>
      <c r="AC60" s="3475">
        <v>-48926.46</v>
      </c>
      <c r="AD60" s="3475">
        <v>-50557.34</v>
      </c>
      <c r="AE60" s="3475">
        <v>-48926.46</v>
      </c>
      <c r="AF60" s="3475">
        <v>-50557.34</v>
      </c>
      <c r="AG60" s="3476">
        <v>-50557.34</v>
      </c>
      <c r="AH60" s="3476">
        <v>-47295.58</v>
      </c>
      <c r="AI60" s="3476">
        <v>-50557.34</v>
      </c>
      <c r="AJ60" s="3476">
        <v>-48926.46</v>
      </c>
      <c r="AK60" s="3476">
        <v>-50557.34</v>
      </c>
      <c r="AL60" s="3476">
        <v>-48926.46</v>
      </c>
      <c r="AM60" s="3476">
        <v>-50557.34</v>
      </c>
      <c r="AN60" s="3476">
        <v>-50557.34</v>
      </c>
      <c r="AO60" s="3476">
        <v>-48926.46</v>
      </c>
      <c r="AP60" s="3476">
        <v>-50557.34</v>
      </c>
      <c r="AQ60" s="3476">
        <v>-48926.46</v>
      </c>
      <c r="AR60" s="3476">
        <v>-44033.81</v>
      </c>
      <c r="AS60" s="3476" t="s">
        <v>3594</v>
      </c>
      <c r="AT60" s="3476" t="s">
        <v>3594</v>
      </c>
      <c r="AU60" s="3476" t="s">
        <v>3594</v>
      </c>
      <c r="AV60" s="3476" t="s">
        <v>3594</v>
      </c>
      <c r="AW60" s="3476" t="s">
        <v>3594</v>
      </c>
      <c r="AX60" s="3476" t="s">
        <v>3594</v>
      </c>
      <c r="AY60" s="3476" t="s">
        <v>3594</v>
      </c>
      <c r="AZ60" s="3476" t="s">
        <v>3594</v>
      </c>
      <c r="BA60" s="3476" t="s">
        <v>3594</v>
      </c>
      <c r="BB60" s="3476" t="s">
        <v>3594</v>
      </c>
      <c r="BC60" s="3476" t="s">
        <v>3594</v>
      </c>
      <c r="BD60" s="3476" t="s">
        <v>3594</v>
      </c>
      <c r="BE60" s="3476" t="s">
        <v>3594</v>
      </c>
      <c r="BF60" s="3476" t="s">
        <v>3594</v>
      </c>
      <c r="BG60" s="3476" t="s">
        <v>3594</v>
      </c>
      <c r="BH60" s="3476" t="s">
        <v>3594</v>
      </c>
      <c r="BI60" s="3476" t="s">
        <v>3594</v>
      </c>
      <c r="BJ60" s="3476" t="s">
        <v>3594</v>
      </c>
      <c r="BK60" s="3476" t="s">
        <v>3594</v>
      </c>
      <c r="BL60" s="3476" t="s">
        <v>3594</v>
      </c>
      <c r="BM60" s="3476" t="s">
        <v>3594</v>
      </c>
      <c r="BN60" s="3476" t="s">
        <v>3594</v>
      </c>
      <c r="BO60" s="3476" t="s">
        <v>3594</v>
      </c>
      <c r="BP60" s="3476" t="s">
        <v>3594</v>
      </c>
      <c r="BQ60" s="3476" t="s">
        <v>3594</v>
      </c>
      <c r="BR60" s="3476" t="s">
        <v>3594</v>
      </c>
      <c r="BS60" s="3476" t="s">
        <v>3594</v>
      </c>
      <c r="BT60" s="3476" t="s">
        <v>3594</v>
      </c>
      <c r="BU60" s="3476" t="s">
        <v>3594</v>
      </c>
      <c r="BV60" s="3476" t="s">
        <v>3594</v>
      </c>
      <c r="BW60" s="3476" t="s">
        <v>3594</v>
      </c>
      <c r="BX60" s="3476" t="s">
        <v>3594</v>
      </c>
      <c r="BY60" s="3476" t="s">
        <v>3594</v>
      </c>
      <c r="BZ60" s="3476" t="s">
        <v>3594</v>
      </c>
      <c r="CA60" s="3476" t="s">
        <v>3594</v>
      </c>
      <c r="CB60" s="3476" t="s">
        <v>3594</v>
      </c>
      <c r="CC60" s="3476" t="s">
        <v>3594</v>
      </c>
      <c r="CD60" s="3476" t="s">
        <v>3594</v>
      </c>
      <c r="CE60" s="3476" t="s">
        <v>3594</v>
      </c>
      <c r="CF60" s="3476" t="s">
        <v>3594</v>
      </c>
      <c r="CG60" s="3476" t="s">
        <v>3594</v>
      </c>
      <c r="CH60" s="3476" t="s">
        <v>3594</v>
      </c>
      <c r="CI60" s="3476" t="s">
        <v>3594</v>
      </c>
      <c r="CJ60" s="3476" t="s">
        <v>3594</v>
      </c>
      <c r="CK60" s="3476" t="s">
        <v>3594</v>
      </c>
      <c r="CL60" s="3476" t="s">
        <v>3594</v>
      </c>
      <c r="CM60" s="3476" t="s">
        <v>3594</v>
      </c>
      <c r="CN60" s="3476" t="s">
        <v>3594</v>
      </c>
    </row>
    <row r="61" spans="1:92" ht="14.1" customHeight="1">
      <c r="A61" s="3475" t="s">
        <v>3704</v>
      </c>
      <c r="B61" s="3475" t="s">
        <v>3705</v>
      </c>
      <c r="C61" s="3475" t="s">
        <v>3713</v>
      </c>
      <c r="D61" s="3475" t="s">
        <v>3707</v>
      </c>
      <c r="E61" s="3475" t="s">
        <v>3708</v>
      </c>
      <c r="F61" s="3475" t="s">
        <v>3583</v>
      </c>
      <c r="G61" s="3475" t="s">
        <v>3584</v>
      </c>
      <c r="H61" s="3475" t="s">
        <v>3709</v>
      </c>
      <c r="I61" s="3475" t="s">
        <v>3612</v>
      </c>
      <c r="J61" s="3475">
        <v>8218.1</v>
      </c>
      <c r="K61" s="3475" t="s">
        <v>3587</v>
      </c>
      <c r="L61" s="3475" t="s">
        <v>3588</v>
      </c>
      <c r="M61" s="3475">
        <v>-0.20674500000000001</v>
      </c>
      <c r="N61" s="3475" t="s">
        <v>3589</v>
      </c>
      <c r="O61" s="3475" t="s">
        <v>3590</v>
      </c>
      <c r="P61" s="3475" t="s">
        <v>3594</v>
      </c>
      <c r="Q61" s="3475" t="s">
        <v>3714</v>
      </c>
      <c r="R61" s="3475" t="s">
        <v>3711</v>
      </c>
      <c r="S61" s="3475" t="s">
        <v>3591</v>
      </c>
      <c r="T61" s="3475" t="s">
        <v>3711</v>
      </c>
      <c r="U61" s="3475" t="s">
        <v>3594</v>
      </c>
      <c r="V61" s="3475" t="s">
        <v>3594</v>
      </c>
      <c r="W61" s="3475" t="s">
        <v>3594</v>
      </c>
      <c r="X61" s="3475" t="s">
        <v>3594</v>
      </c>
      <c r="Y61" s="3475" t="s">
        <v>3594</v>
      </c>
      <c r="Z61" s="3475" t="s">
        <v>3594</v>
      </c>
      <c r="AA61" s="3475" t="s">
        <v>3594</v>
      </c>
      <c r="AB61" s="3475" t="s">
        <v>3594</v>
      </c>
      <c r="AC61" s="3475" t="s">
        <v>3594</v>
      </c>
      <c r="AD61" s="3475" t="s">
        <v>3594</v>
      </c>
      <c r="AE61" s="3475" t="s">
        <v>3594</v>
      </c>
      <c r="AF61" s="3475" t="s">
        <v>3594</v>
      </c>
      <c r="AG61" s="3476" t="s">
        <v>3594</v>
      </c>
      <c r="AH61" s="3476" t="s">
        <v>3594</v>
      </c>
      <c r="AI61" s="3476" t="s">
        <v>3594</v>
      </c>
      <c r="AJ61" s="3476" t="s">
        <v>3594</v>
      </c>
      <c r="AK61" s="3476" t="s">
        <v>3594</v>
      </c>
      <c r="AL61" s="3476" t="s">
        <v>3594</v>
      </c>
      <c r="AM61" s="3476" t="s">
        <v>3594</v>
      </c>
      <c r="AN61" s="3476" t="s">
        <v>3594</v>
      </c>
      <c r="AO61" s="3476" t="s">
        <v>3594</v>
      </c>
      <c r="AP61" s="3476" t="s">
        <v>3594</v>
      </c>
      <c r="AQ61" s="3476" t="s">
        <v>3594</v>
      </c>
      <c r="AR61" s="3476">
        <v>-6796.2</v>
      </c>
      <c r="AS61" s="3476">
        <v>-52670.58</v>
      </c>
      <c r="AT61" s="3476">
        <v>-47573.43</v>
      </c>
      <c r="AU61" s="3476">
        <v>-52670.58</v>
      </c>
      <c r="AV61" s="3476">
        <v>-50971.53</v>
      </c>
      <c r="AW61" s="3476">
        <v>-52670.58</v>
      </c>
      <c r="AX61" s="3476">
        <v>-50971.53</v>
      </c>
      <c r="AY61" s="3476">
        <v>-52670.58</v>
      </c>
      <c r="AZ61" s="3476">
        <v>-52670.58</v>
      </c>
      <c r="BA61" s="3476">
        <v>-50971.53</v>
      </c>
      <c r="BB61" s="3476">
        <v>-52670.58</v>
      </c>
      <c r="BC61" s="3476">
        <v>-50971.53</v>
      </c>
      <c r="BD61" s="3476">
        <v>-52670.58</v>
      </c>
      <c r="BE61" s="3476">
        <v>-52670.58</v>
      </c>
      <c r="BF61" s="3476">
        <v>-47573.43</v>
      </c>
      <c r="BG61" s="3476">
        <v>-52670.58</v>
      </c>
      <c r="BH61" s="3476">
        <v>-50971.53</v>
      </c>
      <c r="BI61" s="3476">
        <v>-52670.58</v>
      </c>
      <c r="BJ61" s="3476">
        <v>-50971.53</v>
      </c>
      <c r="BK61" s="3476">
        <v>-52670.58</v>
      </c>
      <c r="BL61" s="3476">
        <v>-52670.58</v>
      </c>
      <c r="BM61" s="3476">
        <v>-50971.53</v>
      </c>
      <c r="BN61" s="3476">
        <v>-52670.58</v>
      </c>
      <c r="BO61" s="3476">
        <v>-50971.53</v>
      </c>
      <c r="BP61" s="3476">
        <v>-52670.58</v>
      </c>
      <c r="BQ61" s="3476">
        <v>-52670.58</v>
      </c>
      <c r="BR61" s="3476">
        <v>-47573.43</v>
      </c>
      <c r="BS61" s="3476">
        <v>-52670.58</v>
      </c>
      <c r="BT61" s="3476">
        <v>-50971.53</v>
      </c>
      <c r="BU61" s="3476">
        <v>-52670.58</v>
      </c>
      <c r="BV61" s="3476">
        <v>-50971.53</v>
      </c>
      <c r="BW61" s="3476">
        <v>-52670.58</v>
      </c>
      <c r="BX61" s="3476">
        <v>-52670.58</v>
      </c>
      <c r="BY61" s="3476">
        <v>-50971.53</v>
      </c>
      <c r="BZ61" s="3476">
        <v>-52670.58</v>
      </c>
      <c r="CA61" s="3476">
        <v>-50971.53</v>
      </c>
      <c r="CB61" s="3476">
        <v>-45874.38</v>
      </c>
      <c r="CC61" s="3476" t="s">
        <v>3594</v>
      </c>
      <c r="CD61" s="3476" t="s">
        <v>3594</v>
      </c>
      <c r="CE61" s="3476" t="s">
        <v>3594</v>
      </c>
      <c r="CF61" s="3476" t="s">
        <v>3594</v>
      </c>
      <c r="CG61" s="3476" t="s">
        <v>3594</v>
      </c>
      <c r="CH61" s="3476" t="s">
        <v>3594</v>
      </c>
      <c r="CI61" s="3476" t="s">
        <v>3594</v>
      </c>
      <c r="CJ61" s="3476" t="s">
        <v>3594</v>
      </c>
      <c r="CK61" s="3476" t="s">
        <v>3594</v>
      </c>
      <c r="CL61" s="3476" t="s">
        <v>3594</v>
      </c>
      <c r="CM61" s="3476" t="s">
        <v>3594</v>
      </c>
      <c r="CN61" s="3476" t="s">
        <v>3594</v>
      </c>
    </row>
    <row r="62" spans="1:92" ht="14.1" customHeight="1">
      <c r="A62" s="3475" t="s">
        <v>3704</v>
      </c>
      <c r="B62" s="3475" t="s">
        <v>3705</v>
      </c>
      <c r="C62" s="3475" t="s">
        <v>3715</v>
      </c>
      <c r="D62" s="3475" t="s">
        <v>3707</v>
      </c>
      <c r="E62" s="3475" t="s">
        <v>3708</v>
      </c>
      <c r="F62" s="3475" t="s">
        <v>3583</v>
      </c>
      <c r="G62" s="3475" t="s">
        <v>3584</v>
      </c>
      <c r="H62" s="3475" t="s">
        <v>3709</v>
      </c>
      <c r="I62" s="3475" t="s">
        <v>3612</v>
      </c>
      <c r="J62" s="3475">
        <v>8218.1</v>
      </c>
      <c r="K62" s="3475" t="s">
        <v>3587</v>
      </c>
      <c r="L62" s="3475" t="s">
        <v>3588</v>
      </c>
      <c r="M62" s="3475">
        <v>5.16873</v>
      </c>
      <c r="N62" s="3475" t="s">
        <v>3589</v>
      </c>
      <c r="O62" s="3475" t="s">
        <v>3590</v>
      </c>
      <c r="P62" s="3475" t="s">
        <v>3594</v>
      </c>
      <c r="Q62" s="3475" t="s">
        <v>3714</v>
      </c>
      <c r="R62" s="3475" t="s">
        <v>3711</v>
      </c>
      <c r="S62" s="3475" t="s">
        <v>3591</v>
      </c>
      <c r="T62" s="3475" t="s">
        <v>3711</v>
      </c>
      <c r="U62" s="3475" t="s">
        <v>3594</v>
      </c>
      <c r="V62" s="3475" t="s">
        <v>3594</v>
      </c>
      <c r="W62" s="3475" t="s">
        <v>3594</v>
      </c>
      <c r="X62" s="3475" t="s">
        <v>3594</v>
      </c>
      <c r="Y62" s="3475" t="s">
        <v>3594</v>
      </c>
      <c r="Z62" s="3475" t="s">
        <v>3594</v>
      </c>
      <c r="AA62" s="3475" t="s">
        <v>3594</v>
      </c>
      <c r="AB62" s="3475" t="s">
        <v>3594</v>
      </c>
      <c r="AC62" s="3475" t="s">
        <v>3594</v>
      </c>
      <c r="AD62" s="3475" t="s">
        <v>3594</v>
      </c>
      <c r="AE62" s="3475" t="s">
        <v>3594</v>
      </c>
      <c r="AF62" s="3475" t="s">
        <v>3594</v>
      </c>
      <c r="AG62" s="3476" t="s">
        <v>3594</v>
      </c>
      <c r="AH62" s="3476" t="s">
        <v>3594</v>
      </c>
      <c r="AI62" s="3476" t="s">
        <v>3594</v>
      </c>
      <c r="AJ62" s="3476" t="s">
        <v>3594</v>
      </c>
      <c r="AK62" s="3476" t="s">
        <v>3594</v>
      </c>
      <c r="AL62" s="3476" t="s">
        <v>3594</v>
      </c>
      <c r="AM62" s="3476" t="s">
        <v>3594</v>
      </c>
      <c r="AN62" s="3476" t="s">
        <v>3594</v>
      </c>
      <c r="AO62" s="3476" t="s">
        <v>3594</v>
      </c>
      <c r="AP62" s="3476" t="s">
        <v>3594</v>
      </c>
      <c r="AQ62" s="3476" t="s">
        <v>3594</v>
      </c>
      <c r="AR62" s="3476">
        <v>169908.56</v>
      </c>
      <c r="AS62" s="3476">
        <v>1316791.3400000001</v>
      </c>
      <c r="AT62" s="3476">
        <v>1189359.92</v>
      </c>
      <c r="AU62" s="3476">
        <v>1316791.3400000001</v>
      </c>
      <c r="AV62" s="3476">
        <v>1274314.2</v>
      </c>
      <c r="AW62" s="3476">
        <v>1316791.3400000001</v>
      </c>
      <c r="AX62" s="3476">
        <v>1274314.2</v>
      </c>
      <c r="AY62" s="3476">
        <v>1316791.3400000001</v>
      </c>
      <c r="AZ62" s="3476">
        <v>1316791.3400000001</v>
      </c>
      <c r="BA62" s="3476">
        <v>1274314.2</v>
      </c>
      <c r="BB62" s="3476">
        <v>1316791.3400000001</v>
      </c>
      <c r="BC62" s="3476">
        <v>1274314.2</v>
      </c>
      <c r="BD62" s="3476">
        <v>1316791.3400000001</v>
      </c>
      <c r="BE62" s="3476">
        <v>1316791.3400000001</v>
      </c>
      <c r="BF62" s="3476">
        <v>1189359.92</v>
      </c>
      <c r="BG62" s="3476">
        <v>1316791.3400000001</v>
      </c>
      <c r="BH62" s="3476">
        <v>1274314.2</v>
      </c>
      <c r="BI62" s="3476">
        <v>1316791.3400000001</v>
      </c>
      <c r="BJ62" s="3476">
        <v>1274314.2</v>
      </c>
      <c r="BK62" s="3476">
        <v>1316791.3400000001</v>
      </c>
      <c r="BL62" s="3476">
        <v>1316791.3400000001</v>
      </c>
      <c r="BM62" s="3476">
        <v>1274314.2</v>
      </c>
      <c r="BN62" s="3476">
        <v>1316791.3400000001</v>
      </c>
      <c r="BO62" s="3476">
        <v>1274314.2</v>
      </c>
      <c r="BP62" s="3476">
        <v>1316791.3400000001</v>
      </c>
      <c r="BQ62" s="3476">
        <v>1316791.3400000001</v>
      </c>
      <c r="BR62" s="3476">
        <v>1189359.92</v>
      </c>
      <c r="BS62" s="3476">
        <v>1316791.3400000001</v>
      </c>
      <c r="BT62" s="3476">
        <v>1274314.2</v>
      </c>
      <c r="BU62" s="3476">
        <v>1316791.3400000001</v>
      </c>
      <c r="BV62" s="3476">
        <v>1274314.2</v>
      </c>
      <c r="BW62" s="3476">
        <v>1316791.3400000001</v>
      </c>
      <c r="BX62" s="3476">
        <v>1316791.3400000001</v>
      </c>
      <c r="BY62" s="3476">
        <v>1274314.2</v>
      </c>
      <c r="BZ62" s="3476">
        <v>1316791.3400000001</v>
      </c>
      <c r="CA62" s="3476">
        <v>1274314.2</v>
      </c>
      <c r="CB62" s="3476">
        <v>1146882.78</v>
      </c>
      <c r="CC62" s="3476" t="s">
        <v>3594</v>
      </c>
      <c r="CD62" s="3476" t="s">
        <v>3594</v>
      </c>
      <c r="CE62" s="3476" t="s">
        <v>3594</v>
      </c>
      <c r="CF62" s="3476" t="s">
        <v>3594</v>
      </c>
      <c r="CG62" s="3476" t="s">
        <v>3594</v>
      </c>
      <c r="CH62" s="3476" t="s">
        <v>3594</v>
      </c>
      <c r="CI62" s="3476" t="s">
        <v>3594</v>
      </c>
      <c r="CJ62" s="3476" t="s">
        <v>3594</v>
      </c>
      <c r="CK62" s="3476" t="s">
        <v>3594</v>
      </c>
      <c r="CL62" s="3476" t="s">
        <v>3594</v>
      </c>
      <c r="CM62" s="3476" t="s">
        <v>3594</v>
      </c>
      <c r="CN62" s="3476" t="s">
        <v>3594</v>
      </c>
    </row>
    <row r="63" spans="1:92" ht="14.1" customHeight="1">
      <c r="A63" s="3475" t="s">
        <v>3704</v>
      </c>
      <c r="B63" s="3475" t="s">
        <v>3705</v>
      </c>
      <c r="C63" s="3475" t="s">
        <v>3716</v>
      </c>
      <c r="D63" s="3475" t="s">
        <v>3707</v>
      </c>
      <c r="E63" s="3475" t="s">
        <v>3708</v>
      </c>
      <c r="F63" s="3475" t="s">
        <v>3583</v>
      </c>
      <c r="G63" s="3475" t="s">
        <v>3584</v>
      </c>
      <c r="H63" s="3475" t="s">
        <v>3709</v>
      </c>
      <c r="I63" s="3475" t="s">
        <v>3612</v>
      </c>
      <c r="J63" s="3475">
        <v>8218.1</v>
      </c>
      <c r="K63" s="3475" t="s">
        <v>3596</v>
      </c>
      <c r="L63" s="3475" t="s">
        <v>3597</v>
      </c>
      <c r="M63" s="3475">
        <v>0.169706</v>
      </c>
      <c r="N63" s="3475" t="s">
        <v>3598</v>
      </c>
      <c r="O63" s="3475" t="s">
        <v>3590</v>
      </c>
      <c r="P63" s="3475" t="s">
        <v>3594</v>
      </c>
      <c r="Q63" s="3475" t="s">
        <v>3591</v>
      </c>
      <c r="R63" s="3475" t="s">
        <v>3710</v>
      </c>
      <c r="S63" s="3475" t="s">
        <v>3591</v>
      </c>
      <c r="T63" s="3475" t="s">
        <v>3711</v>
      </c>
      <c r="U63" s="3475">
        <v>43234.49</v>
      </c>
      <c r="V63" s="3475">
        <v>39050.5</v>
      </c>
      <c r="W63" s="3475">
        <v>43234.49</v>
      </c>
      <c r="X63" s="3475">
        <v>41839.83</v>
      </c>
      <c r="Y63" s="3475">
        <v>43234.49</v>
      </c>
      <c r="Z63" s="3475">
        <v>41839.83</v>
      </c>
      <c r="AA63" s="3475">
        <v>43234.49</v>
      </c>
      <c r="AB63" s="3475">
        <v>43234.49</v>
      </c>
      <c r="AC63" s="3475">
        <v>41839.83</v>
      </c>
      <c r="AD63" s="3475">
        <v>43234.49</v>
      </c>
      <c r="AE63" s="3475">
        <v>41839.83</v>
      </c>
      <c r="AF63" s="3475">
        <v>43234.49</v>
      </c>
      <c r="AG63" s="3476">
        <v>43234.49</v>
      </c>
      <c r="AH63" s="3476">
        <v>40445.17</v>
      </c>
      <c r="AI63" s="3476">
        <v>43234.49</v>
      </c>
      <c r="AJ63" s="3476">
        <v>41839.83</v>
      </c>
      <c r="AK63" s="3476">
        <v>43234.49</v>
      </c>
      <c r="AL63" s="3476">
        <v>41839.83</v>
      </c>
      <c r="AM63" s="3476">
        <v>43234.49</v>
      </c>
      <c r="AN63" s="3476">
        <v>43234.49</v>
      </c>
      <c r="AO63" s="3476">
        <v>41839.83</v>
      </c>
      <c r="AP63" s="3476">
        <v>43234.49</v>
      </c>
      <c r="AQ63" s="3476">
        <v>41839.83</v>
      </c>
      <c r="AR63" s="3476">
        <v>37655.839999999997</v>
      </c>
      <c r="AS63" s="3476" t="s">
        <v>3594</v>
      </c>
      <c r="AT63" s="3476" t="s">
        <v>3594</v>
      </c>
      <c r="AU63" s="3476" t="s">
        <v>3594</v>
      </c>
      <c r="AV63" s="3476" t="s">
        <v>3594</v>
      </c>
      <c r="AW63" s="3476" t="s">
        <v>3594</v>
      </c>
      <c r="AX63" s="3476" t="s">
        <v>3594</v>
      </c>
      <c r="AY63" s="3476" t="s">
        <v>3594</v>
      </c>
      <c r="AZ63" s="3476" t="s">
        <v>3594</v>
      </c>
      <c r="BA63" s="3476" t="s">
        <v>3594</v>
      </c>
      <c r="BB63" s="3476" t="s">
        <v>3594</v>
      </c>
      <c r="BC63" s="3476" t="s">
        <v>3594</v>
      </c>
      <c r="BD63" s="3476" t="s">
        <v>3594</v>
      </c>
      <c r="BE63" s="3476" t="s">
        <v>3594</v>
      </c>
      <c r="BF63" s="3476" t="s">
        <v>3594</v>
      </c>
      <c r="BG63" s="3476" t="s">
        <v>3594</v>
      </c>
      <c r="BH63" s="3476" t="s">
        <v>3594</v>
      </c>
      <c r="BI63" s="3476" t="s">
        <v>3594</v>
      </c>
      <c r="BJ63" s="3476" t="s">
        <v>3594</v>
      </c>
      <c r="BK63" s="3476" t="s">
        <v>3594</v>
      </c>
      <c r="BL63" s="3476" t="s">
        <v>3594</v>
      </c>
      <c r="BM63" s="3476" t="s">
        <v>3594</v>
      </c>
      <c r="BN63" s="3476" t="s">
        <v>3594</v>
      </c>
      <c r="BO63" s="3476" t="s">
        <v>3594</v>
      </c>
      <c r="BP63" s="3476" t="s">
        <v>3594</v>
      </c>
      <c r="BQ63" s="3476" t="s">
        <v>3594</v>
      </c>
      <c r="BR63" s="3476" t="s">
        <v>3594</v>
      </c>
      <c r="BS63" s="3476" t="s">
        <v>3594</v>
      </c>
      <c r="BT63" s="3476" t="s">
        <v>3594</v>
      </c>
      <c r="BU63" s="3476" t="s">
        <v>3594</v>
      </c>
      <c r="BV63" s="3476" t="s">
        <v>3594</v>
      </c>
      <c r="BW63" s="3476" t="s">
        <v>3594</v>
      </c>
      <c r="BX63" s="3476" t="s">
        <v>3594</v>
      </c>
      <c r="BY63" s="3476" t="s">
        <v>3594</v>
      </c>
      <c r="BZ63" s="3476" t="s">
        <v>3594</v>
      </c>
      <c r="CA63" s="3476" t="s">
        <v>3594</v>
      </c>
      <c r="CB63" s="3476" t="s">
        <v>3594</v>
      </c>
      <c r="CC63" s="3476" t="s">
        <v>3594</v>
      </c>
      <c r="CD63" s="3476" t="s">
        <v>3594</v>
      </c>
      <c r="CE63" s="3476" t="s">
        <v>3594</v>
      </c>
      <c r="CF63" s="3476" t="s">
        <v>3594</v>
      </c>
      <c r="CG63" s="3476" t="s">
        <v>3594</v>
      </c>
      <c r="CH63" s="3476" t="s">
        <v>3594</v>
      </c>
      <c r="CI63" s="3476" t="s">
        <v>3594</v>
      </c>
      <c r="CJ63" s="3476" t="s">
        <v>3594</v>
      </c>
      <c r="CK63" s="3476" t="s">
        <v>3594</v>
      </c>
      <c r="CL63" s="3476" t="s">
        <v>3594</v>
      </c>
      <c r="CM63" s="3476" t="s">
        <v>3594</v>
      </c>
      <c r="CN63" s="3476" t="s">
        <v>3594</v>
      </c>
    </row>
    <row r="64" spans="1:92" ht="14.1" customHeight="1">
      <c r="A64" s="3475" t="s">
        <v>3704</v>
      </c>
      <c r="B64" s="3475" t="s">
        <v>3705</v>
      </c>
      <c r="C64" s="3475" t="s">
        <v>3717</v>
      </c>
      <c r="D64" s="3475" t="s">
        <v>3707</v>
      </c>
      <c r="E64" s="3475" t="s">
        <v>3708</v>
      </c>
      <c r="F64" s="3475" t="s">
        <v>3583</v>
      </c>
      <c r="G64" s="3475" t="s">
        <v>3584</v>
      </c>
      <c r="H64" s="3475" t="s">
        <v>3709</v>
      </c>
      <c r="I64" s="3475" t="s">
        <v>3612</v>
      </c>
      <c r="J64" s="3475">
        <v>8218.1</v>
      </c>
      <c r="K64" s="3475" t="s">
        <v>3596</v>
      </c>
      <c r="L64" s="3475" t="s">
        <v>3597</v>
      </c>
      <c r="M64" s="3475">
        <v>0.17988199999999999</v>
      </c>
      <c r="N64" s="3475" t="s">
        <v>3598</v>
      </c>
      <c r="O64" s="3475" t="s">
        <v>3590</v>
      </c>
      <c r="P64" s="3475" t="s">
        <v>3594</v>
      </c>
      <c r="Q64" s="3475" t="s">
        <v>3714</v>
      </c>
      <c r="R64" s="3475" t="s">
        <v>3711</v>
      </c>
      <c r="S64" s="3475" t="s">
        <v>3591</v>
      </c>
      <c r="T64" s="3475" t="s">
        <v>3711</v>
      </c>
      <c r="U64" s="3475" t="s">
        <v>3594</v>
      </c>
      <c r="V64" s="3475" t="s">
        <v>3594</v>
      </c>
      <c r="W64" s="3475" t="s">
        <v>3594</v>
      </c>
      <c r="X64" s="3475" t="s">
        <v>3594</v>
      </c>
      <c r="Y64" s="3475" t="s">
        <v>3594</v>
      </c>
      <c r="Z64" s="3475" t="s">
        <v>3594</v>
      </c>
      <c r="AA64" s="3475" t="s">
        <v>3594</v>
      </c>
      <c r="AB64" s="3475" t="s">
        <v>3594</v>
      </c>
      <c r="AC64" s="3475" t="s">
        <v>3594</v>
      </c>
      <c r="AD64" s="3475" t="s">
        <v>3594</v>
      </c>
      <c r="AE64" s="3475" t="s">
        <v>3594</v>
      </c>
      <c r="AF64" s="3475" t="s">
        <v>3594</v>
      </c>
      <c r="AG64" s="3476" t="s">
        <v>3594</v>
      </c>
      <c r="AH64" s="3476" t="s">
        <v>3594</v>
      </c>
      <c r="AI64" s="3476" t="s">
        <v>3594</v>
      </c>
      <c r="AJ64" s="3476" t="s">
        <v>3594</v>
      </c>
      <c r="AK64" s="3476" t="s">
        <v>3594</v>
      </c>
      <c r="AL64" s="3476" t="s">
        <v>3594</v>
      </c>
      <c r="AM64" s="3476" t="s">
        <v>3594</v>
      </c>
      <c r="AN64" s="3476" t="s">
        <v>3594</v>
      </c>
      <c r="AO64" s="3476" t="s">
        <v>3594</v>
      </c>
      <c r="AP64" s="3476" t="s">
        <v>3594</v>
      </c>
      <c r="AQ64" s="3476" t="s">
        <v>3594</v>
      </c>
      <c r="AR64" s="3476">
        <v>5913.15</v>
      </c>
      <c r="AS64" s="3476">
        <v>45826.94</v>
      </c>
      <c r="AT64" s="3476">
        <v>41392.07</v>
      </c>
      <c r="AU64" s="3476">
        <v>45826.94</v>
      </c>
      <c r="AV64" s="3476">
        <v>44348.65</v>
      </c>
      <c r="AW64" s="3476">
        <v>45826.94</v>
      </c>
      <c r="AX64" s="3476">
        <v>44348.65</v>
      </c>
      <c r="AY64" s="3476">
        <v>45826.94</v>
      </c>
      <c r="AZ64" s="3476">
        <v>45826.94</v>
      </c>
      <c r="BA64" s="3476">
        <v>44348.65</v>
      </c>
      <c r="BB64" s="3476">
        <v>45826.94</v>
      </c>
      <c r="BC64" s="3476">
        <v>44348.65</v>
      </c>
      <c r="BD64" s="3476">
        <v>45826.94</v>
      </c>
      <c r="BE64" s="3476">
        <v>45826.94</v>
      </c>
      <c r="BF64" s="3476">
        <v>41392.07</v>
      </c>
      <c r="BG64" s="3476">
        <v>45826.94</v>
      </c>
      <c r="BH64" s="3476">
        <v>44348.65</v>
      </c>
      <c r="BI64" s="3476">
        <v>45826.94</v>
      </c>
      <c r="BJ64" s="3476">
        <v>44348.65</v>
      </c>
      <c r="BK64" s="3476">
        <v>45826.94</v>
      </c>
      <c r="BL64" s="3476">
        <v>45826.94</v>
      </c>
      <c r="BM64" s="3476">
        <v>44348.65</v>
      </c>
      <c r="BN64" s="3476">
        <v>45826.94</v>
      </c>
      <c r="BO64" s="3476">
        <v>44348.65</v>
      </c>
      <c r="BP64" s="3476">
        <v>45826.94</v>
      </c>
      <c r="BQ64" s="3476">
        <v>45826.94</v>
      </c>
      <c r="BR64" s="3476">
        <v>41392.07</v>
      </c>
      <c r="BS64" s="3476">
        <v>45826.94</v>
      </c>
      <c r="BT64" s="3476">
        <v>44348.65</v>
      </c>
      <c r="BU64" s="3476">
        <v>45826.94</v>
      </c>
      <c r="BV64" s="3476">
        <v>44348.65</v>
      </c>
      <c r="BW64" s="3476">
        <v>45826.94</v>
      </c>
      <c r="BX64" s="3476">
        <v>45826.94</v>
      </c>
      <c r="BY64" s="3476">
        <v>44348.65</v>
      </c>
      <c r="BZ64" s="3476">
        <v>45826.94</v>
      </c>
      <c r="CA64" s="3476">
        <v>44348.65</v>
      </c>
      <c r="CB64" s="3476">
        <v>39913.78</v>
      </c>
      <c r="CC64" s="3476" t="s">
        <v>3594</v>
      </c>
      <c r="CD64" s="3476" t="s">
        <v>3594</v>
      </c>
      <c r="CE64" s="3476" t="s">
        <v>3594</v>
      </c>
      <c r="CF64" s="3476" t="s">
        <v>3594</v>
      </c>
      <c r="CG64" s="3476" t="s">
        <v>3594</v>
      </c>
      <c r="CH64" s="3476" t="s">
        <v>3594</v>
      </c>
      <c r="CI64" s="3476" t="s">
        <v>3594</v>
      </c>
      <c r="CJ64" s="3476" t="s">
        <v>3594</v>
      </c>
      <c r="CK64" s="3476" t="s">
        <v>3594</v>
      </c>
      <c r="CL64" s="3476" t="s">
        <v>3594</v>
      </c>
      <c r="CM64" s="3476" t="s">
        <v>3594</v>
      </c>
      <c r="CN64" s="3476" t="s">
        <v>3594</v>
      </c>
    </row>
    <row r="65" spans="1:92" ht="14.1" customHeight="1">
      <c r="A65" s="3475" t="s">
        <v>3704</v>
      </c>
      <c r="B65" s="3475" t="s">
        <v>3705</v>
      </c>
      <c r="C65" s="3475" t="s">
        <v>3718</v>
      </c>
      <c r="D65" s="3475" t="s">
        <v>3707</v>
      </c>
      <c r="E65" s="3475" t="s">
        <v>3708</v>
      </c>
      <c r="F65" s="3475" t="s">
        <v>3583</v>
      </c>
      <c r="G65" s="3475" t="s">
        <v>3584</v>
      </c>
      <c r="H65" s="3475" t="s">
        <v>3719</v>
      </c>
      <c r="I65" s="3475" t="s">
        <v>3612</v>
      </c>
      <c r="J65" s="3475">
        <v>2377.02</v>
      </c>
      <c r="K65" s="3475" t="s">
        <v>3601</v>
      </c>
      <c r="L65" s="3475" t="s">
        <v>3602</v>
      </c>
      <c r="M65" s="3475">
        <v>6.1649700000000003</v>
      </c>
      <c r="N65" s="3475" t="s">
        <v>3589</v>
      </c>
      <c r="O65" s="3475" t="s">
        <v>3590</v>
      </c>
      <c r="P65" s="3475" t="s">
        <v>3594</v>
      </c>
      <c r="Q65" s="3475" t="s">
        <v>3591</v>
      </c>
      <c r="R65" s="3475" t="s">
        <v>3710</v>
      </c>
      <c r="S65" s="3475" t="s">
        <v>3591</v>
      </c>
      <c r="T65" s="3475" t="s">
        <v>3711</v>
      </c>
      <c r="U65" s="3475">
        <v>454281.97</v>
      </c>
      <c r="V65" s="3475">
        <v>410319.2</v>
      </c>
      <c r="W65" s="3475">
        <v>454281.97</v>
      </c>
      <c r="X65" s="3475">
        <v>439627.71</v>
      </c>
      <c r="Y65" s="3475">
        <v>454281.97</v>
      </c>
      <c r="Z65" s="3475">
        <v>439627.71</v>
      </c>
      <c r="AA65" s="3475">
        <v>454281.97</v>
      </c>
      <c r="AB65" s="3475">
        <v>454281.97</v>
      </c>
      <c r="AC65" s="3475">
        <v>439627.71</v>
      </c>
      <c r="AD65" s="3475">
        <v>454281.97</v>
      </c>
      <c r="AE65" s="3475">
        <v>439627.71</v>
      </c>
      <c r="AF65" s="3475">
        <v>454281.97</v>
      </c>
      <c r="AG65" s="3476">
        <v>454281.97</v>
      </c>
      <c r="AH65" s="3476">
        <v>424973.45</v>
      </c>
      <c r="AI65" s="3476">
        <v>454281.97</v>
      </c>
      <c r="AJ65" s="3476">
        <v>439627.71</v>
      </c>
      <c r="AK65" s="3476">
        <v>454281.97</v>
      </c>
      <c r="AL65" s="3476">
        <v>439627.71</v>
      </c>
      <c r="AM65" s="3476">
        <v>454281.97</v>
      </c>
      <c r="AN65" s="3476">
        <v>454281.97</v>
      </c>
      <c r="AO65" s="3476">
        <v>439627.71</v>
      </c>
      <c r="AP65" s="3476">
        <v>454281.97</v>
      </c>
      <c r="AQ65" s="3476">
        <v>439627.71</v>
      </c>
      <c r="AR65" s="3476">
        <v>395664.94</v>
      </c>
      <c r="AS65" s="3476" t="s">
        <v>3594</v>
      </c>
      <c r="AT65" s="3476" t="s">
        <v>3594</v>
      </c>
      <c r="AU65" s="3476" t="s">
        <v>3594</v>
      </c>
      <c r="AV65" s="3476" t="s">
        <v>3594</v>
      </c>
      <c r="AW65" s="3476" t="s">
        <v>3594</v>
      </c>
      <c r="AX65" s="3476" t="s">
        <v>3594</v>
      </c>
      <c r="AY65" s="3476" t="s">
        <v>3594</v>
      </c>
      <c r="AZ65" s="3476" t="s">
        <v>3594</v>
      </c>
      <c r="BA65" s="3476" t="s">
        <v>3594</v>
      </c>
      <c r="BB65" s="3476" t="s">
        <v>3594</v>
      </c>
      <c r="BC65" s="3476" t="s">
        <v>3594</v>
      </c>
      <c r="BD65" s="3476" t="s">
        <v>3594</v>
      </c>
      <c r="BE65" s="3476" t="s">
        <v>3594</v>
      </c>
      <c r="BF65" s="3476" t="s">
        <v>3594</v>
      </c>
      <c r="BG65" s="3476" t="s">
        <v>3594</v>
      </c>
      <c r="BH65" s="3476" t="s">
        <v>3594</v>
      </c>
      <c r="BI65" s="3476" t="s">
        <v>3594</v>
      </c>
      <c r="BJ65" s="3476" t="s">
        <v>3594</v>
      </c>
      <c r="BK65" s="3476" t="s">
        <v>3594</v>
      </c>
      <c r="BL65" s="3476" t="s">
        <v>3594</v>
      </c>
      <c r="BM65" s="3476" t="s">
        <v>3594</v>
      </c>
      <c r="BN65" s="3476" t="s">
        <v>3594</v>
      </c>
      <c r="BO65" s="3476" t="s">
        <v>3594</v>
      </c>
      <c r="BP65" s="3476" t="s">
        <v>3594</v>
      </c>
      <c r="BQ65" s="3476" t="s">
        <v>3594</v>
      </c>
      <c r="BR65" s="3476" t="s">
        <v>3594</v>
      </c>
      <c r="BS65" s="3476" t="s">
        <v>3594</v>
      </c>
      <c r="BT65" s="3476" t="s">
        <v>3594</v>
      </c>
      <c r="BU65" s="3476" t="s">
        <v>3594</v>
      </c>
      <c r="BV65" s="3476" t="s">
        <v>3594</v>
      </c>
      <c r="BW65" s="3476" t="s">
        <v>3594</v>
      </c>
      <c r="BX65" s="3476" t="s">
        <v>3594</v>
      </c>
      <c r="BY65" s="3476" t="s">
        <v>3594</v>
      </c>
      <c r="BZ65" s="3476" t="s">
        <v>3594</v>
      </c>
      <c r="CA65" s="3476" t="s">
        <v>3594</v>
      </c>
      <c r="CB65" s="3476" t="s">
        <v>3594</v>
      </c>
      <c r="CC65" s="3476" t="s">
        <v>3594</v>
      </c>
      <c r="CD65" s="3476" t="s">
        <v>3594</v>
      </c>
      <c r="CE65" s="3476" t="s">
        <v>3594</v>
      </c>
      <c r="CF65" s="3476" t="s">
        <v>3594</v>
      </c>
      <c r="CG65" s="3476" t="s">
        <v>3594</v>
      </c>
      <c r="CH65" s="3476" t="s">
        <v>3594</v>
      </c>
      <c r="CI65" s="3476" t="s">
        <v>3594</v>
      </c>
      <c r="CJ65" s="3476" t="s">
        <v>3594</v>
      </c>
      <c r="CK65" s="3476" t="s">
        <v>3594</v>
      </c>
      <c r="CL65" s="3476" t="s">
        <v>3594</v>
      </c>
      <c r="CM65" s="3476" t="s">
        <v>3594</v>
      </c>
      <c r="CN65" s="3476" t="s">
        <v>3594</v>
      </c>
    </row>
    <row r="66" spans="1:92" ht="14.1" customHeight="1">
      <c r="A66" s="3475" t="s">
        <v>3704</v>
      </c>
      <c r="B66" s="3475" t="s">
        <v>3705</v>
      </c>
      <c r="C66" s="3475" t="s">
        <v>3720</v>
      </c>
      <c r="D66" s="3475" t="s">
        <v>3707</v>
      </c>
      <c r="E66" s="3475" t="s">
        <v>3708</v>
      </c>
      <c r="F66" s="3475" t="s">
        <v>3583</v>
      </c>
      <c r="G66" s="3475" t="s">
        <v>3584</v>
      </c>
      <c r="H66" s="3475" t="s">
        <v>3719</v>
      </c>
      <c r="I66" s="3475" t="s">
        <v>3612</v>
      </c>
      <c r="J66" s="3475">
        <v>2377.02</v>
      </c>
      <c r="K66" s="3475" t="s">
        <v>3601</v>
      </c>
      <c r="L66" s="3475" t="s">
        <v>3602</v>
      </c>
      <c r="M66" s="3475">
        <v>-0.24654000000000001</v>
      </c>
      <c r="N66" s="3475" t="s">
        <v>3589</v>
      </c>
      <c r="O66" s="3475" t="s">
        <v>3590</v>
      </c>
      <c r="P66" s="3475" t="s">
        <v>3594</v>
      </c>
      <c r="Q66" s="3475" t="s">
        <v>3591</v>
      </c>
      <c r="R66" s="3475" t="s">
        <v>3710</v>
      </c>
      <c r="S66" s="3475" t="s">
        <v>3591</v>
      </c>
      <c r="T66" s="3475" t="s">
        <v>3711</v>
      </c>
      <c r="U66" s="3475">
        <v>-18166.95</v>
      </c>
      <c r="V66" s="3475">
        <v>-16408.849999999999</v>
      </c>
      <c r="W66" s="3475">
        <v>-18166.95</v>
      </c>
      <c r="X66" s="3475">
        <v>-17580.919999999998</v>
      </c>
      <c r="Y66" s="3475">
        <v>-18166.95</v>
      </c>
      <c r="Z66" s="3475">
        <v>-17580.919999999998</v>
      </c>
      <c r="AA66" s="3475">
        <v>-18166.95</v>
      </c>
      <c r="AB66" s="3475">
        <v>-18166.95</v>
      </c>
      <c r="AC66" s="3475">
        <v>-17580.919999999998</v>
      </c>
      <c r="AD66" s="3475">
        <v>-18166.95</v>
      </c>
      <c r="AE66" s="3475">
        <v>-17580.919999999998</v>
      </c>
      <c r="AF66" s="3475">
        <v>-18166.95</v>
      </c>
      <c r="AG66" s="3476">
        <v>-18166.95</v>
      </c>
      <c r="AH66" s="3476">
        <v>-16994.88</v>
      </c>
      <c r="AI66" s="3476">
        <v>-18166.95</v>
      </c>
      <c r="AJ66" s="3476">
        <v>-17580.919999999998</v>
      </c>
      <c r="AK66" s="3476">
        <v>-18166.95</v>
      </c>
      <c r="AL66" s="3476">
        <v>-17580.919999999998</v>
      </c>
      <c r="AM66" s="3476">
        <v>-18166.95</v>
      </c>
      <c r="AN66" s="3476">
        <v>-18166.95</v>
      </c>
      <c r="AO66" s="3476">
        <v>-17580.919999999998</v>
      </c>
      <c r="AP66" s="3476">
        <v>-18166.95</v>
      </c>
      <c r="AQ66" s="3476">
        <v>-17580.919999999998</v>
      </c>
      <c r="AR66" s="3476">
        <v>-15822.82</v>
      </c>
      <c r="AS66" s="3476" t="s">
        <v>3594</v>
      </c>
      <c r="AT66" s="3476" t="s">
        <v>3594</v>
      </c>
      <c r="AU66" s="3476" t="s">
        <v>3594</v>
      </c>
      <c r="AV66" s="3476" t="s">
        <v>3594</v>
      </c>
      <c r="AW66" s="3476" t="s">
        <v>3594</v>
      </c>
      <c r="AX66" s="3476" t="s">
        <v>3594</v>
      </c>
      <c r="AY66" s="3476" t="s">
        <v>3594</v>
      </c>
      <c r="AZ66" s="3476" t="s">
        <v>3594</v>
      </c>
      <c r="BA66" s="3476" t="s">
        <v>3594</v>
      </c>
      <c r="BB66" s="3476" t="s">
        <v>3594</v>
      </c>
      <c r="BC66" s="3476" t="s">
        <v>3594</v>
      </c>
      <c r="BD66" s="3476" t="s">
        <v>3594</v>
      </c>
      <c r="BE66" s="3476" t="s">
        <v>3594</v>
      </c>
      <c r="BF66" s="3476" t="s">
        <v>3594</v>
      </c>
      <c r="BG66" s="3476" t="s">
        <v>3594</v>
      </c>
      <c r="BH66" s="3476" t="s">
        <v>3594</v>
      </c>
      <c r="BI66" s="3476" t="s">
        <v>3594</v>
      </c>
      <c r="BJ66" s="3476" t="s">
        <v>3594</v>
      </c>
      <c r="BK66" s="3476" t="s">
        <v>3594</v>
      </c>
      <c r="BL66" s="3476" t="s">
        <v>3594</v>
      </c>
      <c r="BM66" s="3476" t="s">
        <v>3594</v>
      </c>
      <c r="BN66" s="3476" t="s">
        <v>3594</v>
      </c>
      <c r="BO66" s="3476" t="s">
        <v>3594</v>
      </c>
      <c r="BP66" s="3476" t="s">
        <v>3594</v>
      </c>
      <c r="BQ66" s="3476" t="s">
        <v>3594</v>
      </c>
      <c r="BR66" s="3476" t="s">
        <v>3594</v>
      </c>
      <c r="BS66" s="3476" t="s">
        <v>3594</v>
      </c>
      <c r="BT66" s="3476" t="s">
        <v>3594</v>
      </c>
      <c r="BU66" s="3476" t="s">
        <v>3594</v>
      </c>
      <c r="BV66" s="3476" t="s">
        <v>3594</v>
      </c>
      <c r="BW66" s="3476" t="s">
        <v>3594</v>
      </c>
      <c r="BX66" s="3476" t="s">
        <v>3594</v>
      </c>
      <c r="BY66" s="3476" t="s">
        <v>3594</v>
      </c>
      <c r="BZ66" s="3476" t="s">
        <v>3594</v>
      </c>
      <c r="CA66" s="3476" t="s">
        <v>3594</v>
      </c>
      <c r="CB66" s="3476" t="s">
        <v>3594</v>
      </c>
      <c r="CC66" s="3476" t="s">
        <v>3594</v>
      </c>
      <c r="CD66" s="3476" t="s">
        <v>3594</v>
      </c>
      <c r="CE66" s="3476" t="s">
        <v>3594</v>
      </c>
      <c r="CF66" s="3476" t="s">
        <v>3594</v>
      </c>
      <c r="CG66" s="3476" t="s">
        <v>3594</v>
      </c>
      <c r="CH66" s="3476" t="s">
        <v>3594</v>
      </c>
      <c r="CI66" s="3476" t="s">
        <v>3594</v>
      </c>
      <c r="CJ66" s="3476" t="s">
        <v>3594</v>
      </c>
      <c r="CK66" s="3476" t="s">
        <v>3594</v>
      </c>
      <c r="CL66" s="3476" t="s">
        <v>3594</v>
      </c>
      <c r="CM66" s="3476" t="s">
        <v>3594</v>
      </c>
      <c r="CN66" s="3476" t="s">
        <v>3594</v>
      </c>
    </row>
    <row r="67" spans="1:92" ht="14.1" customHeight="1">
      <c r="A67" s="3475" t="s">
        <v>3704</v>
      </c>
      <c r="B67" s="3475" t="s">
        <v>3705</v>
      </c>
      <c r="C67" s="3475" t="s">
        <v>3721</v>
      </c>
      <c r="D67" s="3475" t="s">
        <v>3707</v>
      </c>
      <c r="E67" s="3475" t="s">
        <v>3708</v>
      </c>
      <c r="F67" s="3475" t="s">
        <v>3583</v>
      </c>
      <c r="G67" s="3475" t="s">
        <v>3584</v>
      </c>
      <c r="H67" s="3475" t="s">
        <v>3719</v>
      </c>
      <c r="I67" s="3475" t="s">
        <v>3612</v>
      </c>
      <c r="J67" s="3475">
        <v>2377.02</v>
      </c>
      <c r="K67" s="3475" t="s">
        <v>3601</v>
      </c>
      <c r="L67" s="3475" t="s">
        <v>3602</v>
      </c>
      <c r="M67" s="3475">
        <v>-0.25683</v>
      </c>
      <c r="N67" s="3475" t="s">
        <v>3589</v>
      </c>
      <c r="O67" s="3475" t="s">
        <v>3590</v>
      </c>
      <c r="P67" s="3475" t="s">
        <v>3594</v>
      </c>
      <c r="Q67" s="3475" t="s">
        <v>3714</v>
      </c>
      <c r="R67" s="3475" t="s">
        <v>3711</v>
      </c>
      <c r="S67" s="3475" t="s">
        <v>3591</v>
      </c>
      <c r="T67" s="3475" t="s">
        <v>3711</v>
      </c>
      <c r="U67" s="3475" t="s">
        <v>3594</v>
      </c>
      <c r="V67" s="3475" t="s">
        <v>3594</v>
      </c>
      <c r="W67" s="3475" t="s">
        <v>3594</v>
      </c>
      <c r="X67" s="3475" t="s">
        <v>3594</v>
      </c>
      <c r="Y67" s="3475" t="s">
        <v>3594</v>
      </c>
      <c r="Z67" s="3475" t="s">
        <v>3594</v>
      </c>
      <c r="AA67" s="3475" t="s">
        <v>3594</v>
      </c>
      <c r="AB67" s="3475" t="s">
        <v>3594</v>
      </c>
      <c r="AC67" s="3475" t="s">
        <v>3594</v>
      </c>
      <c r="AD67" s="3475" t="s">
        <v>3594</v>
      </c>
      <c r="AE67" s="3475" t="s">
        <v>3594</v>
      </c>
      <c r="AF67" s="3475" t="s">
        <v>3594</v>
      </c>
      <c r="AG67" s="3476" t="s">
        <v>3594</v>
      </c>
      <c r="AH67" s="3476" t="s">
        <v>3594</v>
      </c>
      <c r="AI67" s="3476" t="s">
        <v>3594</v>
      </c>
      <c r="AJ67" s="3476" t="s">
        <v>3594</v>
      </c>
      <c r="AK67" s="3476" t="s">
        <v>3594</v>
      </c>
      <c r="AL67" s="3476" t="s">
        <v>3594</v>
      </c>
      <c r="AM67" s="3476" t="s">
        <v>3594</v>
      </c>
      <c r="AN67" s="3476" t="s">
        <v>3594</v>
      </c>
      <c r="AO67" s="3476" t="s">
        <v>3594</v>
      </c>
      <c r="AP67" s="3476" t="s">
        <v>3594</v>
      </c>
      <c r="AQ67" s="3476" t="s">
        <v>3594</v>
      </c>
      <c r="AR67" s="3476">
        <v>-2441.96</v>
      </c>
      <c r="AS67" s="3476">
        <v>-18925.189999999999</v>
      </c>
      <c r="AT67" s="3476">
        <v>-17093.72</v>
      </c>
      <c r="AU67" s="3476">
        <v>-18925.189999999999</v>
      </c>
      <c r="AV67" s="3476">
        <v>-18314.7</v>
      </c>
      <c r="AW67" s="3476">
        <v>-18925.189999999999</v>
      </c>
      <c r="AX67" s="3476">
        <v>-18314.7</v>
      </c>
      <c r="AY67" s="3476">
        <v>-18925.189999999999</v>
      </c>
      <c r="AZ67" s="3476">
        <v>-18925.189999999999</v>
      </c>
      <c r="BA67" s="3476">
        <v>-18314.7</v>
      </c>
      <c r="BB67" s="3476">
        <v>-18925.189999999999</v>
      </c>
      <c r="BC67" s="3476">
        <v>-18314.7</v>
      </c>
      <c r="BD67" s="3476">
        <v>-18925.189999999999</v>
      </c>
      <c r="BE67" s="3476">
        <v>-18925.189999999999</v>
      </c>
      <c r="BF67" s="3476">
        <v>-17093.72</v>
      </c>
      <c r="BG67" s="3476">
        <v>-18925.189999999999</v>
      </c>
      <c r="BH67" s="3476">
        <v>-18314.7</v>
      </c>
      <c r="BI67" s="3476">
        <v>-18925.189999999999</v>
      </c>
      <c r="BJ67" s="3476">
        <v>-18314.7</v>
      </c>
      <c r="BK67" s="3476">
        <v>-18925.189999999999</v>
      </c>
      <c r="BL67" s="3476">
        <v>-18925.189999999999</v>
      </c>
      <c r="BM67" s="3476">
        <v>-18314.7</v>
      </c>
      <c r="BN67" s="3476">
        <v>-18925.189999999999</v>
      </c>
      <c r="BO67" s="3476">
        <v>-18314.7</v>
      </c>
      <c r="BP67" s="3476">
        <v>-18925.189999999999</v>
      </c>
      <c r="BQ67" s="3476">
        <v>-18925.189999999999</v>
      </c>
      <c r="BR67" s="3476">
        <v>-17093.72</v>
      </c>
      <c r="BS67" s="3476">
        <v>-18925.189999999999</v>
      </c>
      <c r="BT67" s="3476">
        <v>-18314.7</v>
      </c>
      <c r="BU67" s="3476">
        <v>-18925.189999999999</v>
      </c>
      <c r="BV67" s="3476">
        <v>-18314.7</v>
      </c>
      <c r="BW67" s="3476">
        <v>-18925.189999999999</v>
      </c>
      <c r="BX67" s="3476">
        <v>-18925.189999999999</v>
      </c>
      <c r="BY67" s="3476">
        <v>-18314.7</v>
      </c>
      <c r="BZ67" s="3476">
        <v>-18925.189999999999</v>
      </c>
      <c r="CA67" s="3476">
        <v>-18314.7</v>
      </c>
      <c r="CB67" s="3476">
        <v>-16483.23</v>
      </c>
      <c r="CC67" s="3476" t="s">
        <v>3594</v>
      </c>
      <c r="CD67" s="3476" t="s">
        <v>3594</v>
      </c>
      <c r="CE67" s="3476" t="s">
        <v>3594</v>
      </c>
      <c r="CF67" s="3476" t="s">
        <v>3594</v>
      </c>
      <c r="CG67" s="3476" t="s">
        <v>3594</v>
      </c>
      <c r="CH67" s="3476" t="s">
        <v>3594</v>
      </c>
      <c r="CI67" s="3476" t="s">
        <v>3594</v>
      </c>
      <c r="CJ67" s="3476" t="s">
        <v>3594</v>
      </c>
      <c r="CK67" s="3476" t="s">
        <v>3594</v>
      </c>
      <c r="CL67" s="3476" t="s">
        <v>3594</v>
      </c>
      <c r="CM67" s="3476" t="s">
        <v>3594</v>
      </c>
      <c r="CN67" s="3476" t="s">
        <v>3594</v>
      </c>
    </row>
    <row r="68" spans="1:92" ht="14.1" customHeight="1">
      <c r="A68" s="3475" t="s">
        <v>3704</v>
      </c>
      <c r="B68" s="3475" t="s">
        <v>3705</v>
      </c>
      <c r="C68" s="3475" t="s">
        <v>3722</v>
      </c>
      <c r="D68" s="3475" t="s">
        <v>3707</v>
      </c>
      <c r="E68" s="3475" t="s">
        <v>3708</v>
      </c>
      <c r="F68" s="3475" t="s">
        <v>3583</v>
      </c>
      <c r="G68" s="3475" t="s">
        <v>3584</v>
      </c>
      <c r="H68" s="3475" t="s">
        <v>3719</v>
      </c>
      <c r="I68" s="3475" t="s">
        <v>3612</v>
      </c>
      <c r="J68" s="3475">
        <v>2377.02</v>
      </c>
      <c r="K68" s="3475" t="s">
        <v>3601</v>
      </c>
      <c r="L68" s="3475" t="s">
        <v>3602</v>
      </c>
      <c r="M68" s="3475">
        <v>6.4218000000000002</v>
      </c>
      <c r="N68" s="3475" t="s">
        <v>3589</v>
      </c>
      <c r="O68" s="3475" t="s">
        <v>3590</v>
      </c>
      <c r="P68" s="3475" t="s">
        <v>3594</v>
      </c>
      <c r="Q68" s="3475" t="s">
        <v>3714</v>
      </c>
      <c r="R68" s="3475" t="s">
        <v>3711</v>
      </c>
      <c r="S68" s="3475" t="s">
        <v>3591</v>
      </c>
      <c r="T68" s="3475" t="s">
        <v>3711</v>
      </c>
      <c r="U68" s="3475" t="s">
        <v>3594</v>
      </c>
      <c r="V68" s="3475" t="s">
        <v>3594</v>
      </c>
      <c r="W68" s="3475" t="s">
        <v>3594</v>
      </c>
      <c r="X68" s="3475" t="s">
        <v>3594</v>
      </c>
      <c r="Y68" s="3475" t="s">
        <v>3594</v>
      </c>
      <c r="Z68" s="3475" t="s">
        <v>3594</v>
      </c>
      <c r="AA68" s="3475" t="s">
        <v>3594</v>
      </c>
      <c r="AB68" s="3475" t="s">
        <v>3594</v>
      </c>
      <c r="AC68" s="3475" t="s">
        <v>3594</v>
      </c>
      <c r="AD68" s="3475" t="s">
        <v>3594</v>
      </c>
      <c r="AE68" s="3475" t="s">
        <v>3594</v>
      </c>
      <c r="AF68" s="3475" t="s">
        <v>3594</v>
      </c>
      <c r="AG68" s="3476" t="s">
        <v>3594</v>
      </c>
      <c r="AH68" s="3476" t="s">
        <v>3594</v>
      </c>
      <c r="AI68" s="3476" t="s">
        <v>3594</v>
      </c>
      <c r="AJ68" s="3476" t="s">
        <v>3594</v>
      </c>
      <c r="AK68" s="3476" t="s">
        <v>3594</v>
      </c>
      <c r="AL68" s="3476" t="s">
        <v>3594</v>
      </c>
      <c r="AM68" s="3476" t="s">
        <v>3594</v>
      </c>
      <c r="AN68" s="3476" t="s">
        <v>3594</v>
      </c>
      <c r="AO68" s="3476" t="s">
        <v>3594</v>
      </c>
      <c r="AP68" s="3476" t="s">
        <v>3594</v>
      </c>
      <c r="AQ68" s="3476" t="s">
        <v>3594</v>
      </c>
      <c r="AR68" s="3476">
        <v>61058.99</v>
      </c>
      <c r="AS68" s="3476">
        <v>473207.16</v>
      </c>
      <c r="AT68" s="3476">
        <v>427412.92</v>
      </c>
      <c r="AU68" s="3476">
        <v>473207.16</v>
      </c>
      <c r="AV68" s="3476">
        <v>457942.41</v>
      </c>
      <c r="AW68" s="3476">
        <v>473207.16</v>
      </c>
      <c r="AX68" s="3476">
        <v>457942.41</v>
      </c>
      <c r="AY68" s="3476">
        <v>473207.16</v>
      </c>
      <c r="AZ68" s="3476">
        <v>473207.16</v>
      </c>
      <c r="BA68" s="3476">
        <v>457942.41</v>
      </c>
      <c r="BB68" s="3476">
        <v>473207.16</v>
      </c>
      <c r="BC68" s="3476">
        <v>457942.41</v>
      </c>
      <c r="BD68" s="3476">
        <v>473207.16</v>
      </c>
      <c r="BE68" s="3476">
        <v>473207.16</v>
      </c>
      <c r="BF68" s="3476">
        <v>427412.92</v>
      </c>
      <c r="BG68" s="3476">
        <v>473207.16</v>
      </c>
      <c r="BH68" s="3476">
        <v>457942.41</v>
      </c>
      <c r="BI68" s="3476">
        <v>473207.16</v>
      </c>
      <c r="BJ68" s="3476">
        <v>457942.41</v>
      </c>
      <c r="BK68" s="3476">
        <v>473207.16</v>
      </c>
      <c r="BL68" s="3476">
        <v>473207.16</v>
      </c>
      <c r="BM68" s="3476">
        <v>457942.41</v>
      </c>
      <c r="BN68" s="3476">
        <v>473207.16</v>
      </c>
      <c r="BO68" s="3476">
        <v>457942.41</v>
      </c>
      <c r="BP68" s="3476">
        <v>473207.16</v>
      </c>
      <c r="BQ68" s="3476">
        <v>473207.16</v>
      </c>
      <c r="BR68" s="3476">
        <v>427412.92</v>
      </c>
      <c r="BS68" s="3476">
        <v>473207.16</v>
      </c>
      <c r="BT68" s="3476">
        <v>457942.41</v>
      </c>
      <c r="BU68" s="3476">
        <v>473207.16</v>
      </c>
      <c r="BV68" s="3476">
        <v>457942.41</v>
      </c>
      <c r="BW68" s="3476">
        <v>473207.16</v>
      </c>
      <c r="BX68" s="3476">
        <v>473207.16</v>
      </c>
      <c r="BY68" s="3476">
        <v>457942.41</v>
      </c>
      <c r="BZ68" s="3476">
        <v>473207.16</v>
      </c>
      <c r="CA68" s="3476">
        <v>457942.41</v>
      </c>
      <c r="CB68" s="3476">
        <v>412148.17</v>
      </c>
      <c r="CC68" s="3476" t="s">
        <v>3594</v>
      </c>
      <c r="CD68" s="3476" t="s">
        <v>3594</v>
      </c>
      <c r="CE68" s="3476" t="s">
        <v>3594</v>
      </c>
      <c r="CF68" s="3476" t="s">
        <v>3594</v>
      </c>
      <c r="CG68" s="3476" t="s">
        <v>3594</v>
      </c>
      <c r="CH68" s="3476" t="s">
        <v>3594</v>
      </c>
      <c r="CI68" s="3476" t="s">
        <v>3594</v>
      </c>
      <c r="CJ68" s="3476" t="s">
        <v>3594</v>
      </c>
      <c r="CK68" s="3476" t="s">
        <v>3594</v>
      </c>
      <c r="CL68" s="3476" t="s">
        <v>3594</v>
      </c>
      <c r="CM68" s="3476" t="s">
        <v>3594</v>
      </c>
      <c r="CN68" s="3476" t="s">
        <v>3594</v>
      </c>
    </row>
    <row r="69" spans="1:92" ht="14.1" customHeight="1">
      <c r="A69" s="3475" t="s">
        <v>3704</v>
      </c>
      <c r="B69" s="3475" t="s">
        <v>3705</v>
      </c>
      <c r="C69" s="3475" t="s">
        <v>3723</v>
      </c>
      <c r="D69" s="3475" t="s">
        <v>3707</v>
      </c>
      <c r="E69" s="3475" t="s">
        <v>3708</v>
      </c>
      <c r="F69" s="3475" t="s">
        <v>3583</v>
      </c>
      <c r="G69" s="3475" t="s">
        <v>3584</v>
      </c>
      <c r="H69" s="3475" t="s">
        <v>3719</v>
      </c>
      <c r="I69" s="3475" t="s">
        <v>3612</v>
      </c>
      <c r="J69" s="3475">
        <v>2377.02</v>
      </c>
      <c r="K69" s="3475" t="s">
        <v>3604</v>
      </c>
      <c r="L69" s="3475" t="s">
        <v>3605</v>
      </c>
      <c r="M69" s="3475">
        <v>0.33824599999999999</v>
      </c>
      <c r="N69" s="3475" t="s">
        <v>3598</v>
      </c>
      <c r="O69" s="3475" t="s">
        <v>3590</v>
      </c>
      <c r="P69" s="3475" t="s">
        <v>3594</v>
      </c>
      <c r="Q69" s="3475" t="s">
        <v>3591</v>
      </c>
      <c r="R69" s="3475" t="s">
        <v>3710</v>
      </c>
      <c r="S69" s="3475" t="s">
        <v>3591</v>
      </c>
      <c r="T69" s="3475" t="s">
        <v>3711</v>
      </c>
      <c r="U69" s="3475">
        <v>24924.54</v>
      </c>
      <c r="V69" s="3475">
        <v>22512.49</v>
      </c>
      <c r="W69" s="3475">
        <v>24924.54</v>
      </c>
      <c r="X69" s="3475">
        <v>24120.53</v>
      </c>
      <c r="Y69" s="3475">
        <v>24924.54</v>
      </c>
      <c r="Z69" s="3475">
        <v>24120.53</v>
      </c>
      <c r="AA69" s="3475">
        <v>24924.54</v>
      </c>
      <c r="AB69" s="3475">
        <v>24924.54</v>
      </c>
      <c r="AC69" s="3475">
        <v>24120.53</v>
      </c>
      <c r="AD69" s="3475">
        <v>24924.54</v>
      </c>
      <c r="AE69" s="3475">
        <v>24120.53</v>
      </c>
      <c r="AF69" s="3475">
        <v>24924.54</v>
      </c>
      <c r="AG69" s="3476">
        <v>24924.54</v>
      </c>
      <c r="AH69" s="3476">
        <v>23316.51</v>
      </c>
      <c r="AI69" s="3476">
        <v>24924.54</v>
      </c>
      <c r="AJ69" s="3476">
        <v>24120.53</v>
      </c>
      <c r="AK69" s="3476">
        <v>24924.54</v>
      </c>
      <c r="AL69" s="3476">
        <v>24120.53</v>
      </c>
      <c r="AM69" s="3476">
        <v>24924.54</v>
      </c>
      <c r="AN69" s="3476">
        <v>24924.54</v>
      </c>
      <c r="AO69" s="3476">
        <v>24120.53</v>
      </c>
      <c r="AP69" s="3476">
        <v>24924.54</v>
      </c>
      <c r="AQ69" s="3476">
        <v>24120.53</v>
      </c>
      <c r="AR69" s="3476">
        <v>21708.47</v>
      </c>
      <c r="AS69" s="3476" t="s">
        <v>3594</v>
      </c>
      <c r="AT69" s="3476" t="s">
        <v>3594</v>
      </c>
      <c r="AU69" s="3476" t="s">
        <v>3594</v>
      </c>
      <c r="AV69" s="3476" t="s">
        <v>3594</v>
      </c>
      <c r="AW69" s="3476" t="s">
        <v>3594</v>
      </c>
      <c r="AX69" s="3476" t="s">
        <v>3594</v>
      </c>
      <c r="AY69" s="3476" t="s">
        <v>3594</v>
      </c>
      <c r="AZ69" s="3476" t="s">
        <v>3594</v>
      </c>
      <c r="BA69" s="3476" t="s">
        <v>3594</v>
      </c>
      <c r="BB69" s="3476" t="s">
        <v>3594</v>
      </c>
      <c r="BC69" s="3476" t="s">
        <v>3594</v>
      </c>
      <c r="BD69" s="3476" t="s">
        <v>3594</v>
      </c>
      <c r="BE69" s="3476" t="s">
        <v>3594</v>
      </c>
      <c r="BF69" s="3476" t="s">
        <v>3594</v>
      </c>
      <c r="BG69" s="3476" t="s">
        <v>3594</v>
      </c>
      <c r="BH69" s="3476" t="s">
        <v>3594</v>
      </c>
      <c r="BI69" s="3476" t="s">
        <v>3594</v>
      </c>
      <c r="BJ69" s="3476" t="s">
        <v>3594</v>
      </c>
      <c r="BK69" s="3476" t="s">
        <v>3594</v>
      </c>
      <c r="BL69" s="3476" t="s">
        <v>3594</v>
      </c>
      <c r="BM69" s="3476" t="s">
        <v>3594</v>
      </c>
      <c r="BN69" s="3476" t="s">
        <v>3594</v>
      </c>
      <c r="BO69" s="3476" t="s">
        <v>3594</v>
      </c>
      <c r="BP69" s="3476" t="s">
        <v>3594</v>
      </c>
      <c r="BQ69" s="3476" t="s">
        <v>3594</v>
      </c>
      <c r="BR69" s="3476" t="s">
        <v>3594</v>
      </c>
      <c r="BS69" s="3476" t="s">
        <v>3594</v>
      </c>
      <c r="BT69" s="3476" t="s">
        <v>3594</v>
      </c>
      <c r="BU69" s="3476" t="s">
        <v>3594</v>
      </c>
      <c r="BV69" s="3476" t="s">
        <v>3594</v>
      </c>
      <c r="BW69" s="3476" t="s">
        <v>3594</v>
      </c>
      <c r="BX69" s="3476" t="s">
        <v>3594</v>
      </c>
      <c r="BY69" s="3476" t="s">
        <v>3594</v>
      </c>
      <c r="BZ69" s="3476" t="s">
        <v>3594</v>
      </c>
      <c r="CA69" s="3476" t="s">
        <v>3594</v>
      </c>
      <c r="CB69" s="3476" t="s">
        <v>3594</v>
      </c>
      <c r="CC69" s="3476" t="s">
        <v>3594</v>
      </c>
      <c r="CD69" s="3476" t="s">
        <v>3594</v>
      </c>
      <c r="CE69" s="3476" t="s">
        <v>3594</v>
      </c>
      <c r="CF69" s="3476" t="s">
        <v>3594</v>
      </c>
      <c r="CG69" s="3476" t="s">
        <v>3594</v>
      </c>
      <c r="CH69" s="3476" t="s">
        <v>3594</v>
      </c>
      <c r="CI69" s="3476" t="s">
        <v>3594</v>
      </c>
      <c r="CJ69" s="3476" t="s">
        <v>3594</v>
      </c>
      <c r="CK69" s="3476" t="s">
        <v>3594</v>
      </c>
      <c r="CL69" s="3476" t="s">
        <v>3594</v>
      </c>
      <c r="CM69" s="3476" t="s">
        <v>3594</v>
      </c>
      <c r="CN69" s="3476" t="s">
        <v>3594</v>
      </c>
    </row>
    <row r="70" spans="1:92" ht="14.1" customHeight="1">
      <c r="A70" s="3475" t="s">
        <v>3704</v>
      </c>
      <c r="B70" s="3475" t="s">
        <v>3705</v>
      </c>
      <c r="C70" s="3475" t="s">
        <v>3724</v>
      </c>
      <c r="D70" s="3475" t="s">
        <v>3707</v>
      </c>
      <c r="E70" s="3475" t="s">
        <v>3708</v>
      </c>
      <c r="F70" s="3475" t="s">
        <v>3583</v>
      </c>
      <c r="G70" s="3475" t="s">
        <v>3584</v>
      </c>
      <c r="H70" s="3475" t="s">
        <v>3719</v>
      </c>
      <c r="I70" s="3475" t="s">
        <v>3612</v>
      </c>
      <c r="J70" s="3475">
        <v>2377.02</v>
      </c>
      <c r="K70" s="3475" t="s">
        <v>3604</v>
      </c>
      <c r="L70" s="3475" t="s">
        <v>3605</v>
      </c>
      <c r="M70" s="3475">
        <v>0.35849199999999998</v>
      </c>
      <c r="N70" s="3475" t="s">
        <v>3598</v>
      </c>
      <c r="O70" s="3475" t="s">
        <v>3590</v>
      </c>
      <c r="P70" s="3475" t="s">
        <v>3594</v>
      </c>
      <c r="Q70" s="3475" t="s">
        <v>3714</v>
      </c>
      <c r="R70" s="3475" t="s">
        <v>3711</v>
      </c>
      <c r="S70" s="3475" t="s">
        <v>3591</v>
      </c>
      <c r="T70" s="3475" t="s">
        <v>3711</v>
      </c>
      <c r="U70" s="3475" t="s">
        <v>3594</v>
      </c>
      <c r="V70" s="3475" t="s">
        <v>3594</v>
      </c>
      <c r="W70" s="3475" t="s">
        <v>3594</v>
      </c>
      <c r="X70" s="3475" t="s">
        <v>3594</v>
      </c>
      <c r="Y70" s="3475" t="s">
        <v>3594</v>
      </c>
      <c r="Z70" s="3475" t="s">
        <v>3594</v>
      </c>
      <c r="AA70" s="3475" t="s">
        <v>3594</v>
      </c>
      <c r="AB70" s="3475" t="s">
        <v>3594</v>
      </c>
      <c r="AC70" s="3475" t="s">
        <v>3594</v>
      </c>
      <c r="AD70" s="3475" t="s">
        <v>3594</v>
      </c>
      <c r="AE70" s="3475" t="s">
        <v>3594</v>
      </c>
      <c r="AF70" s="3475" t="s">
        <v>3594</v>
      </c>
      <c r="AG70" s="3476" t="s">
        <v>3594</v>
      </c>
      <c r="AH70" s="3476" t="s">
        <v>3594</v>
      </c>
      <c r="AI70" s="3476" t="s">
        <v>3594</v>
      </c>
      <c r="AJ70" s="3476" t="s">
        <v>3594</v>
      </c>
      <c r="AK70" s="3476" t="s">
        <v>3594</v>
      </c>
      <c r="AL70" s="3476" t="s">
        <v>3594</v>
      </c>
      <c r="AM70" s="3476" t="s">
        <v>3594</v>
      </c>
      <c r="AN70" s="3476" t="s">
        <v>3594</v>
      </c>
      <c r="AO70" s="3476" t="s">
        <v>3594</v>
      </c>
      <c r="AP70" s="3476" t="s">
        <v>3594</v>
      </c>
      <c r="AQ70" s="3476" t="s">
        <v>3594</v>
      </c>
      <c r="AR70" s="3476">
        <v>3408.57</v>
      </c>
      <c r="AS70" s="3476">
        <v>26416.42</v>
      </c>
      <c r="AT70" s="3476">
        <v>23859.99</v>
      </c>
      <c r="AU70" s="3476">
        <v>26416.42</v>
      </c>
      <c r="AV70" s="3476">
        <v>25564.28</v>
      </c>
      <c r="AW70" s="3476">
        <v>26416.42</v>
      </c>
      <c r="AX70" s="3476">
        <v>25564.28</v>
      </c>
      <c r="AY70" s="3476">
        <v>26416.42</v>
      </c>
      <c r="AZ70" s="3476">
        <v>26416.42</v>
      </c>
      <c r="BA70" s="3476">
        <v>25564.28</v>
      </c>
      <c r="BB70" s="3476">
        <v>26416.42</v>
      </c>
      <c r="BC70" s="3476">
        <v>25564.28</v>
      </c>
      <c r="BD70" s="3476">
        <v>26416.42</v>
      </c>
      <c r="BE70" s="3476">
        <v>26416.42</v>
      </c>
      <c r="BF70" s="3476">
        <v>23859.99</v>
      </c>
      <c r="BG70" s="3476">
        <v>26416.42</v>
      </c>
      <c r="BH70" s="3476">
        <v>25564.28</v>
      </c>
      <c r="BI70" s="3476">
        <v>26416.42</v>
      </c>
      <c r="BJ70" s="3476">
        <v>25564.28</v>
      </c>
      <c r="BK70" s="3476">
        <v>26416.42</v>
      </c>
      <c r="BL70" s="3476">
        <v>26416.42</v>
      </c>
      <c r="BM70" s="3476">
        <v>25564.28</v>
      </c>
      <c r="BN70" s="3476">
        <v>26416.42</v>
      </c>
      <c r="BO70" s="3476">
        <v>25564.28</v>
      </c>
      <c r="BP70" s="3476">
        <v>26416.42</v>
      </c>
      <c r="BQ70" s="3476">
        <v>26416.42</v>
      </c>
      <c r="BR70" s="3476">
        <v>23859.99</v>
      </c>
      <c r="BS70" s="3476">
        <v>26416.42</v>
      </c>
      <c r="BT70" s="3476">
        <v>25564.28</v>
      </c>
      <c r="BU70" s="3476">
        <v>26416.42</v>
      </c>
      <c r="BV70" s="3476">
        <v>25564.28</v>
      </c>
      <c r="BW70" s="3476">
        <v>26416.42</v>
      </c>
      <c r="BX70" s="3476">
        <v>26416.42</v>
      </c>
      <c r="BY70" s="3476">
        <v>25564.28</v>
      </c>
      <c r="BZ70" s="3476">
        <v>26416.42</v>
      </c>
      <c r="CA70" s="3476">
        <v>25564.28</v>
      </c>
      <c r="CB70" s="3476">
        <v>23007.85</v>
      </c>
      <c r="CC70" s="3476" t="s">
        <v>3594</v>
      </c>
      <c r="CD70" s="3476" t="s">
        <v>3594</v>
      </c>
      <c r="CE70" s="3476" t="s">
        <v>3594</v>
      </c>
      <c r="CF70" s="3476" t="s">
        <v>3594</v>
      </c>
      <c r="CG70" s="3476" t="s">
        <v>3594</v>
      </c>
      <c r="CH70" s="3476" t="s">
        <v>3594</v>
      </c>
      <c r="CI70" s="3476" t="s">
        <v>3594</v>
      </c>
      <c r="CJ70" s="3476" t="s">
        <v>3594</v>
      </c>
      <c r="CK70" s="3476" t="s">
        <v>3594</v>
      </c>
      <c r="CL70" s="3476" t="s">
        <v>3594</v>
      </c>
      <c r="CM70" s="3476" t="s">
        <v>3594</v>
      </c>
      <c r="CN70" s="3476" t="s">
        <v>3594</v>
      </c>
    </row>
    <row r="71" spans="1:92" ht="14.1" customHeight="1">
      <c r="A71" s="3475" t="s">
        <v>3725</v>
      </c>
      <c r="B71" s="3475" t="s">
        <v>3726</v>
      </c>
      <c r="C71" s="3475" t="s">
        <v>3695</v>
      </c>
      <c r="D71" s="3475" t="s">
        <v>3727</v>
      </c>
      <c r="E71" s="3475" t="s">
        <v>3728</v>
      </c>
      <c r="F71" s="3475" t="s">
        <v>3583</v>
      </c>
      <c r="G71" s="3475" t="s">
        <v>3610</v>
      </c>
      <c r="H71" s="3475" t="s">
        <v>3729</v>
      </c>
      <c r="I71" s="3475" t="s">
        <v>3586</v>
      </c>
      <c r="J71" s="3475">
        <v>2942.05</v>
      </c>
      <c r="K71" s="3475" t="s">
        <v>3587</v>
      </c>
      <c r="L71" s="3475" t="s">
        <v>3588</v>
      </c>
      <c r="M71" s="3475">
        <v>4.9619850000000003</v>
      </c>
      <c r="N71" s="3475" t="s">
        <v>3589</v>
      </c>
      <c r="O71" s="3475" t="s">
        <v>3590</v>
      </c>
      <c r="P71" s="3475">
        <v>949828.19</v>
      </c>
      <c r="Q71" s="3475" t="s">
        <v>3699</v>
      </c>
      <c r="R71" s="3475" t="s">
        <v>3730</v>
      </c>
      <c r="S71" s="3475" t="s">
        <v>3699</v>
      </c>
      <c r="T71" s="3475" t="s">
        <v>3731</v>
      </c>
      <c r="U71" s="3475">
        <v>452550.65</v>
      </c>
      <c r="V71" s="3475">
        <v>408755.42</v>
      </c>
      <c r="W71" s="3475">
        <v>452550.65</v>
      </c>
      <c r="X71" s="3475">
        <v>437952.24</v>
      </c>
      <c r="Y71" s="3475">
        <v>452550.65</v>
      </c>
      <c r="Z71" s="3475" t="s">
        <v>3594</v>
      </c>
      <c r="AA71" s="3475" t="s">
        <v>3594</v>
      </c>
      <c r="AB71" s="3475" t="s">
        <v>3594</v>
      </c>
      <c r="AC71" s="3475" t="s">
        <v>3594</v>
      </c>
      <c r="AD71" s="3475" t="s">
        <v>3594</v>
      </c>
      <c r="AE71" s="3475" t="s">
        <v>3594</v>
      </c>
      <c r="AF71" s="3475" t="s">
        <v>3594</v>
      </c>
      <c r="AG71" s="3476" t="s">
        <v>3594</v>
      </c>
      <c r="AH71" s="3476" t="s">
        <v>3594</v>
      </c>
      <c r="AI71" s="3476" t="s">
        <v>3594</v>
      </c>
      <c r="AJ71" s="3476" t="s">
        <v>3594</v>
      </c>
      <c r="AK71" s="3476" t="s">
        <v>3594</v>
      </c>
      <c r="AL71" s="3476" t="s">
        <v>3594</v>
      </c>
      <c r="AM71" s="3476" t="s">
        <v>3594</v>
      </c>
      <c r="AN71" s="3476" t="s">
        <v>3594</v>
      </c>
      <c r="AO71" s="3476" t="s">
        <v>3594</v>
      </c>
      <c r="AP71" s="3476" t="s">
        <v>3594</v>
      </c>
      <c r="AQ71" s="3476" t="s">
        <v>3594</v>
      </c>
      <c r="AR71" s="3476" t="s">
        <v>3594</v>
      </c>
      <c r="AS71" s="3476" t="s">
        <v>3594</v>
      </c>
      <c r="AT71" s="3476" t="s">
        <v>3594</v>
      </c>
      <c r="AU71" s="3476" t="s">
        <v>3594</v>
      </c>
      <c r="AV71" s="3476" t="s">
        <v>3594</v>
      </c>
      <c r="AW71" s="3476" t="s">
        <v>3594</v>
      </c>
      <c r="AX71" s="3476" t="s">
        <v>3594</v>
      </c>
      <c r="AY71" s="3476" t="s">
        <v>3594</v>
      </c>
      <c r="AZ71" s="3476" t="s">
        <v>3594</v>
      </c>
      <c r="BA71" s="3476" t="s">
        <v>3594</v>
      </c>
      <c r="BB71" s="3476" t="s">
        <v>3594</v>
      </c>
      <c r="BC71" s="3476" t="s">
        <v>3594</v>
      </c>
      <c r="BD71" s="3476" t="s">
        <v>3594</v>
      </c>
      <c r="BE71" s="3476" t="s">
        <v>3594</v>
      </c>
      <c r="BF71" s="3476" t="s">
        <v>3594</v>
      </c>
      <c r="BG71" s="3476" t="s">
        <v>3594</v>
      </c>
      <c r="BH71" s="3476" t="s">
        <v>3594</v>
      </c>
      <c r="BI71" s="3476" t="s">
        <v>3594</v>
      </c>
      <c r="BJ71" s="3476" t="s">
        <v>3594</v>
      </c>
      <c r="BK71" s="3476" t="s">
        <v>3594</v>
      </c>
      <c r="BL71" s="3476" t="s">
        <v>3594</v>
      </c>
      <c r="BM71" s="3476" t="s">
        <v>3594</v>
      </c>
      <c r="BN71" s="3476" t="s">
        <v>3594</v>
      </c>
      <c r="BO71" s="3476" t="s">
        <v>3594</v>
      </c>
      <c r="BP71" s="3476" t="s">
        <v>3594</v>
      </c>
      <c r="BQ71" s="3476" t="s">
        <v>3594</v>
      </c>
      <c r="BR71" s="3476" t="s">
        <v>3594</v>
      </c>
      <c r="BS71" s="3476" t="s">
        <v>3594</v>
      </c>
      <c r="BT71" s="3476" t="s">
        <v>3594</v>
      </c>
      <c r="BU71" s="3476" t="s">
        <v>3594</v>
      </c>
      <c r="BV71" s="3476" t="s">
        <v>3594</v>
      </c>
      <c r="BW71" s="3476" t="s">
        <v>3594</v>
      </c>
      <c r="BX71" s="3476" t="s">
        <v>3594</v>
      </c>
      <c r="BY71" s="3476" t="s">
        <v>3594</v>
      </c>
      <c r="BZ71" s="3476" t="s">
        <v>3594</v>
      </c>
      <c r="CA71" s="3476" t="s">
        <v>3594</v>
      </c>
      <c r="CB71" s="3476" t="s">
        <v>3594</v>
      </c>
      <c r="CC71" s="3476" t="s">
        <v>3594</v>
      </c>
      <c r="CD71" s="3476" t="s">
        <v>3594</v>
      </c>
      <c r="CE71" s="3476" t="s">
        <v>3594</v>
      </c>
      <c r="CF71" s="3476" t="s">
        <v>3594</v>
      </c>
      <c r="CG71" s="3476" t="s">
        <v>3594</v>
      </c>
      <c r="CH71" s="3476" t="s">
        <v>3594</v>
      </c>
      <c r="CI71" s="3476" t="s">
        <v>3594</v>
      </c>
      <c r="CJ71" s="3476" t="s">
        <v>3594</v>
      </c>
      <c r="CK71" s="3476" t="s">
        <v>3594</v>
      </c>
      <c r="CL71" s="3476" t="s">
        <v>3594</v>
      </c>
      <c r="CM71" s="3476" t="s">
        <v>3594</v>
      </c>
      <c r="CN71" s="3476" t="s">
        <v>3594</v>
      </c>
    </row>
    <row r="72" spans="1:92" ht="14.1" customHeight="1">
      <c r="A72" s="3475" t="s">
        <v>3725</v>
      </c>
      <c r="B72" s="3475" t="s">
        <v>3726</v>
      </c>
      <c r="C72" s="3475" t="s">
        <v>3732</v>
      </c>
      <c r="D72" s="3475" t="s">
        <v>3727</v>
      </c>
      <c r="E72" s="3475" t="s">
        <v>3728</v>
      </c>
      <c r="F72" s="3475" t="s">
        <v>3583</v>
      </c>
      <c r="G72" s="3475" t="s">
        <v>3610</v>
      </c>
      <c r="H72" s="3475" t="s">
        <v>3729</v>
      </c>
      <c r="I72" s="3475" t="s">
        <v>3586</v>
      </c>
      <c r="J72" s="3475">
        <v>2942.05</v>
      </c>
      <c r="K72" s="3475" t="s">
        <v>3587</v>
      </c>
      <c r="L72" s="3475" t="s">
        <v>3588</v>
      </c>
      <c r="M72" s="3475">
        <v>-1.9800899999999999</v>
      </c>
      <c r="N72" s="3475" t="s">
        <v>3589</v>
      </c>
      <c r="O72" s="3475" t="s">
        <v>3590</v>
      </c>
      <c r="P72" s="3475" t="s">
        <v>3594</v>
      </c>
      <c r="Q72" s="3475" t="s">
        <v>3699</v>
      </c>
      <c r="R72" s="3475" t="s">
        <v>3730</v>
      </c>
      <c r="S72" s="3475" t="s">
        <v>3699</v>
      </c>
      <c r="T72" s="3475" t="s">
        <v>3731</v>
      </c>
      <c r="U72" s="3475">
        <v>-180591.24</v>
      </c>
      <c r="V72" s="3475">
        <v>-163114.67000000001</v>
      </c>
      <c r="W72" s="3475">
        <v>-180591.24</v>
      </c>
      <c r="X72" s="3475">
        <v>-174765.71</v>
      </c>
      <c r="Y72" s="3475">
        <v>-180591.24</v>
      </c>
      <c r="Z72" s="3475" t="s">
        <v>3594</v>
      </c>
      <c r="AA72" s="3475" t="s">
        <v>3594</v>
      </c>
      <c r="AB72" s="3475" t="s">
        <v>3594</v>
      </c>
      <c r="AC72" s="3475" t="s">
        <v>3594</v>
      </c>
      <c r="AD72" s="3475" t="s">
        <v>3594</v>
      </c>
      <c r="AE72" s="3475" t="s">
        <v>3594</v>
      </c>
      <c r="AF72" s="3475" t="s">
        <v>3594</v>
      </c>
      <c r="AG72" s="3476" t="s">
        <v>3594</v>
      </c>
      <c r="AH72" s="3476" t="s">
        <v>3594</v>
      </c>
      <c r="AI72" s="3476" t="s">
        <v>3594</v>
      </c>
      <c r="AJ72" s="3476" t="s">
        <v>3594</v>
      </c>
      <c r="AK72" s="3476" t="s">
        <v>3594</v>
      </c>
      <c r="AL72" s="3476" t="s">
        <v>3594</v>
      </c>
      <c r="AM72" s="3476" t="s">
        <v>3594</v>
      </c>
      <c r="AN72" s="3476" t="s">
        <v>3594</v>
      </c>
      <c r="AO72" s="3476" t="s">
        <v>3594</v>
      </c>
      <c r="AP72" s="3476" t="s">
        <v>3594</v>
      </c>
      <c r="AQ72" s="3476" t="s">
        <v>3594</v>
      </c>
      <c r="AR72" s="3476" t="s">
        <v>3594</v>
      </c>
      <c r="AS72" s="3476" t="s">
        <v>3594</v>
      </c>
      <c r="AT72" s="3476" t="s">
        <v>3594</v>
      </c>
      <c r="AU72" s="3476" t="s">
        <v>3594</v>
      </c>
      <c r="AV72" s="3476" t="s">
        <v>3594</v>
      </c>
      <c r="AW72" s="3476" t="s">
        <v>3594</v>
      </c>
      <c r="AX72" s="3476" t="s">
        <v>3594</v>
      </c>
      <c r="AY72" s="3476" t="s">
        <v>3594</v>
      </c>
      <c r="AZ72" s="3476" t="s">
        <v>3594</v>
      </c>
      <c r="BA72" s="3476" t="s">
        <v>3594</v>
      </c>
      <c r="BB72" s="3476" t="s">
        <v>3594</v>
      </c>
      <c r="BC72" s="3476" t="s">
        <v>3594</v>
      </c>
      <c r="BD72" s="3476" t="s">
        <v>3594</v>
      </c>
      <c r="BE72" s="3476" t="s">
        <v>3594</v>
      </c>
      <c r="BF72" s="3476" t="s">
        <v>3594</v>
      </c>
      <c r="BG72" s="3476" t="s">
        <v>3594</v>
      </c>
      <c r="BH72" s="3476" t="s">
        <v>3594</v>
      </c>
      <c r="BI72" s="3476" t="s">
        <v>3594</v>
      </c>
      <c r="BJ72" s="3476" t="s">
        <v>3594</v>
      </c>
      <c r="BK72" s="3476" t="s">
        <v>3594</v>
      </c>
      <c r="BL72" s="3476" t="s">
        <v>3594</v>
      </c>
      <c r="BM72" s="3476" t="s">
        <v>3594</v>
      </c>
      <c r="BN72" s="3476" t="s">
        <v>3594</v>
      </c>
      <c r="BO72" s="3476" t="s">
        <v>3594</v>
      </c>
      <c r="BP72" s="3476" t="s">
        <v>3594</v>
      </c>
      <c r="BQ72" s="3476" t="s">
        <v>3594</v>
      </c>
      <c r="BR72" s="3476" t="s">
        <v>3594</v>
      </c>
      <c r="BS72" s="3476" t="s">
        <v>3594</v>
      </c>
      <c r="BT72" s="3476" t="s">
        <v>3594</v>
      </c>
      <c r="BU72" s="3476" t="s">
        <v>3594</v>
      </c>
      <c r="BV72" s="3476" t="s">
        <v>3594</v>
      </c>
      <c r="BW72" s="3476" t="s">
        <v>3594</v>
      </c>
      <c r="BX72" s="3476" t="s">
        <v>3594</v>
      </c>
      <c r="BY72" s="3476" t="s">
        <v>3594</v>
      </c>
      <c r="BZ72" s="3476" t="s">
        <v>3594</v>
      </c>
      <c r="CA72" s="3476" t="s">
        <v>3594</v>
      </c>
      <c r="CB72" s="3476" t="s">
        <v>3594</v>
      </c>
      <c r="CC72" s="3476" t="s">
        <v>3594</v>
      </c>
      <c r="CD72" s="3476" t="s">
        <v>3594</v>
      </c>
      <c r="CE72" s="3476" t="s">
        <v>3594</v>
      </c>
      <c r="CF72" s="3476" t="s">
        <v>3594</v>
      </c>
      <c r="CG72" s="3476" t="s">
        <v>3594</v>
      </c>
      <c r="CH72" s="3476" t="s">
        <v>3594</v>
      </c>
      <c r="CI72" s="3476" t="s">
        <v>3594</v>
      </c>
      <c r="CJ72" s="3476" t="s">
        <v>3594</v>
      </c>
      <c r="CK72" s="3476" t="s">
        <v>3594</v>
      </c>
      <c r="CL72" s="3476" t="s">
        <v>3594</v>
      </c>
      <c r="CM72" s="3476" t="s">
        <v>3594</v>
      </c>
      <c r="CN72" s="3476" t="s">
        <v>3594</v>
      </c>
    </row>
    <row r="73" spans="1:92" ht="14.1" customHeight="1">
      <c r="A73" s="3475" t="s">
        <v>3725</v>
      </c>
      <c r="B73" s="3475" t="s">
        <v>3726</v>
      </c>
      <c r="C73" s="3475" t="s">
        <v>3733</v>
      </c>
      <c r="D73" s="3475" t="s">
        <v>3727</v>
      </c>
      <c r="E73" s="3475" t="s">
        <v>3728</v>
      </c>
      <c r="F73" s="3475" t="s">
        <v>3583</v>
      </c>
      <c r="G73" s="3475" t="s">
        <v>3610</v>
      </c>
      <c r="H73" s="3475" t="s">
        <v>3729</v>
      </c>
      <c r="I73" s="3475" t="s">
        <v>3586</v>
      </c>
      <c r="J73" s="3475">
        <v>2942.05</v>
      </c>
      <c r="K73" s="3475" t="s">
        <v>3587</v>
      </c>
      <c r="L73" s="3475" t="s">
        <v>3588</v>
      </c>
      <c r="M73" s="3475">
        <v>-2.103885</v>
      </c>
      <c r="N73" s="3475" t="s">
        <v>3589</v>
      </c>
      <c r="O73" s="3475" t="s">
        <v>3590</v>
      </c>
      <c r="P73" s="3475" t="s">
        <v>3594</v>
      </c>
      <c r="Q73" s="3475" t="s">
        <v>3734</v>
      </c>
      <c r="R73" s="3475" t="s">
        <v>3735</v>
      </c>
      <c r="S73" s="3475" t="s">
        <v>3699</v>
      </c>
      <c r="T73" s="3475" t="s">
        <v>3731</v>
      </c>
      <c r="U73" s="3475" t="s">
        <v>3594</v>
      </c>
      <c r="V73" s="3475" t="s">
        <v>3594</v>
      </c>
      <c r="W73" s="3475" t="s">
        <v>3594</v>
      </c>
      <c r="X73" s="3475" t="s">
        <v>3594</v>
      </c>
      <c r="Y73" s="3475" t="s">
        <v>3594</v>
      </c>
      <c r="Z73" s="3475">
        <v>-185692.05</v>
      </c>
      <c r="AA73" s="3475">
        <v>-191881.78</v>
      </c>
      <c r="AB73" s="3475">
        <v>-191881.78</v>
      </c>
      <c r="AC73" s="3475">
        <v>-185692.05</v>
      </c>
      <c r="AD73" s="3475">
        <v>-191881.78</v>
      </c>
      <c r="AE73" s="3475">
        <v>-185692.05</v>
      </c>
      <c r="AF73" s="3475">
        <v>-191881.78</v>
      </c>
      <c r="AG73" s="3476">
        <v>-191881.78</v>
      </c>
      <c r="AH73" s="3476">
        <v>-179502.31</v>
      </c>
      <c r="AI73" s="3476">
        <v>-191881.78</v>
      </c>
      <c r="AJ73" s="3476">
        <v>-185692.05</v>
      </c>
      <c r="AK73" s="3476">
        <v>-191881.78</v>
      </c>
      <c r="AL73" s="3476" t="s">
        <v>3594</v>
      </c>
      <c r="AM73" s="3476" t="s">
        <v>3594</v>
      </c>
      <c r="AN73" s="3476" t="s">
        <v>3594</v>
      </c>
      <c r="AO73" s="3476" t="s">
        <v>3594</v>
      </c>
      <c r="AP73" s="3476" t="s">
        <v>3594</v>
      </c>
      <c r="AQ73" s="3476" t="s">
        <v>3594</v>
      </c>
      <c r="AR73" s="3476" t="s">
        <v>3594</v>
      </c>
      <c r="AS73" s="3476" t="s">
        <v>3594</v>
      </c>
      <c r="AT73" s="3476" t="s">
        <v>3594</v>
      </c>
      <c r="AU73" s="3476" t="s">
        <v>3594</v>
      </c>
      <c r="AV73" s="3476" t="s">
        <v>3594</v>
      </c>
      <c r="AW73" s="3476" t="s">
        <v>3594</v>
      </c>
      <c r="AX73" s="3476" t="s">
        <v>3594</v>
      </c>
      <c r="AY73" s="3476" t="s">
        <v>3594</v>
      </c>
      <c r="AZ73" s="3476" t="s">
        <v>3594</v>
      </c>
      <c r="BA73" s="3476" t="s">
        <v>3594</v>
      </c>
      <c r="BB73" s="3476" t="s">
        <v>3594</v>
      </c>
      <c r="BC73" s="3476" t="s">
        <v>3594</v>
      </c>
      <c r="BD73" s="3476" t="s">
        <v>3594</v>
      </c>
      <c r="BE73" s="3476" t="s">
        <v>3594</v>
      </c>
      <c r="BF73" s="3476" t="s">
        <v>3594</v>
      </c>
      <c r="BG73" s="3476" t="s">
        <v>3594</v>
      </c>
      <c r="BH73" s="3476" t="s">
        <v>3594</v>
      </c>
      <c r="BI73" s="3476" t="s">
        <v>3594</v>
      </c>
      <c r="BJ73" s="3476" t="s">
        <v>3594</v>
      </c>
      <c r="BK73" s="3476" t="s">
        <v>3594</v>
      </c>
      <c r="BL73" s="3476" t="s">
        <v>3594</v>
      </c>
      <c r="BM73" s="3476" t="s">
        <v>3594</v>
      </c>
      <c r="BN73" s="3476" t="s">
        <v>3594</v>
      </c>
      <c r="BO73" s="3476" t="s">
        <v>3594</v>
      </c>
      <c r="BP73" s="3476" t="s">
        <v>3594</v>
      </c>
      <c r="BQ73" s="3476" t="s">
        <v>3594</v>
      </c>
      <c r="BR73" s="3476" t="s">
        <v>3594</v>
      </c>
      <c r="BS73" s="3476" t="s">
        <v>3594</v>
      </c>
      <c r="BT73" s="3476" t="s">
        <v>3594</v>
      </c>
      <c r="BU73" s="3476" t="s">
        <v>3594</v>
      </c>
      <c r="BV73" s="3476" t="s">
        <v>3594</v>
      </c>
      <c r="BW73" s="3476" t="s">
        <v>3594</v>
      </c>
      <c r="BX73" s="3476" t="s">
        <v>3594</v>
      </c>
      <c r="BY73" s="3476" t="s">
        <v>3594</v>
      </c>
      <c r="BZ73" s="3476" t="s">
        <v>3594</v>
      </c>
      <c r="CA73" s="3476" t="s">
        <v>3594</v>
      </c>
      <c r="CB73" s="3476" t="s">
        <v>3594</v>
      </c>
      <c r="CC73" s="3476" t="s">
        <v>3594</v>
      </c>
      <c r="CD73" s="3476" t="s">
        <v>3594</v>
      </c>
      <c r="CE73" s="3476" t="s">
        <v>3594</v>
      </c>
      <c r="CF73" s="3476" t="s">
        <v>3594</v>
      </c>
      <c r="CG73" s="3476" t="s">
        <v>3594</v>
      </c>
      <c r="CH73" s="3476" t="s">
        <v>3594</v>
      </c>
      <c r="CI73" s="3476" t="s">
        <v>3594</v>
      </c>
      <c r="CJ73" s="3476" t="s">
        <v>3594</v>
      </c>
      <c r="CK73" s="3476" t="s">
        <v>3594</v>
      </c>
      <c r="CL73" s="3476" t="s">
        <v>3594</v>
      </c>
      <c r="CM73" s="3476" t="s">
        <v>3594</v>
      </c>
      <c r="CN73" s="3476" t="s">
        <v>3594</v>
      </c>
    </row>
    <row r="74" spans="1:92" ht="14.1" customHeight="1">
      <c r="A74" s="3475" t="s">
        <v>3725</v>
      </c>
      <c r="B74" s="3475" t="s">
        <v>3726</v>
      </c>
      <c r="C74" s="3475" t="s">
        <v>3736</v>
      </c>
      <c r="D74" s="3475" t="s">
        <v>3727</v>
      </c>
      <c r="E74" s="3475" t="s">
        <v>3728</v>
      </c>
      <c r="F74" s="3475" t="s">
        <v>3583</v>
      </c>
      <c r="G74" s="3475" t="s">
        <v>3610</v>
      </c>
      <c r="H74" s="3475" t="s">
        <v>3729</v>
      </c>
      <c r="I74" s="3475" t="s">
        <v>3586</v>
      </c>
      <c r="J74" s="3475">
        <v>2942.05</v>
      </c>
      <c r="K74" s="3475" t="s">
        <v>3587</v>
      </c>
      <c r="L74" s="3475" t="s">
        <v>3588</v>
      </c>
      <c r="M74" s="3475">
        <v>5.2596600000000002</v>
      </c>
      <c r="N74" s="3475" t="s">
        <v>3589</v>
      </c>
      <c r="O74" s="3475" t="s">
        <v>3590</v>
      </c>
      <c r="P74" s="3475" t="s">
        <v>3594</v>
      </c>
      <c r="Q74" s="3475" t="s">
        <v>3734</v>
      </c>
      <c r="R74" s="3475" t="s">
        <v>3735</v>
      </c>
      <c r="S74" s="3475" t="s">
        <v>3699</v>
      </c>
      <c r="T74" s="3475" t="s">
        <v>3731</v>
      </c>
      <c r="U74" s="3475" t="s">
        <v>3594</v>
      </c>
      <c r="V74" s="3475" t="s">
        <v>3594</v>
      </c>
      <c r="W74" s="3475" t="s">
        <v>3594</v>
      </c>
      <c r="X74" s="3475" t="s">
        <v>3594</v>
      </c>
      <c r="Y74" s="3475" t="s">
        <v>3594</v>
      </c>
      <c r="Z74" s="3475">
        <v>464225.48</v>
      </c>
      <c r="AA74" s="3475">
        <v>479699.66</v>
      </c>
      <c r="AB74" s="3475">
        <v>479699.66</v>
      </c>
      <c r="AC74" s="3475">
        <v>464225.48</v>
      </c>
      <c r="AD74" s="3475">
        <v>479699.66</v>
      </c>
      <c r="AE74" s="3475">
        <v>464225.48</v>
      </c>
      <c r="AF74" s="3475">
        <v>479699.66</v>
      </c>
      <c r="AG74" s="3476">
        <v>479699.66</v>
      </c>
      <c r="AH74" s="3476">
        <v>448751.3</v>
      </c>
      <c r="AI74" s="3476">
        <v>479699.66</v>
      </c>
      <c r="AJ74" s="3476">
        <v>464225.48</v>
      </c>
      <c r="AK74" s="3476">
        <v>479699.66</v>
      </c>
      <c r="AL74" s="3476" t="s">
        <v>3594</v>
      </c>
      <c r="AM74" s="3476" t="s">
        <v>3594</v>
      </c>
      <c r="AN74" s="3476" t="s">
        <v>3594</v>
      </c>
      <c r="AO74" s="3476" t="s">
        <v>3594</v>
      </c>
      <c r="AP74" s="3476" t="s">
        <v>3594</v>
      </c>
      <c r="AQ74" s="3476" t="s">
        <v>3594</v>
      </c>
      <c r="AR74" s="3476" t="s">
        <v>3594</v>
      </c>
      <c r="AS74" s="3476" t="s">
        <v>3594</v>
      </c>
      <c r="AT74" s="3476" t="s">
        <v>3594</v>
      </c>
      <c r="AU74" s="3476" t="s">
        <v>3594</v>
      </c>
      <c r="AV74" s="3476" t="s">
        <v>3594</v>
      </c>
      <c r="AW74" s="3476" t="s">
        <v>3594</v>
      </c>
      <c r="AX74" s="3476" t="s">
        <v>3594</v>
      </c>
      <c r="AY74" s="3476" t="s">
        <v>3594</v>
      </c>
      <c r="AZ74" s="3476" t="s">
        <v>3594</v>
      </c>
      <c r="BA74" s="3476" t="s">
        <v>3594</v>
      </c>
      <c r="BB74" s="3476" t="s">
        <v>3594</v>
      </c>
      <c r="BC74" s="3476" t="s">
        <v>3594</v>
      </c>
      <c r="BD74" s="3476" t="s">
        <v>3594</v>
      </c>
      <c r="BE74" s="3476" t="s">
        <v>3594</v>
      </c>
      <c r="BF74" s="3476" t="s">
        <v>3594</v>
      </c>
      <c r="BG74" s="3476" t="s">
        <v>3594</v>
      </c>
      <c r="BH74" s="3476" t="s">
        <v>3594</v>
      </c>
      <c r="BI74" s="3476" t="s">
        <v>3594</v>
      </c>
      <c r="BJ74" s="3476" t="s">
        <v>3594</v>
      </c>
      <c r="BK74" s="3476" t="s">
        <v>3594</v>
      </c>
      <c r="BL74" s="3476" t="s">
        <v>3594</v>
      </c>
      <c r="BM74" s="3476" t="s">
        <v>3594</v>
      </c>
      <c r="BN74" s="3476" t="s">
        <v>3594</v>
      </c>
      <c r="BO74" s="3476" t="s">
        <v>3594</v>
      </c>
      <c r="BP74" s="3476" t="s">
        <v>3594</v>
      </c>
      <c r="BQ74" s="3476" t="s">
        <v>3594</v>
      </c>
      <c r="BR74" s="3476" t="s">
        <v>3594</v>
      </c>
      <c r="BS74" s="3476" t="s">
        <v>3594</v>
      </c>
      <c r="BT74" s="3476" t="s">
        <v>3594</v>
      </c>
      <c r="BU74" s="3476" t="s">
        <v>3594</v>
      </c>
      <c r="BV74" s="3476" t="s">
        <v>3594</v>
      </c>
      <c r="BW74" s="3476" t="s">
        <v>3594</v>
      </c>
      <c r="BX74" s="3476" t="s">
        <v>3594</v>
      </c>
      <c r="BY74" s="3476" t="s">
        <v>3594</v>
      </c>
      <c r="BZ74" s="3476" t="s">
        <v>3594</v>
      </c>
      <c r="CA74" s="3476" t="s">
        <v>3594</v>
      </c>
      <c r="CB74" s="3476" t="s">
        <v>3594</v>
      </c>
      <c r="CC74" s="3476" t="s">
        <v>3594</v>
      </c>
      <c r="CD74" s="3476" t="s">
        <v>3594</v>
      </c>
      <c r="CE74" s="3476" t="s">
        <v>3594</v>
      </c>
      <c r="CF74" s="3476" t="s">
        <v>3594</v>
      </c>
      <c r="CG74" s="3476" t="s">
        <v>3594</v>
      </c>
      <c r="CH74" s="3476" t="s">
        <v>3594</v>
      </c>
      <c r="CI74" s="3476" t="s">
        <v>3594</v>
      </c>
      <c r="CJ74" s="3476" t="s">
        <v>3594</v>
      </c>
      <c r="CK74" s="3476" t="s">
        <v>3594</v>
      </c>
      <c r="CL74" s="3476" t="s">
        <v>3594</v>
      </c>
      <c r="CM74" s="3476" t="s">
        <v>3594</v>
      </c>
      <c r="CN74" s="3476" t="s">
        <v>3594</v>
      </c>
    </row>
    <row r="75" spans="1:92" ht="14.1" customHeight="1">
      <c r="A75" s="3475" t="s">
        <v>3725</v>
      </c>
      <c r="B75" s="3475" t="s">
        <v>3726</v>
      </c>
      <c r="C75" s="3475" t="s">
        <v>3737</v>
      </c>
      <c r="D75" s="3475" t="s">
        <v>3727</v>
      </c>
      <c r="E75" s="3475" t="s">
        <v>3728</v>
      </c>
      <c r="F75" s="3475" t="s">
        <v>3583</v>
      </c>
      <c r="G75" s="3475" t="s">
        <v>3610</v>
      </c>
      <c r="H75" s="3475" t="s">
        <v>3729</v>
      </c>
      <c r="I75" s="3475" t="s">
        <v>3586</v>
      </c>
      <c r="J75" s="3475">
        <v>2942.05</v>
      </c>
      <c r="K75" s="3475" t="s">
        <v>3587</v>
      </c>
      <c r="L75" s="3475" t="s">
        <v>3588</v>
      </c>
      <c r="M75" s="3475">
        <v>5.5752899999999999</v>
      </c>
      <c r="N75" s="3475" t="s">
        <v>3589</v>
      </c>
      <c r="O75" s="3475" t="s">
        <v>3590</v>
      </c>
      <c r="P75" s="3475" t="s">
        <v>3594</v>
      </c>
      <c r="Q75" s="3475" t="s">
        <v>3738</v>
      </c>
      <c r="R75" s="3475" t="s">
        <v>3731</v>
      </c>
      <c r="S75" s="3475" t="s">
        <v>3699</v>
      </c>
      <c r="T75" s="3475" t="s">
        <v>3731</v>
      </c>
      <c r="U75" s="3475" t="s">
        <v>3594</v>
      </c>
      <c r="V75" s="3475" t="s">
        <v>3594</v>
      </c>
      <c r="W75" s="3475" t="s">
        <v>3594</v>
      </c>
      <c r="X75" s="3475" t="s">
        <v>3594</v>
      </c>
      <c r="Y75" s="3475" t="s">
        <v>3594</v>
      </c>
      <c r="Z75" s="3475" t="s">
        <v>3594</v>
      </c>
      <c r="AA75" s="3475" t="s">
        <v>3594</v>
      </c>
      <c r="AB75" s="3475" t="s">
        <v>3594</v>
      </c>
      <c r="AC75" s="3475" t="s">
        <v>3594</v>
      </c>
      <c r="AD75" s="3475" t="s">
        <v>3594</v>
      </c>
      <c r="AE75" s="3475" t="s">
        <v>3594</v>
      </c>
      <c r="AF75" s="3475" t="s">
        <v>3594</v>
      </c>
      <c r="AG75" s="3476" t="s">
        <v>3594</v>
      </c>
      <c r="AH75" s="3476" t="s">
        <v>3594</v>
      </c>
      <c r="AI75" s="3476" t="s">
        <v>3594</v>
      </c>
      <c r="AJ75" s="3476" t="s">
        <v>3594</v>
      </c>
      <c r="AK75" s="3476" t="s">
        <v>3594</v>
      </c>
      <c r="AL75" s="3476">
        <v>492083.46</v>
      </c>
      <c r="AM75" s="3476">
        <v>508486.24</v>
      </c>
      <c r="AN75" s="3476">
        <v>508486.24</v>
      </c>
      <c r="AO75" s="3476">
        <v>492083.46</v>
      </c>
      <c r="AP75" s="3476">
        <v>508486.24</v>
      </c>
      <c r="AQ75" s="3476">
        <v>492083.46</v>
      </c>
      <c r="AR75" s="3476">
        <v>508486.24</v>
      </c>
      <c r="AS75" s="3476">
        <v>508486.24</v>
      </c>
      <c r="AT75" s="3476">
        <v>459277.89</v>
      </c>
      <c r="AU75" s="3476">
        <v>508486.24</v>
      </c>
      <c r="AV75" s="3476">
        <v>492083.46</v>
      </c>
      <c r="AW75" s="3476">
        <v>508486.24</v>
      </c>
      <c r="AX75" s="3476" t="s">
        <v>3594</v>
      </c>
      <c r="AY75" s="3476" t="s">
        <v>3594</v>
      </c>
      <c r="AZ75" s="3476" t="s">
        <v>3594</v>
      </c>
      <c r="BA75" s="3476" t="s">
        <v>3594</v>
      </c>
      <c r="BB75" s="3476" t="s">
        <v>3594</v>
      </c>
      <c r="BC75" s="3476" t="s">
        <v>3594</v>
      </c>
      <c r="BD75" s="3476" t="s">
        <v>3594</v>
      </c>
      <c r="BE75" s="3476" t="s">
        <v>3594</v>
      </c>
      <c r="BF75" s="3476" t="s">
        <v>3594</v>
      </c>
      <c r="BG75" s="3476" t="s">
        <v>3594</v>
      </c>
      <c r="BH75" s="3476" t="s">
        <v>3594</v>
      </c>
      <c r="BI75" s="3476" t="s">
        <v>3594</v>
      </c>
      <c r="BJ75" s="3476" t="s">
        <v>3594</v>
      </c>
      <c r="BK75" s="3476" t="s">
        <v>3594</v>
      </c>
      <c r="BL75" s="3476" t="s">
        <v>3594</v>
      </c>
      <c r="BM75" s="3476" t="s">
        <v>3594</v>
      </c>
      <c r="BN75" s="3476" t="s">
        <v>3594</v>
      </c>
      <c r="BO75" s="3476" t="s">
        <v>3594</v>
      </c>
      <c r="BP75" s="3476" t="s">
        <v>3594</v>
      </c>
      <c r="BQ75" s="3476" t="s">
        <v>3594</v>
      </c>
      <c r="BR75" s="3476" t="s">
        <v>3594</v>
      </c>
      <c r="BS75" s="3476" t="s">
        <v>3594</v>
      </c>
      <c r="BT75" s="3476" t="s">
        <v>3594</v>
      </c>
      <c r="BU75" s="3476" t="s">
        <v>3594</v>
      </c>
      <c r="BV75" s="3476" t="s">
        <v>3594</v>
      </c>
      <c r="BW75" s="3476" t="s">
        <v>3594</v>
      </c>
      <c r="BX75" s="3476" t="s">
        <v>3594</v>
      </c>
      <c r="BY75" s="3476" t="s">
        <v>3594</v>
      </c>
      <c r="BZ75" s="3476" t="s">
        <v>3594</v>
      </c>
      <c r="CA75" s="3476" t="s">
        <v>3594</v>
      </c>
      <c r="CB75" s="3476" t="s">
        <v>3594</v>
      </c>
      <c r="CC75" s="3476" t="s">
        <v>3594</v>
      </c>
      <c r="CD75" s="3476" t="s">
        <v>3594</v>
      </c>
      <c r="CE75" s="3476" t="s">
        <v>3594</v>
      </c>
      <c r="CF75" s="3476" t="s">
        <v>3594</v>
      </c>
      <c r="CG75" s="3476" t="s">
        <v>3594</v>
      </c>
      <c r="CH75" s="3476" t="s">
        <v>3594</v>
      </c>
      <c r="CI75" s="3476" t="s">
        <v>3594</v>
      </c>
      <c r="CJ75" s="3476" t="s">
        <v>3594</v>
      </c>
      <c r="CK75" s="3476" t="s">
        <v>3594</v>
      </c>
      <c r="CL75" s="3476" t="s">
        <v>3594</v>
      </c>
      <c r="CM75" s="3476" t="s">
        <v>3594</v>
      </c>
      <c r="CN75" s="3476" t="s">
        <v>3594</v>
      </c>
    </row>
    <row r="76" spans="1:92" ht="14.1" customHeight="1">
      <c r="A76" s="3475" t="s">
        <v>3725</v>
      </c>
      <c r="B76" s="3475" t="s">
        <v>3726</v>
      </c>
      <c r="C76" s="3475" t="s">
        <v>3739</v>
      </c>
      <c r="D76" s="3475" t="s">
        <v>3727</v>
      </c>
      <c r="E76" s="3475" t="s">
        <v>3728</v>
      </c>
      <c r="F76" s="3475" t="s">
        <v>3583</v>
      </c>
      <c r="G76" s="3475" t="s">
        <v>3610</v>
      </c>
      <c r="H76" s="3475" t="s">
        <v>3729</v>
      </c>
      <c r="I76" s="3475" t="s">
        <v>3586</v>
      </c>
      <c r="J76" s="3475">
        <v>2942.05</v>
      </c>
      <c r="K76" s="3475" t="s">
        <v>3587</v>
      </c>
      <c r="L76" s="3475" t="s">
        <v>3588</v>
      </c>
      <c r="M76" s="3475">
        <v>-2.2300949999999999</v>
      </c>
      <c r="N76" s="3475" t="s">
        <v>3589</v>
      </c>
      <c r="O76" s="3475" t="s">
        <v>3590</v>
      </c>
      <c r="P76" s="3475" t="s">
        <v>3594</v>
      </c>
      <c r="Q76" s="3475" t="s">
        <v>3738</v>
      </c>
      <c r="R76" s="3475" t="s">
        <v>3731</v>
      </c>
      <c r="S76" s="3475" t="s">
        <v>3699</v>
      </c>
      <c r="T76" s="3475" t="s">
        <v>3731</v>
      </c>
      <c r="U76" s="3475" t="s">
        <v>3594</v>
      </c>
      <c r="V76" s="3475" t="s">
        <v>3594</v>
      </c>
      <c r="W76" s="3475" t="s">
        <v>3594</v>
      </c>
      <c r="X76" s="3475" t="s">
        <v>3594</v>
      </c>
      <c r="Y76" s="3475" t="s">
        <v>3594</v>
      </c>
      <c r="Z76" s="3475" t="s">
        <v>3594</v>
      </c>
      <c r="AA76" s="3475" t="s">
        <v>3594</v>
      </c>
      <c r="AB76" s="3475" t="s">
        <v>3594</v>
      </c>
      <c r="AC76" s="3475" t="s">
        <v>3594</v>
      </c>
      <c r="AD76" s="3475" t="s">
        <v>3594</v>
      </c>
      <c r="AE76" s="3475" t="s">
        <v>3594</v>
      </c>
      <c r="AF76" s="3475" t="s">
        <v>3594</v>
      </c>
      <c r="AG76" s="3476" t="s">
        <v>3594</v>
      </c>
      <c r="AH76" s="3476" t="s">
        <v>3594</v>
      </c>
      <c r="AI76" s="3476" t="s">
        <v>3594</v>
      </c>
      <c r="AJ76" s="3476" t="s">
        <v>3594</v>
      </c>
      <c r="AK76" s="3476" t="s">
        <v>3594</v>
      </c>
      <c r="AL76" s="3476">
        <v>-196831.53</v>
      </c>
      <c r="AM76" s="3476">
        <v>-203392.58</v>
      </c>
      <c r="AN76" s="3476">
        <v>-203392.58</v>
      </c>
      <c r="AO76" s="3476">
        <v>-196831.53</v>
      </c>
      <c r="AP76" s="3476">
        <v>-203392.58</v>
      </c>
      <c r="AQ76" s="3476">
        <v>-196831.53</v>
      </c>
      <c r="AR76" s="3476">
        <v>-203392.58</v>
      </c>
      <c r="AS76" s="3476">
        <v>-203392.58</v>
      </c>
      <c r="AT76" s="3476">
        <v>-183709.43</v>
      </c>
      <c r="AU76" s="3476">
        <v>-203392.58</v>
      </c>
      <c r="AV76" s="3476">
        <v>-196831.53</v>
      </c>
      <c r="AW76" s="3476">
        <v>-203392.58</v>
      </c>
      <c r="AX76" s="3476" t="s">
        <v>3594</v>
      </c>
      <c r="AY76" s="3476" t="s">
        <v>3594</v>
      </c>
      <c r="AZ76" s="3476" t="s">
        <v>3594</v>
      </c>
      <c r="BA76" s="3476" t="s">
        <v>3594</v>
      </c>
      <c r="BB76" s="3476" t="s">
        <v>3594</v>
      </c>
      <c r="BC76" s="3476" t="s">
        <v>3594</v>
      </c>
      <c r="BD76" s="3476" t="s">
        <v>3594</v>
      </c>
      <c r="BE76" s="3476" t="s">
        <v>3594</v>
      </c>
      <c r="BF76" s="3476" t="s">
        <v>3594</v>
      </c>
      <c r="BG76" s="3476" t="s">
        <v>3594</v>
      </c>
      <c r="BH76" s="3476" t="s">
        <v>3594</v>
      </c>
      <c r="BI76" s="3476" t="s">
        <v>3594</v>
      </c>
      <c r="BJ76" s="3476" t="s">
        <v>3594</v>
      </c>
      <c r="BK76" s="3476" t="s">
        <v>3594</v>
      </c>
      <c r="BL76" s="3476" t="s">
        <v>3594</v>
      </c>
      <c r="BM76" s="3476" t="s">
        <v>3594</v>
      </c>
      <c r="BN76" s="3476" t="s">
        <v>3594</v>
      </c>
      <c r="BO76" s="3476" t="s">
        <v>3594</v>
      </c>
      <c r="BP76" s="3476" t="s">
        <v>3594</v>
      </c>
      <c r="BQ76" s="3476" t="s">
        <v>3594</v>
      </c>
      <c r="BR76" s="3476" t="s">
        <v>3594</v>
      </c>
      <c r="BS76" s="3476" t="s">
        <v>3594</v>
      </c>
      <c r="BT76" s="3476" t="s">
        <v>3594</v>
      </c>
      <c r="BU76" s="3476" t="s">
        <v>3594</v>
      </c>
      <c r="BV76" s="3476" t="s">
        <v>3594</v>
      </c>
      <c r="BW76" s="3476" t="s">
        <v>3594</v>
      </c>
      <c r="BX76" s="3476" t="s">
        <v>3594</v>
      </c>
      <c r="BY76" s="3476" t="s">
        <v>3594</v>
      </c>
      <c r="BZ76" s="3476" t="s">
        <v>3594</v>
      </c>
      <c r="CA76" s="3476" t="s">
        <v>3594</v>
      </c>
      <c r="CB76" s="3476" t="s">
        <v>3594</v>
      </c>
      <c r="CC76" s="3476" t="s">
        <v>3594</v>
      </c>
      <c r="CD76" s="3476" t="s">
        <v>3594</v>
      </c>
      <c r="CE76" s="3476" t="s">
        <v>3594</v>
      </c>
      <c r="CF76" s="3476" t="s">
        <v>3594</v>
      </c>
      <c r="CG76" s="3476" t="s">
        <v>3594</v>
      </c>
      <c r="CH76" s="3476" t="s">
        <v>3594</v>
      </c>
      <c r="CI76" s="3476" t="s">
        <v>3594</v>
      </c>
      <c r="CJ76" s="3476" t="s">
        <v>3594</v>
      </c>
      <c r="CK76" s="3476" t="s">
        <v>3594</v>
      </c>
      <c r="CL76" s="3476" t="s">
        <v>3594</v>
      </c>
      <c r="CM76" s="3476" t="s">
        <v>3594</v>
      </c>
      <c r="CN76" s="3476" t="s">
        <v>3594</v>
      </c>
    </row>
    <row r="77" spans="1:92" ht="14.1" customHeight="1">
      <c r="A77" s="3475" t="s">
        <v>3725</v>
      </c>
      <c r="B77" s="3475" t="s">
        <v>3726</v>
      </c>
      <c r="C77" s="3475" t="s">
        <v>3700</v>
      </c>
      <c r="D77" s="3475" t="s">
        <v>3727</v>
      </c>
      <c r="E77" s="3475" t="s">
        <v>3728</v>
      </c>
      <c r="F77" s="3475" t="s">
        <v>3583</v>
      </c>
      <c r="G77" s="3475" t="s">
        <v>3610</v>
      </c>
      <c r="H77" s="3475" t="s">
        <v>3729</v>
      </c>
      <c r="I77" s="3475" t="s">
        <v>3586</v>
      </c>
      <c r="J77" s="3475">
        <v>2942.05</v>
      </c>
      <c r="K77" s="3475" t="s">
        <v>3596</v>
      </c>
      <c r="L77" s="3475" t="s">
        <v>3597</v>
      </c>
      <c r="M77" s="3475">
        <v>0.169706</v>
      </c>
      <c r="N77" s="3475" t="s">
        <v>3598</v>
      </c>
      <c r="O77" s="3475" t="s">
        <v>3590</v>
      </c>
      <c r="P77" s="3475" t="s">
        <v>3594</v>
      </c>
      <c r="Q77" s="3475" t="s">
        <v>3699</v>
      </c>
      <c r="R77" s="3475" t="s">
        <v>3730</v>
      </c>
      <c r="S77" s="3475" t="s">
        <v>3699</v>
      </c>
      <c r="T77" s="3475" t="s">
        <v>3731</v>
      </c>
      <c r="U77" s="3475">
        <v>15477.79</v>
      </c>
      <c r="V77" s="3475">
        <v>13979.94</v>
      </c>
      <c r="W77" s="3475">
        <v>15477.79</v>
      </c>
      <c r="X77" s="3475">
        <v>14978.51</v>
      </c>
      <c r="Y77" s="3475">
        <v>15477.79</v>
      </c>
      <c r="Z77" s="3475" t="s">
        <v>3594</v>
      </c>
      <c r="AA77" s="3475" t="s">
        <v>3594</v>
      </c>
      <c r="AB77" s="3475" t="s">
        <v>3594</v>
      </c>
      <c r="AC77" s="3475" t="s">
        <v>3594</v>
      </c>
      <c r="AD77" s="3475" t="s">
        <v>3594</v>
      </c>
      <c r="AE77" s="3475" t="s">
        <v>3594</v>
      </c>
      <c r="AF77" s="3475" t="s">
        <v>3594</v>
      </c>
      <c r="AG77" s="3476" t="s">
        <v>3594</v>
      </c>
      <c r="AH77" s="3476" t="s">
        <v>3594</v>
      </c>
      <c r="AI77" s="3476" t="s">
        <v>3594</v>
      </c>
      <c r="AJ77" s="3476" t="s">
        <v>3594</v>
      </c>
      <c r="AK77" s="3476" t="s">
        <v>3594</v>
      </c>
      <c r="AL77" s="3476" t="s">
        <v>3594</v>
      </c>
      <c r="AM77" s="3476" t="s">
        <v>3594</v>
      </c>
      <c r="AN77" s="3476" t="s">
        <v>3594</v>
      </c>
      <c r="AO77" s="3476" t="s">
        <v>3594</v>
      </c>
      <c r="AP77" s="3476" t="s">
        <v>3594</v>
      </c>
      <c r="AQ77" s="3476" t="s">
        <v>3594</v>
      </c>
      <c r="AR77" s="3476" t="s">
        <v>3594</v>
      </c>
      <c r="AS77" s="3476" t="s">
        <v>3594</v>
      </c>
      <c r="AT77" s="3476" t="s">
        <v>3594</v>
      </c>
      <c r="AU77" s="3476" t="s">
        <v>3594</v>
      </c>
      <c r="AV77" s="3476" t="s">
        <v>3594</v>
      </c>
      <c r="AW77" s="3476" t="s">
        <v>3594</v>
      </c>
      <c r="AX77" s="3476" t="s">
        <v>3594</v>
      </c>
      <c r="AY77" s="3476" t="s">
        <v>3594</v>
      </c>
      <c r="AZ77" s="3476" t="s">
        <v>3594</v>
      </c>
      <c r="BA77" s="3476" t="s">
        <v>3594</v>
      </c>
      <c r="BB77" s="3476" t="s">
        <v>3594</v>
      </c>
      <c r="BC77" s="3476" t="s">
        <v>3594</v>
      </c>
      <c r="BD77" s="3476" t="s">
        <v>3594</v>
      </c>
      <c r="BE77" s="3476" t="s">
        <v>3594</v>
      </c>
      <c r="BF77" s="3476" t="s">
        <v>3594</v>
      </c>
      <c r="BG77" s="3476" t="s">
        <v>3594</v>
      </c>
      <c r="BH77" s="3476" t="s">
        <v>3594</v>
      </c>
      <c r="BI77" s="3476" t="s">
        <v>3594</v>
      </c>
      <c r="BJ77" s="3476" t="s">
        <v>3594</v>
      </c>
      <c r="BK77" s="3476" t="s">
        <v>3594</v>
      </c>
      <c r="BL77" s="3476" t="s">
        <v>3594</v>
      </c>
      <c r="BM77" s="3476" t="s">
        <v>3594</v>
      </c>
      <c r="BN77" s="3476" t="s">
        <v>3594</v>
      </c>
      <c r="BO77" s="3476" t="s">
        <v>3594</v>
      </c>
      <c r="BP77" s="3476" t="s">
        <v>3594</v>
      </c>
      <c r="BQ77" s="3476" t="s">
        <v>3594</v>
      </c>
      <c r="BR77" s="3476" t="s">
        <v>3594</v>
      </c>
      <c r="BS77" s="3476" t="s">
        <v>3594</v>
      </c>
      <c r="BT77" s="3476" t="s">
        <v>3594</v>
      </c>
      <c r="BU77" s="3476" t="s">
        <v>3594</v>
      </c>
      <c r="BV77" s="3476" t="s">
        <v>3594</v>
      </c>
      <c r="BW77" s="3476" t="s">
        <v>3594</v>
      </c>
      <c r="BX77" s="3476" t="s">
        <v>3594</v>
      </c>
      <c r="BY77" s="3476" t="s">
        <v>3594</v>
      </c>
      <c r="BZ77" s="3476" t="s">
        <v>3594</v>
      </c>
      <c r="CA77" s="3476" t="s">
        <v>3594</v>
      </c>
      <c r="CB77" s="3476" t="s">
        <v>3594</v>
      </c>
      <c r="CC77" s="3476" t="s">
        <v>3594</v>
      </c>
      <c r="CD77" s="3476" t="s">
        <v>3594</v>
      </c>
      <c r="CE77" s="3476" t="s">
        <v>3594</v>
      </c>
      <c r="CF77" s="3476" t="s">
        <v>3594</v>
      </c>
      <c r="CG77" s="3476" t="s">
        <v>3594</v>
      </c>
      <c r="CH77" s="3476" t="s">
        <v>3594</v>
      </c>
      <c r="CI77" s="3476" t="s">
        <v>3594</v>
      </c>
      <c r="CJ77" s="3476" t="s">
        <v>3594</v>
      </c>
      <c r="CK77" s="3476" t="s">
        <v>3594</v>
      </c>
      <c r="CL77" s="3476" t="s">
        <v>3594</v>
      </c>
      <c r="CM77" s="3476" t="s">
        <v>3594</v>
      </c>
      <c r="CN77" s="3476" t="s">
        <v>3594</v>
      </c>
    </row>
    <row r="78" spans="1:92" ht="14.1" customHeight="1">
      <c r="A78" s="3475" t="s">
        <v>3725</v>
      </c>
      <c r="B78" s="3475" t="s">
        <v>3726</v>
      </c>
      <c r="C78" s="3475" t="s">
        <v>3740</v>
      </c>
      <c r="D78" s="3475" t="s">
        <v>3727</v>
      </c>
      <c r="E78" s="3475" t="s">
        <v>3728</v>
      </c>
      <c r="F78" s="3475" t="s">
        <v>3583</v>
      </c>
      <c r="G78" s="3475" t="s">
        <v>3610</v>
      </c>
      <c r="H78" s="3475" t="s">
        <v>3729</v>
      </c>
      <c r="I78" s="3475" t="s">
        <v>3586</v>
      </c>
      <c r="J78" s="3475">
        <v>2942.05</v>
      </c>
      <c r="K78" s="3475" t="s">
        <v>3596</v>
      </c>
      <c r="L78" s="3475" t="s">
        <v>3597</v>
      </c>
      <c r="M78" s="3475">
        <v>0.17988199999999999</v>
      </c>
      <c r="N78" s="3475" t="s">
        <v>3598</v>
      </c>
      <c r="O78" s="3475" t="s">
        <v>3590</v>
      </c>
      <c r="P78" s="3475" t="s">
        <v>3594</v>
      </c>
      <c r="Q78" s="3475" t="s">
        <v>3734</v>
      </c>
      <c r="R78" s="3475" t="s">
        <v>3735</v>
      </c>
      <c r="S78" s="3475" t="s">
        <v>3699</v>
      </c>
      <c r="T78" s="3475" t="s">
        <v>3731</v>
      </c>
      <c r="U78" s="3475" t="s">
        <v>3594</v>
      </c>
      <c r="V78" s="3475" t="s">
        <v>3594</v>
      </c>
      <c r="W78" s="3475" t="s">
        <v>3594</v>
      </c>
      <c r="X78" s="3475" t="s">
        <v>3594</v>
      </c>
      <c r="Y78" s="3475" t="s">
        <v>3594</v>
      </c>
      <c r="Z78" s="3475">
        <v>15876.66</v>
      </c>
      <c r="AA78" s="3475">
        <v>16405.88</v>
      </c>
      <c r="AB78" s="3475">
        <v>16405.88</v>
      </c>
      <c r="AC78" s="3475">
        <v>15876.66</v>
      </c>
      <c r="AD78" s="3475">
        <v>16405.88</v>
      </c>
      <c r="AE78" s="3475">
        <v>15876.66</v>
      </c>
      <c r="AF78" s="3475">
        <v>16405.88</v>
      </c>
      <c r="AG78" s="3476">
        <v>16405.88</v>
      </c>
      <c r="AH78" s="3476">
        <v>15347.43</v>
      </c>
      <c r="AI78" s="3476">
        <v>16405.88</v>
      </c>
      <c r="AJ78" s="3476">
        <v>15876.66</v>
      </c>
      <c r="AK78" s="3476">
        <v>16405.88</v>
      </c>
      <c r="AL78" s="3476" t="s">
        <v>3594</v>
      </c>
      <c r="AM78" s="3476" t="s">
        <v>3594</v>
      </c>
      <c r="AN78" s="3476" t="s">
        <v>3594</v>
      </c>
      <c r="AO78" s="3476" t="s">
        <v>3594</v>
      </c>
      <c r="AP78" s="3476" t="s">
        <v>3594</v>
      </c>
      <c r="AQ78" s="3476" t="s">
        <v>3594</v>
      </c>
      <c r="AR78" s="3476" t="s">
        <v>3594</v>
      </c>
      <c r="AS78" s="3476" t="s">
        <v>3594</v>
      </c>
      <c r="AT78" s="3476" t="s">
        <v>3594</v>
      </c>
      <c r="AU78" s="3476" t="s">
        <v>3594</v>
      </c>
      <c r="AV78" s="3476" t="s">
        <v>3594</v>
      </c>
      <c r="AW78" s="3476" t="s">
        <v>3594</v>
      </c>
      <c r="AX78" s="3476" t="s">
        <v>3594</v>
      </c>
      <c r="AY78" s="3476" t="s">
        <v>3594</v>
      </c>
      <c r="AZ78" s="3476" t="s">
        <v>3594</v>
      </c>
      <c r="BA78" s="3476" t="s">
        <v>3594</v>
      </c>
      <c r="BB78" s="3476" t="s">
        <v>3594</v>
      </c>
      <c r="BC78" s="3476" t="s">
        <v>3594</v>
      </c>
      <c r="BD78" s="3476" t="s">
        <v>3594</v>
      </c>
      <c r="BE78" s="3476" t="s">
        <v>3594</v>
      </c>
      <c r="BF78" s="3476" t="s">
        <v>3594</v>
      </c>
      <c r="BG78" s="3476" t="s">
        <v>3594</v>
      </c>
      <c r="BH78" s="3476" t="s">
        <v>3594</v>
      </c>
      <c r="BI78" s="3476" t="s">
        <v>3594</v>
      </c>
      <c r="BJ78" s="3476" t="s">
        <v>3594</v>
      </c>
      <c r="BK78" s="3476" t="s">
        <v>3594</v>
      </c>
      <c r="BL78" s="3476" t="s">
        <v>3594</v>
      </c>
      <c r="BM78" s="3476" t="s">
        <v>3594</v>
      </c>
      <c r="BN78" s="3476" t="s">
        <v>3594</v>
      </c>
      <c r="BO78" s="3476" t="s">
        <v>3594</v>
      </c>
      <c r="BP78" s="3476" t="s">
        <v>3594</v>
      </c>
      <c r="BQ78" s="3476" t="s">
        <v>3594</v>
      </c>
      <c r="BR78" s="3476" t="s">
        <v>3594</v>
      </c>
      <c r="BS78" s="3476" t="s">
        <v>3594</v>
      </c>
      <c r="BT78" s="3476" t="s">
        <v>3594</v>
      </c>
      <c r="BU78" s="3476" t="s">
        <v>3594</v>
      </c>
      <c r="BV78" s="3476" t="s">
        <v>3594</v>
      </c>
      <c r="BW78" s="3476" t="s">
        <v>3594</v>
      </c>
      <c r="BX78" s="3476" t="s">
        <v>3594</v>
      </c>
      <c r="BY78" s="3476" t="s">
        <v>3594</v>
      </c>
      <c r="BZ78" s="3476" t="s">
        <v>3594</v>
      </c>
      <c r="CA78" s="3476" t="s">
        <v>3594</v>
      </c>
      <c r="CB78" s="3476" t="s">
        <v>3594</v>
      </c>
      <c r="CC78" s="3476" t="s">
        <v>3594</v>
      </c>
      <c r="CD78" s="3476" t="s">
        <v>3594</v>
      </c>
      <c r="CE78" s="3476" t="s">
        <v>3594</v>
      </c>
      <c r="CF78" s="3476" t="s">
        <v>3594</v>
      </c>
      <c r="CG78" s="3476" t="s">
        <v>3594</v>
      </c>
      <c r="CH78" s="3476" t="s">
        <v>3594</v>
      </c>
      <c r="CI78" s="3476" t="s">
        <v>3594</v>
      </c>
      <c r="CJ78" s="3476" t="s">
        <v>3594</v>
      </c>
      <c r="CK78" s="3476" t="s">
        <v>3594</v>
      </c>
      <c r="CL78" s="3476" t="s">
        <v>3594</v>
      </c>
      <c r="CM78" s="3476" t="s">
        <v>3594</v>
      </c>
      <c r="CN78" s="3476" t="s">
        <v>3594</v>
      </c>
    </row>
    <row r="79" spans="1:92" ht="14.1" customHeight="1">
      <c r="A79" s="3475" t="s">
        <v>3725</v>
      </c>
      <c r="B79" s="3475" t="s">
        <v>3726</v>
      </c>
      <c r="C79" s="3475" t="s">
        <v>3741</v>
      </c>
      <c r="D79" s="3475" t="s">
        <v>3727</v>
      </c>
      <c r="E79" s="3475" t="s">
        <v>3728</v>
      </c>
      <c r="F79" s="3475" t="s">
        <v>3583</v>
      </c>
      <c r="G79" s="3475" t="s">
        <v>3610</v>
      </c>
      <c r="H79" s="3475" t="s">
        <v>3729</v>
      </c>
      <c r="I79" s="3475" t="s">
        <v>3586</v>
      </c>
      <c r="J79" s="3475">
        <v>2942.05</v>
      </c>
      <c r="K79" s="3475" t="s">
        <v>3596</v>
      </c>
      <c r="L79" s="3475" t="s">
        <v>3597</v>
      </c>
      <c r="M79" s="3475">
        <v>0.190694</v>
      </c>
      <c r="N79" s="3475" t="s">
        <v>3598</v>
      </c>
      <c r="O79" s="3475" t="s">
        <v>3590</v>
      </c>
      <c r="P79" s="3475" t="s">
        <v>3594</v>
      </c>
      <c r="Q79" s="3475" t="s">
        <v>3738</v>
      </c>
      <c r="R79" s="3475" t="s">
        <v>3731</v>
      </c>
      <c r="S79" s="3475" t="s">
        <v>3699</v>
      </c>
      <c r="T79" s="3475" t="s">
        <v>3731</v>
      </c>
      <c r="U79" s="3475" t="s">
        <v>3594</v>
      </c>
      <c r="V79" s="3475" t="s">
        <v>3594</v>
      </c>
      <c r="W79" s="3475" t="s">
        <v>3594</v>
      </c>
      <c r="X79" s="3475" t="s">
        <v>3594</v>
      </c>
      <c r="Y79" s="3475" t="s">
        <v>3594</v>
      </c>
      <c r="Z79" s="3475" t="s">
        <v>3594</v>
      </c>
      <c r="AA79" s="3475" t="s">
        <v>3594</v>
      </c>
      <c r="AB79" s="3475" t="s">
        <v>3594</v>
      </c>
      <c r="AC79" s="3475" t="s">
        <v>3594</v>
      </c>
      <c r="AD79" s="3475" t="s">
        <v>3594</v>
      </c>
      <c r="AE79" s="3475" t="s">
        <v>3594</v>
      </c>
      <c r="AF79" s="3475" t="s">
        <v>3594</v>
      </c>
      <c r="AG79" s="3476" t="s">
        <v>3594</v>
      </c>
      <c r="AH79" s="3476" t="s">
        <v>3594</v>
      </c>
      <c r="AI79" s="3476" t="s">
        <v>3594</v>
      </c>
      <c r="AJ79" s="3476" t="s">
        <v>3594</v>
      </c>
      <c r="AK79" s="3476" t="s">
        <v>3594</v>
      </c>
      <c r="AL79" s="3476">
        <v>16830.939999999999</v>
      </c>
      <c r="AM79" s="3476">
        <v>17391.97</v>
      </c>
      <c r="AN79" s="3476">
        <v>17391.97</v>
      </c>
      <c r="AO79" s="3476">
        <v>16830.939999999999</v>
      </c>
      <c r="AP79" s="3476">
        <v>17391.97</v>
      </c>
      <c r="AQ79" s="3476">
        <v>16830.939999999999</v>
      </c>
      <c r="AR79" s="3476">
        <v>17391.97</v>
      </c>
      <c r="AS79" s="3476">
        <v>17391.97</v>
      </c>
      <c r="AT79" s="3476">
        <v>15708.88</v>
      </c>
      <c r="AU79" s="3476">
        <v>17391.97</v>
      </c>
      <c r="AV79" s="3476">
        <v>16830.939999999999</v>
      </c>
      <c r="AW79" s="3476">
        <v>17391.97</v>
      </c>
      <c r="AX79" s="3476" t="s">
        <v>3594</v>
      </c>
      <c r="AY79" s="3476" t="s">
        <v>3594</v>
      </c>
      <c r="AZ79" s="3476" t="s">
        <v>3594</v>
      </c>
      <c r="BA79" s="3476" t="s">
        <v>3594</v>
      </c>
      <c r="BB79" s="3476" t="s">
        <v>3594</v>
      </c>
      <c r="BC79" s="3476" t="s">
        <v>3594</v>
      </c>
      <c r="BD79" s="3476" t="s">
        <v>3594</v>
      </c>
      <c r="BE79" s="3476" t="s">
        <v>3594</v>
      </c>
      <c r="BF79" s="3476" t="s">
        <v>3594</v>
      </c>
      <c r="BG79" s="3476" t="s">
        <v>3594</v>
      </c>
      <c r="BH79" s="3476" t="s">
        <v>3594</v>
      </c>
      <c r="BI79" s="3476" t="s">
        <v>3594</v>
      </c>
      <c r="BJ79" s="3476" t="s">
        <v>3594</v>
      </c>
      <c r="BK79" s="3476" t="s">
        <v>3594</v>
      </c>
      <c r="BL79" s="3476" t="s">
        <v>3594</v>
      </c>
      <c r="BM79" s="3476" t="s">
        <v>3594</v>
      </c>
      <c r="BN79" s="3476" t="s">
        <v>3594</v>
      </c>
      <c r="BO79" s="3476" t="s">
        <v>3594</v>
      </c>
      <c r="BP79" s="3476" t="s">
        <v>3594</v>
      </c>
      <c r="BQ79" s="3476" t="s">
        <v>3594</v>
      </c>
      <c r="BR79" s="3476" t="s">
        <v>3594</v>
      </c>
      <c r="BS79" s="3476" t="s">
        <v>3594</v>
      </c>
      <c r="BT79" s="3476" t="s">
        <v>3594</v>
      </c>
      <c r="BU79" s="3476" t="s">
        <v>3594</v>
      </c>
      <c r="BV79" s="3476" t="s">
        <v>3594</v>
      </c>
      <c r="BW79" s="3476" t="s">
        <v>3594</v>
      </c>
      <c r="BX79" s="3476" t="s">
        <v>3594</v>
      </c>
      <c r="BY79" s="3476" t="s">
        <v>3594</v>
      </c>
      <c r="BZ79" s="3476" t="s">
        <v>3594</v>
      </c>
      <c r="CA79" s="3476" t="s">
        <v>3594</v>
      </c>
      <c r="CB79" s="3476" t="s">
        <v>3594</v>
      </c>
      <c r="CC79" s="3476" t="s">
        <v>3594</v>
      </c>
      <c r="CD79" s="3476" t="s">
        <v>3594</v>
      </c>
      <c r="CE79" s="3476" t="s">
        <v>3594</v>
      </c>
      <c r="CF79" s="3476" t="s">
        <v>3594</v>
      </c>
      <c r="CG79" s="3476" t="s">
        <v>3594</v>
      </c>
      <c r="CH79" s="3476" t="s">
        <v>3594</v>
      </c>
      <c r="CI79" s="3476" t="s">
        <v>3594</v>
      </c>
      <c r="CJ79" s="3476" t="s">
        <v>3594</v>
      </c>
      <c r="CK79" s="3476" t="s">
        <v>3594</v>
      </c>
      <c r="CL79" s="3476" t="s">
        <v>3594</v>
      </c>
      <c r="CM79" s="3476" t="s">
        <v>3594</v>
      </c>
      <c r="CN79" s="3476" t="s">
        <v>3594</v>
      </c>
    </row>
    <row r="80" spans="1:92" ht="14.1" customHeight="1">
      <c r="A80" s="3475" t="s">
        <v>3725</v>
      </c>
      <c r="B80" s="3475" t="s">
        <v>3726</v>
      </c>
      <c r="C80" s="3475" t="s">
        <v>3701</v>
      </c>
      <c r="D80" s="3475" t="s">
        <v>3727</v>
      </c>
      <c r="E80" s="3475" t="s">
        <v>3728</v>
      </c>
      <c r="F80" s="3475" t="s">
        <v>3583</v>
      </c>
      <c r="G80" s="3475" t="s">
        <v>3610</v>
      </c>
      <c r="H80" s="3475" t="s">
        <v>3742</v>
      </c>
      <c r="I80" s="3475" t="s">
        <v>3586</v>
      </c>
      <c r="J80" s="3475">
        <v>632.61</v>
      </c>
      <c r="K80" s="3475" t="s">
        <v>3601</v>
      </c>
      <c r="L80" s="3475" t="s">
        <v>3602</v>
      </c>
      <c r="M80" s="3475">
        <v>6.1649700000000003</v>
      </c>
      <c r="N80" s="3475" t="s">
        <v>3589</v>
      </c>
      <c r="O80" s="3475" t="s">
        <v>3590</v>
      </c>
      <c r="P80" s="3475" t="s">
        <v>3594</v>
      </c>
      <c r="Q80" s="3475" t="s">
        <v>3699</v>
      </c>
      <c r="R80" s="3475" t="s">
        <v>3730</v>
      </c>
      <c r="S80" s="3475" t="s">
        <v>3699</v>
      </c>
      <c r="T80" s="3475" t="s">
        <v>3731</v>
      </c>
      <c r="U80" s="3475">
        <v>120900.67</v>
      </c>
      <c r="V80" s="3475">
        <v>109200.61</v>
      </c>
      <c r="W80" s="3475">
        <v>120900.67</v>
      </c>
      <c r="X80" s="3475">
        <v>117000.65</v>
      </c>
      <c r="Y80" s="3475">
        <v>120900.67</v>
      </c>
      <c r="Z80" s="3475" t="s">
        <v>3594</v>
      </c>
      <c r="AA80" s="3475" t="s">
        <v>3594</v>
      </c>
      <c r="AB80" s="3475" t="s">
        <v>3594</v>
      </c>
      <c r="AC80" s="3475" t="s">
        <v>3594</v>
      </c>
      <c r="AD80" s="3475" t="s">
        <v>3594</v>
      </c>
      <c r="AE80" s="3475" t="s">
        <v>3594</v>
      </c>
      <c r="AF80" s="3475" t="s">
        <v>3594</v>
      </c>
      <c r="AG80" s="3476" t="s">
        <v>3594</v>
      </c>
      <c r="AH80" s="3476" t="s">
        <v>3594</v>
      </c>
      <c r="AI80" s="3476" t="s">
        <v>3594</v>
      </c>
      <c r="AJ80" s="3476" t="s">
        <v>3594</v>
      </c>
      <c r="AK80" s="3476" t="s">
        <v>3594</v>
      </c>
      <c r="AL80" s="3476" t="s">
        <v>3594</v>
      </c>
      <c r="AM80" s="3476" t="s">
        <v>3594</v>
      </c>
      <c r="AN80" s="3476" t="s">
        <v>3594</v>
      </c>
      <c r="AO80" s="3476" t="s">
        <v>3594</v>
      </c>
      <c r="AP80" s="3476" t="s">
        <v>3594</v>
      </c>
      <c r="AQ80" s="3476" t="s">
        <v>3594</v>
      </c>
      <c r="AR80" s="3476" t="s">
        <v>3594</v>
      </c>
      <c r="AS80" s="3476" t="s">
        <v>3594</v>
      </c>
      <c r="AT80" s="3476" t="s">
        <v>3594</v>
      </c>
      <c r="AU80" s="3476" t="s">
        <v>3594</v>
      </c>
      <c r="AV80" s="3476" t="s">
        <v>3594</v>
      </c>
      <c r="AW80" s="3476" t="s">
        <v>3594</v>
      </c>
      <c r="AX80" s="3476" t="s">
        <v>3594</v>
      </c>
      <c r="AY80" s="3476" t="s">
        <v>3594</v>
      </c>
      <c r="AZ80" s="3476" t="s">
        <v>3594</v>
      </c>
      <c r="BA80" s="3476" t="s">
        <v>3594</v>
      </c>
      <c r="BB80" s="3476" t="s">
        <v>3594</v>
      </c>
      <c r="BC80" s="3476" t="s">
        <v>3594</v>
      </c>
      <c r="BD80" s="3476" t="s">
        <v>3594</v>
      </c>
      <c r="BE80" s="3476" t="s">
        <v>3594</v>
      </c>
      <c r="BF80" s="3476" t="s">
        <v>3594</v>
      </c>
      <c r="BG80" s="3476" t="s">
        <v>3594</v>
      </c>
      <c r="BH80" s="3476" t="s">
        <v>3594</v>
      </c>
      <c r="BI80" s="3476" t="s">
        <v>3594</v>
      </c>
      <c r="BJ80" s="3476" t="s">
        <v>3594</v>
      </c>
      <c r="BK80" s="3476" t="s">
        <v>3594</v>
      </c>
      <c r="BL80" s="3476" t="s">
        <v>3594</v>
      </c>
      <c r="BM80" s="3476" t="s">
        <v>3594</v>
      </c>
      <c r="BN80" s="3476" t="s">
        <v>3594</v>
      </c>
      <c r="BO80" s="3476" t="s">
        <v>3594</v>
      </c>
      <c r="BP80" s="3476" t="s">
        <v>3594</v>
      </c>
      <c r="BQ80" s="3476" t="s">
        <v>3594</v>
      </c>
      <c r="BR80" s="3476" t="s">
        <v>3594</v>
      </c>
      <c r="BS80" s="3476" t="s">
        <v>3594</v>
      </c>
      <c r="BT80" s="3476" t="s">
        <v>3594</v>
      </c>
      <c r="BU80" s="3476" t="s">
        <v>3594</v>
      </c>
      <c r="BV80" s="3476" t="s">
        <v>3594</v>
      </c>
      <c r="BW80" s="3476" t="s">
        <v>3594</v>
      </c>
      <c r="BX80" s="3476" t="s">
        <v>3594</v>
      </c>
      <c r="BY80" s="3476" t="s">
        <v>3594</v>
      </c>
      <c r="BZ80" s="3476" t="s">
        <v>3594</v>
      </c>
      <c r="CA80" s="3476" t="s">
        <v>3594</v>
      </c>
      <c r="CB80" s="3476" t="s">
        <v>3594</v>
      </c>
      <c r="CC80" s="3476" t="s">
        <v>3594</v>
      </c>
      <c r="CD80" s="3476" t="s">
        <v>3594</v>
      </c>
      <c r="CE80" s="3476" t="s">
        <v>3594</v>
      </c>
      <c r="CF80" s="3476" t="s">
        <v>3594</v>
      </c>
      <c r="CG80" s="3476" t="s">
        <v>3594</v>
      </c>
      <c r="CH80" s="3476" t="s">
        <v>3594</v>
      </c>
      <c r="CI80" s="3476" t="s">
        <v>3594</v>
      </c>
      <c r="CJ80" s="3476" t="s">
        <v>3594</v>
      </c>
      <c r="CK80" s="3476" t="s">
        <v>3594</v>
      </c>
      <c r="CL80" s="3476" t="s">
        <v>3594</v>
      </c>
      <c r="CM80" s="3476" t="s">
        <v>3594</v>
      </c>
      <c r="CN80" s="3476" t="s">
        <v>3594</v>
      </c>
    </row>
    <row r="81" spans="1:92" ht="14.1" customHeight="1">
      <c r="A81" s="3475" t="s">
        <v>3725</v>
      </c>
      <c r="B81" s="3475" t="s">
        <v>3726</v>
      </c>
      <c r="C81" s="3475" t="s">
        <v>3743</v>
      </c>
      <c r="D81" s="3475" t="s">
        <v>3727</v>
      </c>
      <c r="E81" s="3475" t="s">
        <v>3728</v>
      </c>
      <c r="F81" s="3475" t="s">
        <v>3583</v>
      </c>
      <c r="G81" s="3475" t="s">
        <v>3610</v>
      </c>
      <c r="H81" s="3475" t="s">
        <v>3742</v>
      </c>
      <c r="I81" s="3475" t="s">
        <v>3586</v>
      </c>
      <c r="J81" s="3475">
        <v>632.61</v>
      </c>
      <c r="K81" s="3475" t="s">
        <v>3601</v>
      </c>
      <c r="L81" s="3475" t="s">
        <v>3602</v>
      </c>
      <c r="M81" s="3475">
        <v>-3.350025</v>
      </c>
      <c r="N81" s="3475" t="s">
        <v>3589</v>
      </c>
      <c r="O81" s="3475" t="s">
        <v>3590</v>
      </c>
      <c r="P81" s="3475" t="s">
        <v>3594</v>
      </c>
      <c r="Q81" s="3475" t="s">
        <v>3699</v>
      </c>
      <c r="R81" s="3475" t="s">
        <v>3730</v>
      </c>
      <c r="S81" s="3475" t="s">
        <v>3699</v>
      </c>
      <c r="T81" s="3475" t="s">
        <v>3731</v>
      </c>
      <c r="U81" s="3475">
        <v>-65697.039999999994</v>
      </c>
      <c r="V81" s="3475">
        <v>-59339.26</v>
      </c>
      <c r="W81" s="3475">
        <v>-65697.039999999994</v>
      </c>
      <c r="X81" s="3475">
        <v>-63577.78</v>
      </c>
      <c r="Y81" s="3475">
        <v>-65697.039999999994</v>
      </c>
      <c r="Z81" s="3475" t="s">
        <v>3594</v>
      </c>
      <c r="AA81" s="3475" t="s">
        <v>3594</v>
      </c>
      <c r="AB81" s="3475" t="s">
        <v>3594</v>
      </c>
      <c r="AC81" s="3475" t="s">
        <v>3594</v>
      </c>
      <c r="AD81" s="3475" t="s">
        <v>3594</v>
      </c>
      <c r="AE81" s="3475" t="s">
        <v>3594</v>
      </c>
      <c r="AF81" s="3475" t="s">
        <v>3594</v>
      </c>
      <c r="AG81" s="3476" t="s">
        <v>3594</v>
      </c>
      <c r="AH81" s="3476" t="s">
        <v>3594</v>
      </c>
      <c r="AI81" s="3476" t="s">
        <v>3594</v>
      </c>
      <c r="AJ81" s="3476" t="s">
        <v>3594</v>
      </c>
      <c r="AK81" s="3476" t="s">
        <v>3594</v>
      </c>
      <c r="AL81" s="3476" t="s">
        <v>3594</v>
      </c>
      <c r="AM81" s="3476" t="s">
        <v>3594</v>
      </c>
      <c r="AN81" s="3476" t="s">
        <v>3594</v>
      </c>
      <c r="AO81" s="3476" t="s">
        <v>3594</v>
      </c>
      <c r="AP81" s="3476" t="s">
        <v>3594</v>
      </c>
      <c r="AQ81" s="3476" t="s">
        <v>3594</v>
      </c>
      <c r="AR81" s="3476" t="s">
        <v>3594</v>
      </c>
      <c r="AS81" s="3476" t="s">
        <v>3594</v>
      </c>
      <c r="AT81" s="3476" t="s">
        <v>3594</v>
      </c>
      <c r="AU81" s="3476" t="s">
        <v>3594</v>
      </c>
      <c r="AV81" s="3476" t="s">
        <v>3594</v>
      </c>
      <c r="AW81" s="3476" t="s">
        <v>3594</v>
      </c>
      <c r="AX81" s="3476" t="s">
        <v>3594</v>
      </c>
      <c r="AY81" s="3476" t="s">
        <v>3594</v>
      </c>
      <c r="AZ81" s="3476" t="s">
        <v>3594</v>
      </c>
      <c r="BA81" s="3476" t="s">
        <v>3594</v>
      </c>
      <c r="BB81" s="3476" t="s">
        <v>3594</v>
      </c>
      <c r="BC81" s="3476" t="s">
        <v>3594</v>
      </c>
      <c r="BD81" s="3476" t="s">
        <v>3594</v>
      </c>
      <c r="BE81" s="3476" t="s">
        <v>3594</v>
      </c>
      <c r="BF81" s="3476" t="s">
        <v>3594</v>
      </c>
      <c r="BG81" s="3476" t="s">
        <v>3594</v>
      </c>
      <c r="BH81" s="3476" t="s">
        <v>3594</v>
      </c>
      <c r="BI81" s="3476" t="s">
        <v>3594</v>
      </c>
      <c r="BJ81" s="3476" t="s">
        <v>3594</v>
      </c>
      <c r="BK81" s="3476" t="s">
        <v>3594</v>
      </c>
      <c r="BL81" s="3476" t="s">
        <v>3594</v>
      </c>
      <c r="BM81" s="3476" t="s">
        <v>3594</v>
      </c>
      <c r="BN81" s="3476" t="s">
        <v>3594</v>
      </c>
      <c r="BO81" s="3476" t="s">
        <v>3594</v>
      </c>
      <c r="BP81" s="3476" t="s">
        <v>3594</v>
      </c>
      <c r="BQ81" s="3476" t="s">
        <v>3594</v>
      </c>
      <c r="BR81" s="3476" t="s">
        <v>3594</v>
      </c>
      <c r="BS81" s="3476" t="s">
        <v>3594</v>
      </c>
      <c r="BT81" s="3476" t="s">
        <v>3594</v>
      </c>
      <c r="BU81" s="3476" t="s">
        <v>3594</v>
      </c>
      <c r="BV81" s="3476" t="s">
        <v>3594</v>
      </c>
      <c r="BW81" s="3476" t="s">
        <v>3594</v>
      </c>
      <c r="BX81" s="3476" t="s">
        <v>3594</v>
      </c>
      <c r="BY81" s="3476" t="s">
        <v>3594</v>
      </c>
      <c r="BZ81" s="3476" t="s">
        <v>3594</v>
      </c>
      <c r="CA81" s="3476" t="s">
        <v>3594</v>
      </c>
      <c r="CB81" s="3476" t="s">
        <v>3594</v>
      </c>
      <c r="CC81" s="3476" t="s">
        <v>3594</v>
      </c>
      <c r="CD81" s="3476" t="s">
        <v>3594</v>
      </c>
      <c r="CE81" s="3476" t="s">
        <v>3594</v>
      </c>
      <c r="CF81" s="3476" t="s">
        <v>3594</v>
      </c>
      <c r="CG81" s="3476" t="s">
        <v>3594</v>
      </c>
      <c r="CH81" s="3476" t="s">
        <v>3594</v>
      </c>
      <c r="CI81" s="3476" t="s">
        <v>3594</v>
      </c>
      <c r="CJ81" s="3476" t="s">
        <v>3594</v>
      </c>
      <c r="CK81" s="3476" t="s">
        <v>3594</v>
      </c>
      <c r="CL81" s="3476" t="s">
        <v>3594</v>
      </c>
      <c r="CM81" s="3476" t="s">
        <v>3594</v>
      </c>
      <c r="CN81" s="3476" t="s">
        <v>3594</v>
      </c>
    </row>
    <row r="82" spans="1:92" ht="14.1" customHeight="1">
      <c r="A82" s="3475" t="s">
        <v>3725</v>
      </c>
      <c r="B82" s="3475" t="s">
        <v>3726</v>
      </c>
      <c r="C82" s="3475" t="s">
        <v>3744</v>
      </c>
      <c r="D82" s="3475" t="s">
        <v>3727</v>
      </c>
      <c r="E82" s="3475" t="s">
        <v>3728</v>
      </c>
      <c r="F82" s="3475" t="s">
        <v>3583</v>
      </c>
      <c r="G82" s="3475" t="s">
        <v>3610</v>
      </c>
      <c r="H82" s="3475" t="s">
        <v>3742</v>
      </c>
      <c r="I82" s="3475" t="s">
        <v>3586</v>
      </c>
      <c r="J82" s="3475">
        <v>632.61</v>
      </c>
      <c r="K82" s="3475" t="s">
        <v>3601</v>
      </c>
      <c r="L82" s="3475" t="s">
        <v>3602</v>
      </c>
      <c r="M82" s="3475">
        <v>-3.5288400000000002</v>
      </c>
      <c r="N82" s="3475" t="s">
        <v>3589</v>
      </c>
      <c r="O82" s="3475" t="s">
        <v>3590</v>
      </c>
      <c r="P82" s="3475" t="s">
        <v>3594</v>
      </c>
      <c r="Q82" s="3475" t="s">
        <v>3734</v>
      </c>
      <c r="R82" s="3475" t="s">
        <v>3735</v>
      </c>
      <c r="S82" s="3475" t="s">
        <v>3699</v>
      </c>
      <c r="T82" s="3475" t="s">
        <v>3731</v>
      </c>
      <c r="U82" s="3475" t="s">
        <v>3594</v>
      </c>
      <c r="V82" s="3475" t="s">
        <v>3594</v>
      </c>
      <c r="W82" s="3475" t="s">
        <v>3594</v>
      </c>
      <c r="X82" s="3475" t="s">
        <v>3594</v>
      </c>
      <c r="Y82" s="3475" t="s">
        <v>3594</v>
      </c>
      <c r="Z82" s="3475">
        <v>-66971.38</v>
      </c>
      <c r="AA82" s="3475">
        <v>-69203.759999999995</v>
      </c>
      <c r="AB82" s="3475">
        <v>-69203.759999999995</v>
      </c>
      <c r="AC82" s="3475">
        <v>-66971.38</v>
      </c>
      <c r="AD82" s="3475">
        <v>-69203.759999999995</v>
      </c>
      <c r="AE82" s="3475">
        <v>-66971.38</v>
      </c>
      <c r="AF82" s="3475">
        <v>-69203.759999999995</v>
      </c>
      <c r="AG82" s="3476">
        <v>-69203.759999999995</v>
      </c>
      <c r="AH82" s="3476">
        <v>-64739</v>
      </c>
      <c r="AI82" s="3476">
        <v>-69203.759999999995</v>
      </c>
      <c r="AJ82" s="3476">
        <v>-66971.38</v>
      </c>
      <c r="AK82" s="3476">
        <v>-69203.759999999995</v>
      </c>
      <c r="AL82" s="3476" t="s">
        <v>3594</v>
      </c>
      <c r="AM82" s="3476" t="s">
        <v>3594</v>
      </c>
      <c r="AN82" s="3476" t="s">
        <v>3594</v>
      </c>
      <c r="AO82" s="3476" t="s">
        <v>3594</v>
      </c>
      <c r="AP82" s="3476" t="s">
        <v>3594</v>
      </c>
      <c r="AQ82" s="3476" t="s">
        <v>3594</v>
      </c>
      <c r="AR82" s="3476" t="s">
        <v>3594</v>
      </c>
      <c r="AS82" s="3476" t="s">
        <v>3594</v>
      </c>
      <c r="AT82" s="3476" t="s">
        <v>3594</v>
      </c>
      <c r="AU82" s="3476" t="s">
        <v>3594</v>
      </c>
      <c r="AV82" s="3476" t="s">
        <v>3594</v>
      </c>
      <c r="AW82" s="3476" t="s">
        <v>3594</v>
      </c>
      <c r="AX82" s="3476" t="s">
        <v>3594</v>
      </c>
      <c r="AY82" s="3476" t="s">
        <v>3594</v>
      </c>
      <c r="AZ82" s="3476" t="s">
        <v>3594</v>
      </c>
      <c r="BA82" s="3476" t="s">
        <v>3594</v>
      </c>
      <c r="BB82" s="3476" t="s">
        <v>3594</v>
      </c>
      <c r="BC82" s="3476" t="s">
        <v>3594</v>
      </c>
      <c r="BD82" s="3476" t="s">
        <v>3594</v>
      </c>
      <c r="BE82" s="3476" t="s">
        <v>3594</v>
      </c>
      <c r="BF82" s="3476" t="s">
        <v>3594</v>
      </c>
      <c r="BG82" s="3476" t="s">
        <v>3594</v>
      </c>
      <c r="BH82" s="3476" t="s">
        <v>3594</v>
      </c>
      <c r="BI82" s="3476" t="s">
        <v>3594</v>
      </c>
      <c r="BJ82" s="3476" t="s">
        <v>3594</v>
      </c>
      <c r="BK82" s="3476" t="s">
        <v>3594</v>
      </c>
      <c r="BL82" s="3476" t="s">
        <v>3594</v>
      </c>
      <c r="BM82" s="3476" t="s">
        <v>3594</v>
      </c>
      <c r="BN82" s="3476" t="s">
        <v>3594</v>
      </c>
      <c r="BO82" s="3476" t="s">
        <v>3594</v>
      </c>
      <c r="BP82" s="3476" t="s">
        <v>3594</v>
      </c>
      <c r="BQ82" s="3476" t="s">
        <v>3594</v>
      </c>
      <c r="BR82" s="3476" t="s">
        <v>3594</v>
      </c>
      <c r="BS82" s="3476" t="s">
        <v>3594</v>
      </c>
      <c r="BT82" s="3476" t="s">
        <v>3594</v>
      </c>
      <c r="BU82" s="3476" t="s">
        <v>3594</v>
      </c>
      <c r="BV82" s="3476" t="s">
        <v>3594</v>
      </c>
      <c r="BW82" s="3476" t="s">
        <v>3594</v>
      </c>
      <c r="BX82" s="3476" t="s">
        <v>3594</v>
      </c>
      <c r="BY82" s="3476" t="s">
        <v>3594</v>
      </c>
      <c r="BZ82" s="3476" t="s">
        <v>3594</v>
      </c>
      <c r="CA82" s="3476" t="s">
        <v>3594</v>
      </c>
      <c r="CB82" s="3476" t="s">
        <v>3594</v>
      </c>
      <c r="CC82" s="3476" t="s">
        <v>3594</v>
      </c>
      <c r="CD82" s="3476" t="s">
        <v>3594</v>
      </c>
      <c r="CE82" s="3476" t="s">
        <v>3594</v>
      </c>
      <c r="CF82" s="3476" t="s">
        <v>3594</v>
      </c>
      <c r="CG82" s="3476" t="s">
        <v>3594</v>
      </c>
      <c r="CH82" s="3476" t="s">
        <v>3594</v>
      </c>
      <c r="CI82" s="3476" t="s">
        <v>3594</v>
      </c>
      <c r="CJ82" s="3476" t="s">
        <v>3594</v>
      </c>
      <c r="CK82" s="3476" t="s">
        <v>3594</v>
      </c>
      <c r="CL82" s="3476" t="s">
        <v>3594</v>
      </c>
      <c r="CM82" s="3476" t="s">
        <v>3594</v>
      </c>
      <c r="CN82" s="3476" t="s">
        <v>3594</v>
      </c>
    </row>
    <row r="83" spans="1:92" ht="14.1" customHeight="1">
      <c r="A83" s="3475" t="s">
        <v>3725</v>
      </c>
      <c r="B83" s="3475" t="s">
        <v>3726</v>
      </c>
      <c r="C83" s="3475" t="s">
        <v>3745</v>
      </c>
      <c r="D83" s="3475" t="s">
        <v>3727</v>
      </c>
      <c r="E83" s="3475" t="s">
        <v>3728</v>
      </c>
      <c r="F83" s="3475" t="s">
        <v>3583</v>
      </c>
      <c r="G83" s="3475" t="s">
        <v>3610</v>
      </c>
      <c r="H83" s="3475" t="s">
        <v>3742</v>
      </c>
      <c r="I83" s="3475" t="s">
        <v>3586</v>
      </c>
      <c r="J83" s="3475">
        <v>632.61</v>
      </c>
      <c r="K83" s="3475" t="s">
        <v>3601</v>
      </c>
      <c r="L83" s="3475" t="s">
        <v>3602</v>
      </c>
      <c r="M83" s="3475">
        <v>6.5348850000000001</v>
      </c>
      <c r="N83" s="3475" t="s">
        <v>3589</v>
      </c>
      <c r="O83" s="3475" t="s">
        <v>3590</v>
      </c>
      <c r="P83" s="3475" t="s">
        <v>3594</v>
      </c>
      <c r="Q83" s="3475" t="s">
        <v>3734</v>
      </c>
      <c r="R83" s="3475" t="s">
        <v>3735</v>
      </c>
      <c r="S83" s="3475" t="s">
        <v>3699</v>
      </c>
      <c r="T83" s="3475" t="s">
        <v>3731</v>
      </c>
      <c r="U83" s="3475" t="s">
        <v>3594</v>
      </c>
      <c r="V83" s="3475" t="s">
        <v>3594</v>
      </c>
      <c r="W83" s="3475" t="s">
        <v>3594</v>
      </c>
      <c r="X83" s="3475" t="s">
        <v>3594</v>
      </c>
      <c r="Y83" s="3475" t="s">
        <v>3594</v>
      </c>
      <c r="Z83" s="3475">
        <v>124021.01</v>
      </c>
      <c r="AA83" s="3475">
        <v>128155.04</v>
      </c>
      <c r="AB83" s="3475">
        <v>128155.04</v>
      </c>
      <c r="AC83" s="3475">
        <v>124021.01</v>
      </c>
      <c r="AD83" s="3475">
        <v>128155.04</v>
      </c>
      <c r="AE83" s="3475">
        <v>124021.01</v>
      </c>
      <c r="AF83" s="3475">
        <v>128155.04</v>
      </c>
      <c r="AG83" s="3476">
        <v>128155.04</v>
      </c>
      <c r="AH83" s="3476">
        <v>119886.97</v>
      </c>
      <c r="AI83" s="3476">
        <v>128155.04</v>
      </c>
      <c r="AJ83" s="3476">
        <v>124021.01</v>
      </c>
      <c r="AK83" s="3476">
        <v>128155.04</v>
      </c>
      <c r="AL83" s="3476" t="s">
        <v>3594</v>
      </c>
      <c r="AM83" s="3476" t="s">
        <v>3594</v>
      </c>
      <c r="AN83" s="3476" t="s">
        <v>3594</v>
      </c>
      <c r="AO83" s="3476" t="s">
        <v>3594</v>
      </c>
      <c r="AP83" s="3476" t="s">
        <v>3594</v>
      </c>
      <c r="AQ83" s="3476" t="s">
        <v>3594</v>
      </c>
      <c r="AR83" s="3476" t="s">
        <v>3594</v>
      </c>
      <c r="AS83" s="3476" t="s">
        <v>3594</v>
      </c>
      <c r="AT83" s="3476" t="s">
        <v>3594</v>
      </c>
      <c r="AU83" s="3476" t="s">
        <v>3594</v>
      </c>
      <c r="AV83" s="3476" t="s">
        <v>3594</v>
      </c>
      <c r="AW83" s="3476" t="s">
        <v>3594</v>
      </c>
      <c r="AX83" s="3476" t="s">
        <v>3594</v>
      </c>
      <c r="AY83" s="3476" t="s">
        <v>3594</v>
      </c>
      <c r="AZ83" s="3476" t="s">
        <v>3594</v>
      </c>
      <c r="BA83" s="3476" t="s">
        <v>3594</v>
      </c>
      <c r="BB83" s="3476" t="s">
        <v>3594</v>
      </c>
      <c r="BC83" s="3476" t="s">
        <v>3594</v>
      </c>
      <c r="BD83" s="3476" t="s">
        <v>3594</v>
      </c>
      <c r="BE83" s="3476" t="s">
        <v>3594</v>
      </c>
      <c r="BF83" s="3476" t="s">
        <v>3594</v>
      </c>
      <c r="BG83" s="3476" t="s">
        <v>3594</v>
      </c>
      <c r="BH83" s="3476" t="s">
        <v>3594</v>
      </c>
      <c r="BI83" s="3476" t="s">
        <v>3594</v>
      </c>
      <c r="BJ83" s="3476" t="s">
        <v>3594</v>
      </c>
      <c r="BK83" s="3476" t="s">
        <v>3594</v>
      </c>
      <c r="BL83" s="3476" t="s">
        <v>3594</v>
      </c>
      <c r="BM83" s="3476" t="s">
        <v>3594</v>
      </c>
      <c r="BN83" s="3476" t="s">
        <v>3594</v>
      </c>
      <c r="BO83" s="3476" t="s">
        <v>3594</v>
      </c>
      <c r="BP83" s="3476" t="s">
        <v>3594</v>
      </c>
      <c r="BQ83" s="3476" t="s">
        <v>3594</v>
      </c>
      <c r="BR83" s="3476" t="s">
        <v>3594</v>
      </c>
      <c r="BS83" s="3476" t="s">
        <v>3594</v>
      </c>
      <c r="BT83" s="3476" t="s">
        <v>3594</v>
      </c>
      <c r="BU83" s="3476" t="s">
        <v>3594</v>
      </c>
      <c r="BV83" s="3476" t="s">
        <v>3594</v>
      </c>
      <c r="BW83" s="3476" t="s">
        <v>3594</v>
      </c>
      <c r="BX83" s="3476" t="s">
        <v>3594</v>
      </c>
      <c r="BY83" s="3476" t="s">
        <v>3594</v>
      </c>
      <c r="BZ83" s="3476" t="s">
        <v>3594</v>
      </c>
      <c r="CA83" s="3476" t="s">
        <v>3594</v>
      </c>
      <c r="CB83" s="3476" t="s">
        <v>3594</v>
      </c>
      <c r="CC83" s="3476" t="s">
        <v>3594</v>
      </c>
      <c r="CD83" s="3476" t="s">
        <v>3594</v>
      </c>
      <c r="CE83" s="3476" t="s">
        <v>3594</v>
      </c>
      <c r="CF83" s="3476" t="s">
        <v>3594</v>
      </c>
      <c r="CG83" s="3476" t="s">
        <v>3594</v>
      </c>
      <c r="CH83" s="3476" t="s">
        <v>3594</v>
      </c>
      <c r="CI83" s="3476" t="s">
        <v>3594</v>
      </c>
      <c r="CJ83" s="3476" t="s">
        <v>3594</v>
      </c>
      <c r="CK83" s="3476" t="s">
        <v>3594</v>
      </c>
      <c r="CL83" s="3476" t="s">
        <v>3594</v>
      </c>
      <c r="CM83" s="3476" t="s">
        <v>3594</v>
      </c>
      <c r="CN83" s="3476" t="s">
        <v>3594</v>
      </c>
    </row>
    <row r="84" spans="1:92" ht="14.1" customHeight="1">
      <c r="A84" s="3475" t="s">
        <v>3725</v>
      </c>
      <c r="B84" s="3475" t="s">
        <v>3726</v>
      </c>
      <c r="C84" s="3475" t="s">
        <v>3746</v>
      </c>
      <c r="D84" s="3475" t="s">
        <v>3727</v>
      </c>
      <c r="E84" s="3475" t="s">
        <v>3728</v>
      </c>
      <c r="F84" s="3475" t="s">
        <v>3583</v>
      </c>
      <c r="G84" s="3475" t="s">
        <v>3610</v>
      </c>
      <c r="H84" s="3475" t="s">
        <v>3742</v>
      </c>
      <c r="I84" s="3475" t="s">
        <v>3586</v>
      </c>
      <c r="J84" s="3475">
        <v>632.61</v>
      </c>
      <c r="K84" s="3475" t="s">
        <v>3601</v>
      </c>
      <c r="L84" s="3475" t="s">
        <v>3602</v>
      </c>
      <c r="M84" s="3475">
        <v>6.9269550000000004</v>
      </c>
      <c r="N84" s="3475" t="s">
        <v>3589</v>
      </c>
      <c r="O84" s="3475" t="s">
        <v>3590</v>
      </c>
      <c r="P84" s="3475" t="s">
        <v>3594</v>
      </c>
      <c r="Q84" s="3475" t="s">
        <v>3738</v>
      </c>
      <c r="R84" s="3475" t="s">
        <v>3731</v>
      </c>
      <c r="S84" s="3475" t="s">
        <v>3699</v>
      </c>
      <c r="T84" s="3475" t="s">
        <v>3731</v>
      </c>
      <c r="U84" s="3475" t="s">
        <v>3594</v>
      </c>
      <c r="V84" s="3475" t="s">
        <v>3594</v>
      </c>
      <c r="W84" s="3475" t="s">
        <v>3594</v>
      </c>
      <c r="X84" s="3475" t="s">
        <v>3594</v>
      </c>
      <c r="Y84" s="3475" t="s">
        <v>3594</v>
      </c>
      <c r="Z84" s="3475" t="s">
        <v>3594</v>
      </c>
      <c r="AA84" s="3475" t="s">
        <v>3594</v>
      </c>
      <c r="AB84" s="3475" t="s">
        <v>3594</v>
      </c>
      <c r="AC84" s="3475" t="s">
        <v>3594</v>
      </c>
      <c r="AD84" s="3475" t="s">
        <v>3594</v>
      </c>
      <c r="AE84" s="3475" t="s">
        <v>3594</v>
      </c>
      <c r="AF84" s="3475" t="s">
        <v>3594</v>
      </c>
      <c r="AG84" s="3476" t="s">
        <v>3594</v>
      </c>
      <c r="AH84" s="3476" t="s">
        <v>3594</v>
      </c>
      <c r="AI84" s="3476" t="s">
        <v>3594</v>
      </c>
      <c r="AJ84" s="3476" t="s">
        <v>3594</v>
      </c>
      <c r="AK84" s="3476" t="s">
        <v>3594</v>
      </c>
      <c r="AL84" s="3476">
        <v>131461.82999999999</v>
      </c>
      <c r="AM84" s="3476">
        <v>135843.89000000001</v>
      </c>
      <c r="AN84" s="3476">
        <v>135843.89000000001</v>
      </c>
      <c r="AO84" s="3476">
        <v>131461.82999999999</v>
      </c>
      <c r="AP84" s="3476">
        <v>135843.89000000001</v>
      </c>
      <c r="AQ84" s="3476">
        <v>131461.82999999999</v>
      </c>
      <c r="AR84" s="3476">
        <v>135843.89000000001</v>
      </c>
      <c r="AS84" s="3476">
        <v>135843.89000000001</v>
      </c>
      <c r="AT84" s="3476">
        <v>122697.71</v>
      </c>
      <c r="AU84" s="3476">
        <v>135843.89000000001</v>
      </c>
      <c r="AV84" s="3476">
        <v>131461.82999999999</v>
      </c>
      <c r="AW84" s="3476">
        <v>135843.89000000001</v>
      </c>
      <c r="AX84" s="3476" t="s">
        <v>3594</v>
      </c>
      <c r="AY84" s="3476" t="s">
        <v>3594</v>
      </c>
      <c r="AZ84" s="3476" t="s">
        <v>3594</v>
      </c>
      <c r="BA84" s="3476" t="s">
        <v>3594</v>
      </c>
      <c r="BB84" s="3476" t="s">
        <v>3594</v>
      </c>
      <c r="BC84" s="3476" t="s">
        <v>3594</v>
      </c>
      <c r="BD84" s="3476" t="s">
        <v>3594</v>
      </c>
      <c r="BE84" s="3476" t="s">
        <v>3594</v>
      </c>
      <c r="BF84" s="3476" t="s">
        <v>3594</v>
      </c>
      <c r="BG84" s="3476" t="s">
        <v>3594</v>
      </c>
      <c r="BH84" s="3476" t="s">
        <v>3594</v>
      </c>
      <c r="BI84" s="3476" t="s">
        <v>3594</v>
      </c>
      <c r="BJ84" s="3476" t="s">
        <v>3594</v>
      </c>
      <c r="BK84" s="3476" t="s">
        <v>3594</v>
      </c>
      <c r="BL84" s="3476" t="s">
        <v>3594</v>
      </c>
      <c r="BM84" s="3476" t="s">
        <v>3594</v>
      </c>
      <c r="BN84" s="3476" t="s">
        <v>3594</v>
      </c>
      <c r="BO84" s="3476" t="s">
        <v>3594</v>
      </c>
      <c r="BP84" s="3476" t="s">
        <v>3594</v>
      </c>
      <c r="BQ84" s="3476" t="s">
        <v>3594</v>
      </c>
      <c r="BR84" s="3476" t="s">
        <v>3594</v>
      </c>
      <c r="BS84" s="3476" t="s">
        <v>3594</v>
      </c>
      <c r="BT84" s="3476" t="s">
        <v>3594</v>
      </c>
      <c r="BU84" s="3476" t="s">
        <v>3594</v>
      </c>
      <c r="BV84" s="3476" t="s">
        <v>3594</v>
      </c>
      <c r="BW84" s="3476" t="s">
        <v>3594</v>
      </c>
      <c r="BX84" s="3476" t="s">
        <v>3594</v>
      </c>
      <c r="BY84" s="3476" t="s">
        <v>3594</v>
      </c>
      <c r="BZ84" s="3476" t="s">
        <v>3594</v>
      </c>
      <c r="CA84" s="3476" t="s">
        <v>3594</v>
      </c>
      <c r="CB84" s="3476" t="s">
        <v>3594</v>
      </c>
      <c r="CC84" s="3476" t="s">
        <v>3594</v>
      </c>
      <c r="CD84" s="3476" t="s">
        <v>3594</v>
      </c>
      <c r="CE84" s="3476" t="s">
        <v>3594</v>
      </c>
      <c r="CF84" s="3476" t="s">
        <v>3594</v>
      </c>
      <c r="CG84" s="3476" t="s">
        <v>3594</v>
      </c>
      <c r="CH84" s="3476" t="s">
        <v>3594</v>
      </c>
      <c r="CI84" s="3476" t="s">
        <v>3594</v>
      </c>
      <c r="CJ84" s="3476" t="s">
        <v>3594</v>
      </c>
      <c r="CK84" s="3476" t="s">
        <v>3594</v>
      </c>
      <c r="CL84" s="3476" t="s">
        <v>3594</v>
      </c>
      <c r="CM84" s="3476" t="s">
        <v>3594</v>
      </c>
      <c r="CN84" s="3476" t="s">
        <v>3594</v>
      </c>
    </row>
    <row r="85" spans="1:92" ht="14.1" customHeight="1">
      <c r="A85" s="3475" t="s">
        <v>3725</v>
      </c>
      <c r="B85" s="3475" t="s">
        <v>3726</v>
      </c>
      <c r="C85" s="3475" t="s">
        <v>3747</v>
      </c>
      <c r="D85" s="3475" t="s">
        <v>3727</v>
      </c>
      <c r="E85" s="3475" t="s">
        <v>3728</v>
      </c>
      <c r="F85" s="3475" t="s">
        <v>3583</v>
      </c>
      <c r="G85" s="3475" t="s">
        <v>3610</v>
      </c>
      <c r="H85" s="3475" t="s">
        <v>3742</v>
      </c>
      <c r="I85" s="3475" t="s">
        <v>3586</v>
      </c>
      <c r="J85" s="3475">
        <v>632.61</v>
      </c>
      <c r="K85" s="3475" t="s">
        <v>3601</v>
      </c>
      <c r="L85" s="3475" t="s">
        <v>3602</v>
      </c>
      <c r="M85" s="3475">
        <v>-3.7405200000000001</v>
      </c>
      <c r="N85" s="3475" t="s">
        <v>3589</v>
      </c>
      <c r="O85" s="3475" t="s">
        <v>3590</v>
      </c>
      <c r="P85" s="3475" t="s">
        <v>3594</v>
      </c>
      <c r="Q85" s="3475" t="s">
        <v>3738</v>
      </c>
      <c r="R85" s="3475" t="s">
        <v>3731</v>
      </c>
      <c r="S85" s="3475" t="s">
        <v>3699</v>
      </c>
      <c r="T85" s="3475" t="s">
        <v>3731</v>
      </c>
      <c r="U85" s="3475" t="s">
        <v>3594</v>
      </c>
      <c r="V85" s="3475" t="s">
        <v>3594</v>
      </c>
      <c r="W85" s="3475" t="s">
        <v>3594</v>
      </c>
      <c r="X85" s="3475" t="s">
        <v>3594</v>
      </c>
      <c r="Y85" s="3475" t="s">
        <v>3594</v>
      </c>
      <c r="Z85" s="3475" t="s">
        <v>3594</v>
      </c>
      <c r="AA85" s="3475" t="s">
        <v>3594</v>
      </c>
      <c r="AB85" s="3475" t="s">
        <v>3594</v>
      </c>
      <c r="AC85" s="3475" t="s">
        <v>3594</v>
      </c>
      <c r="AD85" s="3475" t="s">
        <v>3594</v>
      </c>
      <c r="AE85" s="3475" t="s">
        <v>3594</v>
      </c>
      <c r="AF85" s="3475" t="s">
        <v>3594</v>
      </c>
      <c r="AG85" s="3476" t="s">
        <v>3594</v>
      </c>
      <c r="AH85" s="3476" t="s">
        <v>3594</v>
      </c>
      <c r="AI85" s="3476" t="s">
        <v>3594</v>
      </c>
      <c r="AJ85" s="3476" t="s">
        <v>3594</v>
      </c>
      <c r="AK85" s="3476" t="s">
        <v>3594</v>
      </c>
      <c r="AL85" s="3476">
        <v>-70988.710000000006</v>
      </c>
      <c r="AM85" s="3476">
        <v>-73355</v>
      </c>
      <c r="AN85" s="3476">
        <v>-73355</v>
      </c>
      <c r="AO85" s="3476">
        <v>-70988.710000000006</v>
      </c>
      <c r="AP85" s="3476">
        <v>-73355</v>
      </c>
      <c r="AQ85" s="3476">
        <v>-70988.710000000006</v>
      </c>
      <c r="AR85" s="3476">
        <v>-73355</v>
      </c>
      <c r="AS85" s="3476">
        <v>-73355</v>
      </c>
      <c r="AT85" s="3476">
        <v>-66256.13</v>
      </c>
      <c r="AU85" s="3476">
        <v>-73355</v>
      </c>
      <c r="AV85" s="3476">
        <v>-70988.710000000006</v>
      </c>
      <c r="AW85" s="3476">
        <v>-73355</v>
      </c>
      <c r="AX85" s="3476" t="s">
        <v>3594</v>
      </c>
      <c r="AY85" s="3476" t="s">
        <v>3594</v>
      </c>
      <c r="AZ85" s="3476" t="s">
        <v>3594</v>
      </c>
      <c r="BA85" s="3476" t="s">
        <v>3594</v>
      </c>
      <c r="BB85" s="3476" t="s">
        <v>3594</v>
      </c>
      <c r="BC85" s="3476" t="s">
        <v>3594</v>
      </c>
      <c r="BD85" s="3476" t="s">
        <v>3594</v>
      </c>
      <c r="BE85" s="3476" t="s">
        <v>3594</v>
      </c>
      <c r="BF85" s="3476" t="s">
        <v>3594</v>
      </c>
      <c r="BG85" s="3476" t="s">
        <v>3594</v>
      </c>
      <c r="BH85" s="3476" t="s">
        <v>3594</v>
      </c>
      <c r="BI85" s="3476" t="s">
        <v>3594</v>
      </c>
      <c r="BJ85" s="3476" t="s">
        <v>3594</v>
      </c>
      <c r="BK85" s="3476" t="s">
        <v>3594</v>
      </c>
      <c r="BL85" s="3476" t="s">
        <v>3594</v>
      </c>
      <c r="BM85" s="3476" t="s">
        <v>3594</v>
      </c>
      <c r="BN85" s="3476" t="s">
        <v>3594</v>
      </c>
      <c r="BO85" s="3476" t="s">
        <v>3594</v>
      </c>
      <c r="BP85" s="3476" t="s">
        <v>3594</v>
      </c>
      <c r="BQ85" s="3476" t="s">
        <v>3594</v>
      </c>
      <c r="BR85" s="3476" t="s">
        <v>3594</v>
      </c>
      <c r="BS85" s="3476" t="s">
        <v>3594</v>
      </c>
      <c r="BT85" s="3476" t="s">
        <v>3594</v>
      </c>
      <c r="BU85" s="3476" t="s">
        <v>3594</v>
      </c>
      <c r="BV85" s="3476" t="s">
        <v>3594</v>
      </c>
      <c r="BW85" s="3476" t="s">
        <v>3594</v>
      </c>
      <c r="BX85" s="3476" t="s">
        <v>3594</v>
      </c>
      <c r="BY85" s="3476" t="s">
        <v>3594</v>
      </c>
      <c r="BZ85" s="3476" t="s">
        <v>3594</v>
      </c>
      <c r="CA85" s="3476" t="s">
        <v>3594</v>
      </c>
      <c r="CB85" s="3476" t="s">
        <v>3594</v>
      </c>
      <c r="CC85" s="3476" t="s">
        <v>3594</v>
      </c>
      <c r="CD85" s="3476" t="s">
        <v>3594</v>
      </c>
      <c r="CE85" s="3476" t="s">
        <v>3594</v>
      </c>
      <c r="CF85" s="3476" t="s">
        <v>3594</v>
      </c>
      <c r="CG85" s="3476" t="s">
        <v>3594</v>
      </c>
      <c r="CH85" s="3476" t="s">
        <v>3594</v>
      </c>
      <c r="CI85" s="3476" t="s">
        <v>3594</v>
      </c>
      <c r="CJ85" s="3476" t="s">
        <v>3594</v>
      </c>
      <c r="CK85" s="3476" t="s">
        <v>3594</v>
      </c>
      <c r="CL85" s="3476" t="s">
        <v>3594</v>
      </c>
      <c r="CM85" s="3476" t="s">
        <v>3594</v>
      </c>
      <c r="CN85" s="3476" t="s">
        <v>3594</v>
      </c>
    </row>
    <row r="86" spans="1:92" ht="14.1" customHeight="1">
      <c r="A86" s="3475" t="s">
        <v>3725</v>
      </c>
      <c r="B86" s="3475" t="s">
        <v>3726</v>
      </c>
      <c r="C86" s="3475" t="s">
        <v>3703</v>
      </c>
      <c r="D86" s="3475" t="s">
        <v>3727</v>
      </c>
      <c r="E86" s="3475" t="s">
        <v>3728</v>
      </c>
      <c r="F86" s="3475" t="s">
        <v>3583</v>
      </c>
      <c r="G86" s="3475" t="s">
        <v>3610</v>
      </c>
      <c r="H86" s="3475" t="s">
        <v>3742</v>
      </c>
      <c r="I86" s="3475" t="s">
        <v>3586</v>
      </c>
      <c r="J86" s="3475">
        <v>632.61</v>
      </c>
      <c r="K86" s="3475" t="s">
        <v>3604</v>
      </c>
      <c r="L86" s="3475" t="s">
        <v>3605</v>
      </c>
      <c r="M86" s="3475">
        <v>0.33824599999999999</v>
      </c>
      <c r="N86" s="3475" t="s">
        <v>3598</v>
      </c>
      <c r="O86" s="3475" t="s">
        <v>3590</v>
      </c>
      <c r="P86" s="3475" t="s">
        <v>3594</v>
      </c>
      <c r="Q86" s="3475" t="s">
        <v>3699</v>
      </c>
      <c r="R86" s="3475" t="s">
        <v>3730</v>
      </c>
      <c r="S86" s="3475" t="s">
        <v>3699</v>
      </c>
      <c r="T86" s="3475" t="s">
        <v>3731</v>
      </c>
      <c r="U86" s="3475">
        <v>6633.31</v>
      </c>
      <c r="V86" s="3475">
        <v>5991.38</v>
      </c>
      <c r="W86" s="3475">
        <v>6633.31</v>
      </c>
      <c r="X86" s="3475">
        <v>6419.33</v>
      </c>
      <c r="Y86" s="3475">
        <v>6633.31</v>
      </c>
      <c r="Z86" s="3475" t="s">
        <v>3594</v>
      </c>
      <c r="AA86" s="3475" t="s">
        <v>3594</v>
      </c>
      <c r="AB86" s="3475" t="s">
        <v>3594</v>
      </c>
      <c r="AC86" s="3475" t="s">
        <v>3594</v>
      </c>
      <c r="AD86" s="3475" t="s">
        <v>3594</v>
      </c>
      <c r="AE86" s="3475" t="s">
        <v>3594</v>
      </c>
      <c r="AF86" s="3475" t="s">
        <v>3594</v>
      </c>
      <c r="AG86" s="3476" t="s">
        <v>3594</v>
      </c>
      <c r="AH86" s="3476" t="s">
        <v>3594</v>
      </c>
      <c r="AI86" s="3476" t="s">
        <v>3594</v>
      </c>
      <c r="AJ86" s="3476" t="s">
        <v>3594</v>
      </c>
      <c r="AK86" s="3476" t="s">
        <v>3594</v>
      </c>
      <c r="AL86" s="3476" t="s">
        <v>3594</v>
      </c>
      <c r="AM86" s="3476" t="s">
        <v>3594</v>
      </c>
      <c r="AN86" s="3476" t="s">
        <v>3594</v>
      </c>
      <c r="AO86" s="3476" t="s">
        <v>3594</v>
      </c>
      <c r="AP86" s="3476" t="s">
        <v>3594</v>
      </c>
      <c r="AQ86" s="3476" t="s">
        <v>3594</v>
      </c>
      <c r="AR86" s="3476" t="s">
        <v>3594</v>
      </c>
      <c r="AS86" s="3476" t="s">
        <v>3594</v>
      </c>
      <c r="AT86" s="3476" t="s">
        <v>3594</v>
      </c>
      <c r="AU86" s="3476" t="s">
        <v>3594</v>
      </c>
      <c r="AV86" s="3476" t="s">
        <v>3594</v>
      </c>
      <c r="AW86" s="3476" t="s">
        <v>3594</v>
      </c>
      <c r="AX86" s="3476" t="s">
        <v>3594</v>
      </c>
      <c r="AY86" s="3476" t="s">
        <v>3594</v>
      </c>
      <c r="AZ86" s="3476" t="s">
        <v>3594</v>
      </c>
      <c r="BA86" s="3476" t="s">
        <v>3594</v>
      </c>
      <c r="BB86" s="3476" t="s">
        <v>3594</v>
      </c>
      <c r="BC86" s="3476" t="s">
        <v>3594</v>
      </c>
      <c r="BD86" s="3476" t="s">
        <v>3594</v>
      </c>
      <c r="BE86" s="3476" t="s">
        <v>3594</v>
      </c>
      <c r="BF86" s="3476" t="s">
        <v>3594</v>
      </c>
      <c r="BG86" s="3476" t="s">
        <v>3594</v>
      </c>
      <c r="BH86" s="3476" t="s">
        <v>3594</v>
      </c>
      <c r="BI86" s="3476" t="s">
        <v>3594</v>
      </c>
      <c r="BJ86" s="3476" t="s">
        <v>3594</v>
      </c>
      <c r="BK86" s="3476" t="s">
        <v>3594</v>
      </c>
      <c r="BL86" s="3476" t="s">
        <v>3594</v>
      </c>
      <c r="BM86" s="3476" t="s">
        <v>3594</v>
      </c>
      <c r="BN86" s="3476" t="s">
        <v>3594</v>
      </c>
      <c r="BO86" s="3476" t="s">
        <v>3594</v>
      </c>
      <c r="BP86" s="3476" t="s">
        <v>3594</v>
      </c>
      <c r="BQ86" s="3476" t="s">
        <v>3594</v>
      </c>
      <c r="BR86" s="3476" t="s">
        <v>3594</v>
      </c>
      <c r="BS86" s="3476" t="s">
        <v>3594</v>
      </c>
      <c r="BT86" s="3476" t="s">
        <v>3594</v>
      </c>
      <c r="BU86" s="3476" t="s">
        <v>3594</v>
      </c>
      <c r="BV86" s="3476" t="s">
        <v>3594</v>
      </c>
      <c r="BW86" s="3476" t="s">
        <v>3594</v>
      </c>
      <c r="BX86" s="3476" t="s">
        <v>3594</v>
      </c>
      <c r="BY86" s="3476" t="s">
        <v>3594</v>
      </c>
      <c r="BZ86" s="3476" t="s">
        <v>3594</v>
      </c>
      <c r="CA86" s="3476" t="s">
        <v>3594</v>
      </c>
      <c r="CB86" s="3476" t="s">
        <v>3594</v>
      </c>
      <c r="CC86" s="3476" t="s">
        <v>3594</v>
      </c>
      <c r="CD86" s="3476" t="s">
        <v>3594</v>
      </c>
      <c r="CE86" s="3476" t="s">
        <v>3594</v>
      </c>
      <c r="CF86" s="3476" t="s">
        <v>3594</v>
      </c>
      <c r="CG86" s="3476" t="s">
        <v>3594</v>
      </c>
      <c r="CH86" s="3476" t="s">
        <v>3594</v>
      </c>
      <c r="CI86" s="3476" t="s">
        <v>3594</v>
      </c>
      <c r="CJ86" s="3476" t="s">
        <v>3594</v>
      </c>
      <c r="CK86" s="3476" t="s">
        <v>3594</v>
      </c>
      <c r="CL86" s="3476" t="s">
        <v>3594</v>
      </c>
      <c r="CM86" s="3476" t="s">
        <v>3594</v>
      </c>
      <c r="CN86" s="3476" t="s">
        <v>3594</v>
      </c>
    </row>
    <row r="87" spans="1:92" ht="14.1" customHeight="1">
      <c r="A87" s="3475" t="s">
        <v>3725</v>
      </c>
      <c r="B87" s="3475" t="s">
        <v>3726</v>
      </c>
      <c r="C87" s="3475" t="s">
        <v>3748</v>
      </c>
      <c r="D87" s="3475" t="s">
        <v>3727</v>
      </c>
      <c r="E87" s="3475" t="s">
        <v>3728</v>
      </c>
      <c r="F87" s="3475" t="s">
        <v>3583</v>
      </c>
      <c r="G87" s="3475" t="s">
        <v>3610</v>
      </c>
      <c r="H87" s="3475" t="s">
        <v>3742</v>
      </c>
      <c r="I87" s="3475" t="s">
        <v>3586</v>
      </c>
      <c r="J87" s="3475">
        <v>632.61</v>
      </c>
      <c r="K87" s="3475" t="s">
        <v>3604</v>
      </c>
      <c r="L87" s="3475" t="s">
        <v>3605</v>
      </c>
      <c r="M87" s="3475">
        <v>0.35849199999999998</v>
      </c>
      <c r="N87" s="3475" t="s">
        <v>3598</v>
      </c>
      <c r="O87" s="3475" t="s">
        <v>3590</v>
      </c>
      <c r="P87" s="3475" t="s">
        <v>3594</v>
      </c>
      <c r="Q87" s="3475" t="s">
        <v>3734</v>
      </c>
      <c r="R87" s="3475" t="s">
        <v>3735</v>
      </c>
      <c r="S87" s="3475" t="s">
        <v>3699</v>
      </c>
      <c r="T87" s="3475" t="s">
        <v>3731</v>
      </c>
      <c r="U87" s="3475" t="s">
        <v>3594</v>
      </c>
      <c r="V87" s="3475" t="s">
        <v>3594</v>
      </c>
      <c r="W87" s="3475" t="s">
        <v>3594</v>
      </c>
      <c r="X87" s="3475" t="s">
        <v>3594</v>
      </c>
      <c r="Y87" s="3475" t="s">
        <v>3594</v>
      </c>
      <c r="Z87" s="3475">
        <v>6803.57</v>
      </c>
      <c r="AA87" s="3475">
        <v>7030.35</v>
      </c>
      <c r="AB87" s="3475">
        <v>7030.35</v>
      </c>
      <c r="AC87" s="3475">
        <v>6803.57</v>
      </c>
      <c r="AD87" s="3475">
        <v>7030.35</v>
      </c>
      <c r="AE87" s="3475">
        <v>6803.57</v>
      </c>
      <c r="AF87" s="3475">
        <v>7030.35</v>
      </c>
      <c r="AG87" s="3476">
        <v>7030.35</v>
      </c>
      <c r="AH87" s="3476">
        <v>6576.78</v>
      </c>
      <c r="AI87" s="3476">
        <v>7030.35</v>
      </c>
      <c r="AJ87" s="3476">
        <v>6803.57</v>
      </c>
      <c r="AK87" s="3476">
        <v>7030.35</v>
      </c>
      <c r="AL87" s="3476" t="s">
        <v>3594</v>
      </c>
      <c r="AM87" s="3476" t="s">
        <v>3594</v>
      </c>
      <c r="AN87" s="3476" t="s">
        <v>3594</v>
      </c>
      <c r="AO87" s="3476" t="s">
        <v>3594</v>
      </c>
      <c r="AP87" s="3476" t="s">
        <v>3594</v>
      </c>
      <c r="AQ87" s="3476" t="s">
        <v>3594</v>
      </c>
      <c r="AR87" s="3476" t="s">
        <v>3594</v>
      </c>
      <c r="AS87" s="3476" t="s">
        <v>3594</v>
      </c>
      <c r="AT87" s="3476" t="s">
        <v>3594</v>
      </c>
      <c r="AU87" s="3476" t="s">
        <v>3594</v>
      </c>
      <c r="AV87" s="3476" t="s">
        <v>3594</v>
      </c>
      <c r="AW87" s="3476" t="s">
        <v>3594</v>
      </c>
      <c r="AX87" s="3476" t="s">
        <v>3594</v>
      </c>
      <c r="AY87" s="3476" t="s">
        <v>3594</v>
      </c>
      <c r="AZ87" s="3476" t="s">
        <v>3594</v>
      </c>
      <c r="BA87" s="3476" t="s">
        <v>3594</v>
      </c>
      <c r="BB87" s="3476" t="s">
        <v>3594</v>
      </c>
      <c r="BC87" s="3476" t="s">
        <v>3594</v>
      </c>
      <c r="BD87" s="3476" t="s">
        <v>3594</v>
      </c>
      <c r="BE87" s="3476" t="s">
        <v>3594</v>
      </c>
      <c r="BF87" s="3476" t="s">
        <v>3594</v>
      </c>
      <c r="BG87" s="3476" t="s">
        <v>3594</v>
      </c>
      <c r="BH87" s="3476" t="s">
        <v>3594</v>
      </c>
      <c r="BI87" s="3476" t="s">
        <v>3594</v>
      </c>
      <c r="BJ87" s="3476" t="s">
        <v>3594</v>
      </c>
      <c r="BK87" s="3476" t="s">
        <v>3594</v>
      </c>
      <c r="BL87" s="3476" t="s">
        <v>3594</v>
      </c>
      <c r="BM87" s="3476" t="s">
        <v>3594</v>
      </c>
      <c r="BN87" s="3476" t="s">
        <v>3594</v>
      </c>
      <c r="BO87" s="3476" t="s">
        <v>3594</v>
      </c>
      <c r="BP87" s="3476" t="s">
        <v>3594</v>
      </c>
      <c r="BQ87" s="3476" t="s">
        <v>3594</v>
      </c>
      <c r="BR87" s="3476" t="s">
        <v>3594</v>
      </c>
      <c r="BS87" s="3476" t="s">
        <v>3594</v>
      </c>
      <c r="BT87" s="3476" t="s">
        <v>3594</v>
      </c>
      <c r="BU87" s="3476" t="s">
        <v>3594</v>
      </c>
      <c r="BV87" s="3476" t="s">
        <v>3594</v>
      </c>
      <c r="BW87" s="3476" t="s">
        <v>3594</v>
      </c>
      <c r="BX87" s="3476" t="s">
        <v>3594</v>
      </c>
      <c r="BY87" s="3476" t="s">
        <v>3594</v>
      </c>
      <c r="BZ87" s="3476" t="s">
        <v>3594</v>
      </c>
      <c r="CA87" s="3476" t="s">
        <v>3594</v>
      </c>
      <c r="CB87" s="3476" t="s">
        <v>3594</v>
      </c>
      <c r="CC87" s="3476" t="s">
        <v>3594</v>
      </c>
      <c r="CD87" s="3476" t="s">
        <v>3594</v>
      </c>
      <c r="CE87" s="3476" t="s">
        <v>3594</v>
      </c>
      <c r="CF87" s="3476" t="s">
        <v>3594</v>
      </c>
      <c r="CG87" s="3476" t="s">
        <v>3594</v>
      </c>
      <c r="CH87" s="3476" t="s">
        <v>3594</v>
      </c>
      <c r="CI87" s="3476" t="s">
        <v>3594</v>
      </c>
      <c r="CJ87" s="3476" t="s">
        <v>3594</v>
      </c>
      <c r="CK87" s="3476" t="s">
        <v>3594</v>
      </c>
      <c r="CL87" s="3476" t="s">
        <v>3594</v>
      </c>
      <c r="CM87" s="3476" t="s">
        <v>3594</v>
      </c>
      <c r="CN87" s="3476" t="s">
        <v>3594</v>
      </c>
    </row>
    <row r="88" spans="1:92" ht="14.1" customHeight="1">
      <c r="A88" s="3475" t="s">
        <v>3725</v>
      </c>
      <c r="B88" s="3475" t="s">
        <v>3726</v>
      </c>
      <c r="C88" s="3475" t="s">
        <v>3749</v>
      </c>
      <c r="D88" s="3475" t="s">
        <v>3727</v>
      </c>
      <c r="E88" s="3475" t="s">
        <v>3728</v>
      </c>
      <c r="F88" s="3475" t="s">
        <v>3583</v>
      </c>
      <c r="G88" s="3475" t="s">
        <v>3610</v>
      </c>
      <c r="H88" s="3475" t="s">
        <v>3742</v>
      </c>
      <c r="I88" s="3475" t="s">
        <v>3586</v>
      </c>
      <c r="J88" s="3475">
        <v>632.61</v>
      </c>
      <c r="K88" s="3475" t="s">
        <v>3604</v>
      </c>
      <c r="L88" s="3475" t="s">
        <v>3605</v>
      </c>
      <c r="M88" s="3475">
        <v>0.38001000000000001</v>
      </c>
      <c r="N88" s="3475" t="s">
        <v>3598</v>
      </c>
      <c r="O88" s="3475" t="s">
        <v>3590</v>
      </c>
      <c r="P88" s="3475" t="s">
        <v>3594</v>
      </c>
      <c r="Q88" s="3475" t="s">
        <v>3738</v>
      </c>
      <c r="R88" s="3475" t="s">
        <v>3731</v>
      </c>
      <c r="S88" s="3475" t="s">
        <v>3699</v>
      </c>
      <c r="T88" s="3475" t="s">
        <v>3731</v>
      </c>
      <c r="U88" s="3475" t="s">
        <v>3594</v>
      </c>
      <c r="V88" s="3475" t="s">
        <v>3594</v>
      </c>
      <c r="W88" s="3475" t="s">
        <v>3594</v>
      </c>
      <c r="X88" s="3475" t="s">
        <v>3594</v>
      </c>
      <c r="Y88" s="3475" t="s">
        <v>3594</v>
      </c>
      <c r="Z88" s="3475" t="s">
        <v>3594</v>
      </c>
      <c r="AA88" s="3475" t="s">
        <v>3594</v>
      </c>
      <c r="AB88" s="3475" t="s">
        <v>3594</v>
      </c>
      <c r="AC88" s="3475" t="s">
        <v>3594</v>
      </c>
      <c r="AD88" s="3475" t="s">
        <v>3594</v>
      </c>
      <c r="AE88" s="3475" t="s">
        <v>3594</v>
      </c>
      <c r="AF88" s="3475" t="s">
        <v>3594</v>
      </c>
      <c r="AG88" s="3476" t="s">
        <v>3594</v>
      </c>
      <c r="AH88" s="3476" t="s">
        <v>3594</v>
      </c>
      <c r="AI88" s="3476" t="s">
        <v>3594</v>
      </c>
      <c r="AJ88" s="3476" t="s">
        <v>3594</v>
      </c>
      <c r="AK88" s="3476" t="s">
        <v>3594</v>
      </c>
      <c r="AL88" s="3476">
        <v>7211.94</v>
      </c>
      <c r="AM88" s="3476">
        <v>7452.34</v>
      </c>
      <c r="AN88" s="3476">
        <v>7452.34</v>
      </c>
      <c r="AO88" s="3476">
        <v>7211.94</v>
      </c>
      <c r="AP88" s="3476">
        <v>7452.34</v>
      </c>
      <c r="AQ88" s="3476">
        <v>7211.94</v>
      </c>
      <c r="AR88" s="3476">
        <v>7452.34</v>
      </c>
      <c r="AS88" s="3476">
        <v>7452.34</v>
      </c>
      <c r="AT88" s="3476">
        <v>6731.15</v>
      </c>
      <c r="AU88" s="3476">
        <v>7452.34</v>
      </c>
      <c r="AV88" s="3476">
        <v>7211.94</v>
      </c>
      <c r="AW88" s="3476">
        <v>7452.34</v>
      </c>
      <c r="AX88" s="3476" t="s">
        <v>3594</v>
      </c>
      <c r="AY88" s="3476" t="s">
        <v>3594</v>
      </c>
      <c r="AZ88" s="3476" t="s">
        <v>3594</v>
      </c>
      <c r="BA88" s="3476" t="s">
        <v>3594</v>
      </c>
      <c r="BB88" s="3476" t="s">
        <v>3594</v>
      </c>
      <c r="BC88" s="3476" t="s">
        <v>3594</v>
      </c>
      <c r="BD88" s="3476" t="s">
        <v>3594</v>
      </c>
      <c r="BE88" s="3476" t="s">
        <v>3594</v>
      </c>
      <c r="BF88" s="3476" t="s">
        <v>3594</v>
      </c>
      <c r="BG88" s="3476" t="s">
        <v>3594</v>
      </c>
      <c r="BH88" s="3476" t="s">
        <v>3594</v>
      </c>
      <c r="BI88" s="3476" t="s">
        <v>3594</v>
      </c>
      <c r="BJ88" s="3476" t="s">
        <v>3594</v>
      </c>
      <c r="BK88" s="3476" t="s">
        <v>3594</v>
      </c>
      <c r="BL88" s="3476" t="s">
        <v>3594</v>
      </c>
      <c r="BM88" s="3476" t="s">
        <v>3594</v>
      </c>
      <c r="BN88" s="3476" t="s">
        <v>3594</v>
      </c>
      <c r="BO88" s="3476" t="s">
        <v>3594</v>
      </c>
      <c r="BP88" s="3476" t="s">
        <v>3594</v>
      </c>
      <c r="BQ88" s="3476" t="s">
        <v>3594</v>
      </c>
      <c r="BR88" s="3476" t="s">
        <v>3594</v>
      </c>
      <c r="BS88" s="3476" t="s">
        <v>3594</v>
      </c>
      <c r="BT88" s="3476" t="s">
        <v>3594</v>
      </c>
      <c r="BU88" s="3476" t="s">
        <v>3594</v>
      </c>
      <c r="BV88" s="3476" t="s">
        <v>3594</v>
      </c>
      <c r="BW88" s="3476" t="s">
        <v>3594</v>
      </c>
      <c r="BX88" s="3476" t="s">
        <v>3594</v>
      </c>
      <c r="BY88" s="3476" t="s">
        <v>3594</v>
      </c>
      <c r="BZ88" s="3476" t="s">
        <v>3594</v>
      </c>
      <c r="CA88" s="3476" t="s">
        <v>3594</v>
      </c>
      <c r="CB88" s="3476" t="s">
        <v>3594</v>
      </c>
      <c r="CC88" s="3476" t="s">
        <v>3594</v>
      </c>
      <c r="CD88" s="3476" t="s">
        <v>3594</v>
      </c>
      <c r="CE88" s="3476" t="s">
        <v>3594</v>
      </c>
      <c r="CF88" s="3476" t="s">
        <v>3594</v>
      </c>
      <c r="CG88" s="3476" t="s">
        <v>3594</v>
      </c>
      <c r="CH88" s="3476" t="s">
        <v>3594</v>
      </c>
      <c r="CI88" s="3476" t="s">
        <v>3594</v>
      </c>
      <c r="CJ88" s="3476" t="s">
        <v>3594</v>
      </c>
      <c r="CK88" s="3476" t="s">
        <v>3594</v>
      </c>
      <c r="CL88" s="3476" t="s">
        <v>3594</v>
      </c>
      <c r="CM88" s="3476" t="s">
        <v>3594</v>
      </c>
      <c r="CN88" s="3476" t="s">
        <v>3594</v>
      </c>
    </row>
  </sheetData>
  <autoFilter ref="A1:CN88"/>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114107.98000000001</v>
      </c>
      <c r="C4" s="854">
        <f>项目基本情况!C18</f>
        <v>236852.67</v>
      </c>
      <c r="D4" s="854">
        <f ca="1">结果表!D118</f>
        <v>173827</v>
      </c>
      <c r="E4" s="854">
        <f ca="1">结果表!E118</f>
        <v>15234</v>
      </c>
      <c r="F4" s="854">
        <f ca="1">结果表!F118</f>
        <v>41260</v>
      </c>
      <c r="G4" s="854">
        <f ca="1">结果表!G118</f>
        <v>3616</v>
      </c>
      <c r="H4" s="854">
        <f ca="1">结果表!H118</f>
        <v>215087</v>
      </c>
      <c r="I4" s="854">
        <f ca="1">结果表!I118</f>
        <v>18849</v>
      </c>
    </row>
    <row r="5" spans="1:9" ht="30" customHeight="1">
      <c r="A5" s="3491" t="s">
        <v>927</v>
      </c>
      <c r="B5" s="3491"/>
      <c r="C5" s="3491"/>
      <c r="D5" s="3491" t="str">
        <f ca="1">结果表!D119</f>
        <v>壹拾柒亿叁仟捌佰贰拾柒万元整</v>
      </c>
      <c r="E5" s="3491"/>
      <c r="F5" s="3491" t="str">
        <f ca="1">结果表!F119</f>
        <v>肆亿壹仟贰佰陆拾万元整</v>
      </c>
      <c r="G5" s="3491"/>
      <c r="H5" s="3491" t="str">
        <f ca="1">结果表!H119</f>
        <v>贰拾壹亿伍仟零捌拾柒万元整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215087</v>
      </c>
      <c r="E8" s="3492"/>
      <c r="F8" s="3492"/>
      <c r="G8" s="3492"/>
      <c r="H8" s="3492"/>
      <c r="I8" s="3492"/>
    </row>
    <row r="9" spans="1:9" ht="15">
      <c r="A9" s="3491" t="s">
        <v>927</v>
      </c>
      <c r="B9" s="3491"/>
      <c r="C9" s="3491"/>
      <c r="D9" s="3491" t="str">
        <f ca="1">结果表!D123</f>
        <v>贰拾壹亿伍仟零捌拾柒万元整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租金整理</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2023-06-29T08:30:44Z</dcterms:modified>
</cp:coreProperties>
</file>