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48" windowWidth="14436" windowHeight="11988"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I7" i="34"/>
  <c r="G7" i="34"/>
  <c r="E7" i="34"/>
  <c r="E20" i="1"/>
  <c r="G20" i="1"/>
  <c r="AH5" i="59" l="1"/>
  <c r="AG5" i="59"/>
  <c r="AF5" i="59"/>
  <c r="AE5" i="59"/>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12" i="59" s="1"/>
  <c r="Q18" i="59"/>
  <c r="P17" i="59"/>
  <c r="P18" i="59"/>
  <c r="O17" i="59"/>
  <c r="Y13" i="59" s="1"/>
  <c r="Z13" i="59" s="1"/>
  <c r="N17" i="59"/>
  <c r="B2" i="48"/>
  <c r="O19" i="59"/>
  <c r="O20" i="59"/>
  <c r="Y20" i="59" s="1"/>
  <c r="N19" i="59"/>
  <c r="N20" i="59"/>
  <c r="AH18" i="59"/>
  <c r="AG18" i="59"/>
  <c r="AE18" i="59"/>
  <c r="AF18" i="59" s="1"/>
  <c r="AD18" i="59"/>
  <c r="Q19" i="59"/>
  <c r="Q20" i="59"/>
  <c r="AB14" i="59" s="1"/>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AA20" i="59" s="1"/>
  <c r="O22" i="59"/>
  <c r="O23" i="59"/>
  <c r="N22" i="59"/>
  <c r="N23" i="59"/>
  <c r="N24" i="59"/>
  <c r="O24" i="59"/>
  <c r="P24" i="59"/>
  <c r="Q24" i="59"/>
  <c r="AD23" i="59"/>
  <c r="AE23" i="59"/>
  <c r="AF23" i="59" s="1"/>
  <c r="AG23" i="59"/>
  <c r="AH23" i="59"/>
  <c r="M48" i="15"/>
  <c r="B2" i="1"/>
  <c r="F30" i="1" s="1"/>
  <c r="B24" i="1"/>
  <c r="J50" i="15"/>
  <c r="J51" i="15"/>
  <c r="J52" i="15" s="1"/>
  <c r="M60" i="15" s="1"/>
  <c r="B26" i="1"/>
  <c r="AH24" i="59"/>
  <c r="AG24" i="59"/>
  <c r="AE24" i="59"/>
  <c r="AF24" i="59"/>
  <c r="AD24" i="59"/>
  <c r="AH25" i="59"/>
  <c r="AG25" i="59"/>
  <c r="AE25" i="59"/>
  <c r="AF25" i="59"/>
  <c r="AD25" i="59"/>
  <c r="Q25" i="59"/>
  <c r="P25" i="59"/>
  <c r="O25" i="59"/>
  <c r="N25" i="59"/>
  <c r="Q26" i="59"/>
  <c r="P26" i="59"/>
  <c r="O26" i="59"/>
  <c r="N26" i="59"/>
  <c r="D26" i="59"/>
  <c r="E25" i="59"/>
  <c r="E24" i="59"/>
  <c r="E23" i="59" s="1"/>
  <c r="E22" i="59" s="1"/>
  <c r="E21" i="59" s="1"/>
  <c r="E20" i="59" s="1"/>
  <c r="E19" i="59" s="1"/>
  <c r="E18" i="59" s="1"/>
  <c r="E17" i="59" s="1"/>
  <c r="F25" i="59"/>
  <c r="C25" i="59"/>
  <c r="D25" i="59" s="1"/>
  <c r="A2" i="50"/>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1" i="59"/>
  <c r="Y34" i="59"/>
  <c r="Z34" i="59" s="1"/>
  <c r="Z37"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C81" i="59"/>
  <c r="T81" i="59"/>
  <c r="B81" i="59"/>
  <c r="S81" i="59" s="1"/>
  <c r="Q80" i="59"/>
  <c r="P80" i="59"/>
  <c r="O80" i="59"/>
  <c r="N80" i="59"/>
  <c r="B80" i="59"/>
  <c r="B79" i="59" s="1"/>
  <c r="Q79" i="59"/>
  <c r="P79" i="59"/>
  <c r="O79" i="59"/>
  <c r="N79" i="59"/>
  <c r="Q78" i="59"/>
  <c r="P78" i="59"/>
  <c r="O78" i="59"/>
  <c r="N78" i="59"/>
  <c r="D78" i="59"/>
  <c r="S77" i="59"/>
  <c r="Q77" i="59"/>
  <c r="P77" i="59"/>
  <c r="O77" i="59"/>
  <c r="N77" i="59"/>
  <c r="F77" i="59"/>
  <c r="E77" i="59"/>
  <c r="U77" i="59"/>
  <c r="C77" i="59"/>
  <c r="B77" i="59"/>
  <c r="Q76" i="59"/>
  <c r="P76" i="59"/>
  <c r="O76" i="59"/>
  <c r="N76" i="59"/>
  <c r="B76" i="59"/>
  <c r="B75" i="59" s="1"/>
  <c r="Q75" i="59"/>
  <c r="P75" i="59"/>
  <c r="O75" i="59"/>
  <c r="N75" i="59"/>
  <c r="Q74" i="59"/>
  <c r="P74" i="59"/>
  <c r="O74" i="59"/>
  <c r="N74" i="59"/>
  <c r="D74" i="59"/>
  <c r="Q73" i="59"/>
  <c r="P73" i="59"/>
  <c r="O73" i="59"/>
  <c r="N73" i="59"/>
  <c r="F73" i="59"/>
  <c r="E73" i="59"/>
  <c r="C73" i="59"/>
  <c r="C72" i="59" s="1"/>
  <c r="B73" i="59"/>
  <c r="S73" i="59" s="1"/>
  <c r="Q72" i="59"/>
  <c r="P72" i="59"/>
  <c r="O72" i="59"/>
  <c r="N72" i="59"/>
  <c r="Q71" i="59"/>
  <c r="P71" i="59"/>
  <c r="O71" i="59"/>
  <c r="N71" i="59"/>
  <c r="Q70" i="59"/>
  <c r="P70" i="59"/>
  <c r="O70" i="59"/>
  <c r="N70" i="59"/>
  <c r="D70" i="59"/>
  <c r="F69" i="59"/>
  <c r="F68" i="59" s="1"/>
  <c r="V69" i="59"/>
  <c r="E69" i="59"/>
  <c r="P69" i="59" s="1"/>
  <c r="C69" i="59"/>
  <c r="B69" i="59"/>
  <c r="D66" i="59"/>
  <c r="Q65" i="59"/>
  <c r="P65" i="59"/>
  <c r="O65" i="59"/>
  <c r="N65" i="59"/>
  <c r="Q64" i="59"/>
  <c r="P64" i="59"/>
  <c r="O64" i="59"/>
  <c r="N64" i="59"/>
  <c r="F64" i="59"/>
  <c r="F65" i="59" s="1"/>
  <c r="V65" i="59" s="1"/>
  <c r="Q63" i="59"/>
  <c r="P63" i="59"/>
  <c r="O63" i="59"/>
  <c r="N63" i="59"/>
  <c r="Q62" i="59"/>
  <c r="F63" i="59"/>
  <c r="P62" i="59"/>
  <c r="E63" i="59" s="1"/>
  <c r="E64" i="59" s="1"/>
  <c r="E65" i="59" s="1"/>
  <c r="U65" i="59" s="1"/>
  <c r="O62" i="59"/>
  <c r="C63" i="59" s="1"/>
  <c r="N62" i="59"/>
  <c r="B63" i="59"/>
  <c r="B64" i="59"/>
  <c r="B65" i="59" s="1"/>
  <c r="S65" i="59" s="1"/>
  <c r="D62" i="59"/>
  <c r="Q61" i="59"/>
  <c r="P61" i="59"/>
  <c r="O61" i="59"/>
  <c r="N61" i="59"/>
  <c r="Q60" i="59"/>
  <c r="P60" i="59"/>
  <c r="O60" i="59"/>
  <c r="N60" i="59"/>
  <c r="F60" i="59"/>
  <c r="F61" i="59" s="1"/>
  <c r="V61" i="59" s="1"/>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3" i="59"/>
  <c r="U53" i="59" s="1"/>
  <c r="Q50" i="59"/>
  <c r="F51" i="59"/>
  <c r="F52" i="59"/>
  <c r="F53" i="59" s="1"/>
  <c r="V53" i="59" s="1"/>
  <c r="P50" i="59"/>
  <c r="E51" i="59" s="1"/>
  <c r="E52" i="59" s="1"/>
  <c r="O50" i="59"/>
  <c r="C51" i="59"/>
  <c r="N50" i="59"/>
  <c r="B51" i="59"/>
  <c r="B52" i="59"/>
  <c r="B53" i="59"/>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c r="N42" i="59"/>
  <c r="B43" i="59" s="1"/>
  <c r="B44" i="59" s="1"/>
  <c r="B45" i="59" s="1"/>
  <c r="S45" i="59" s="1"/>
  <c r="D42" i="59"/>
  <c r="Q41" i="59"/>
  <c r="P41" i="59"/>
  <c r="O41" i="59"/>
  <c r="N41" i="59"/>
  <c r="Q40" i="59"/>
  <c r="P40" i="59"/>
  <c r="AA40" i="59" s="1"/>
  <c r="O40" i="59"/>
  <c r="Y40" i="59"/>
  <c r="Z40" i="59"/>
  <c r="N40" i="59"/>
  <c r="Q39" i="59"/>
  <c r="P39" i="59"/>
  <c r="AA39" i="59" s="1"/>
  <c r="O39" i="59"/>
  <c r="Y39" i="59" s="1"/>
  <c r="Z39" i="59" s="1"/>
  <c r="N39" i="59"/>
  <c r="X39" i="59" s="1"/>
  <c r="F39" i="59"/>
  <c r="F40" i="59" s="1"/>
  <c r="F41" i="59" s="1"/>
  <c r="V41" i="59" s="1"/>
  <c r="Q38" i="59"/>
  <c r="P38" i="59"/>
  <c r="O38" i="59"/>
  <c r="C39" i="59"/>
  <c r="N38" i="59"/>
  <c r="D38" i="59"/>
  <c r="Q37" i="59"/>
  <c r="AB37" i="59" s="1"/>
  <c r="P37" i="59"/>
  <c r="AA37" i="59" s="1"/>
  <c r="O37" i="59"/>
  <c r="Y37" i="59" s="1"/>
  <c r="N37" i="59"/>
  <c r="Q36" i="59"/>
  <c r="AB36" i="59" s="1"/>
  <c r="P36" i="59"/>
  <c r="O36" i="59"/>
  <c r="Y36" i="59" s="1"/>
  <c r="Z36" i="59" s="1"/>
  <c r="N36" i="59"/>
  <c r="Q35" i="59"/>
  <c r="P35" i="59"/>
  <c r="AA35" i="59" s="1"/>
  <c r="O35" i="59"/>
  <c r="Y35" i="59" s="1"/>
  <c r="Z35" i="59" s="1"/>
  <c r="N35" i="59"/>
  <c r="F37" i="59"/>
  <c r="V37" i="59" s="1"/>
  <c r="Q34" i="59"/>
  <c r="F35" i="59" s="1"/>
  <c r="F36" i="59" s="1"/>
  <c r="P34" i="59"/>
  <c r="E35" i="59"/>
  <c r="E36" i="59" s="1"/>
  <c r="E37" i="59" s="1"/>
  <c r="U37" i="59" s="1"/>
  <c r="O34" i="59"/>
  <c r="Y29" i="59" s="1"/>
  <c r="Z29" i="59" s="1"/>
  <c r="N34" i="59"/>
  <c r="B35" i="59"/>
  <c r="B36" i="59"/>
  <c r="B37" i="59" s="1"/>
  <c r="S37" i="59" s="1"/>
  <c r="D34" i="59"/>
  <c r="Q33" i="59"/>
  <c r="P33" i="59"/>
  <c r="O33" i="59"/>
  <c r="N33" i="59"/>
  <c r="Q32" i="59"/>
  <c r="P32" i="59"/>
  <c r="AA32" i="59" s="1"/>
  <c r="O32" i="59"/>
  <c r="N32" i="59"/>
  <c r="Q31" i="59"/>
  <c r="P31" i="59"/>
  <c r="O31" i="59"/>
  <c r="N31" i="59"/>
  <c r="F31" i="59"/>
  <c r="F32" i="59" s="1"/>
  <c r="F33" i="59" s="1"/>
  <c r="V33" i="59" s="1"/>
  <c r="Q30" i="59"/>
  <c r="P30" i="59"/>
  <c r="O30" i="59"/>
  <c r="C31" i="59"/>
  <c r="N30" i="59"/>
  <c r="D30" i="59"/>
  <c r="O29" i="59"/>
  <c r="N29" i="59"/>
  <c r="C29" i="59"/>
  <c r="T29" i="59"/>
  <c r="Y27" i="59"/>
  <c r="Z27" i="59" s="1"/>
  <c r="B29" i="59"/>
  <c r="C32" i="59"/>
  <c r="D31" i="59"/>
  <c r="C40" i="59"/>
  <c r="D39" i="59"/>
  <c r="C44" i="59"/>
  <c r="C45" i="59" s="1"/>
  <c r="T45" i="59" s="1"/>
  <c r="D43" i="59"/>
  <c r="P29" i="59"/>
  <c r="E56" i="59"/>
  <c r="E57" i="59" s="1"/>
  <c r="U57" i="59" s="1"/>
  <c r="U73" i="59"/>
  <c r="E72" i="59"/>
  <c r="E71" i="59" s="1"/>
  <c r="Q29" i="59"/>
  <c r="C56" i="59"/>
  <c r="C57" i="59" s="1"/>
  <c r="D55" i="59"/>
  <c r="T69" i="59"/>
  <c r="O69" i="59"/>
  <c r="D69" i="59"/>
  <c r="C68" i="59"/>
  <c r="T73" i="59"/>
  <c r="D73" i="59"/>
  <c r="Q69" i="59"/>
  <c r="E76" i="59"/>
  <c r="E75" i="59" s="1"/>
  <c r="C80" i="59"/>
  <c r="D81" i="59"/>
  <c r="C84" i="59"/>
  <c r="D84" i="59" s="1"/>
  <c r="C88" i="59"/>
  <c r="D88" i="59" s="1"/>
  <c r="B28" i="59"/>
  <c r="B27" i="59" s="1"/>
  <c r="S29" i="59"/>
  <c r="F29" i="59"/>
  <c r="V29" i="59" s="1"/>
  <c r="AB27" i="59"/>
  <c r="C28" i="59"/>
  <c r="D28" i="59" s="1"/>
  <c r="D29" i="59"/>
  <c r="C67" i="59"/>
  <c r="O68" i="59"/>
  <c r="D68" i="59"/>
  <c r="D56" i="59"/>
  <c r="D44" i="59"/>
  <c r="C41" i="59"/>
  <c r="D41" i="59" s="1"/>
  <c r="D40" i="59"/>
  <c r="C33" i="59"/>
  <c r="D33" i="59" s="1"/>
  <c r="D32" i="59"/>
  <c r="C27" i="59"/>
  <c r="D27" i="59" s="1"/>
  <c r="F28" i="59"/>
  <c r="F27" i="59" s="1"/>
  <c r="O67" i="59"/>
  <c r="T33" i="59"/>
  <c r="T41" i="59"/>
  <c r="D45" i="59"/>
  <c r="B75" i="43"/>
  <c r="Q25" i="40"/>
  <c r="Z25" i="40" s="1"/>
  <c r="D93" i="40"/>
  <c r="E93" i="40" s="1"/>
  <c r="F93" i="40" s="1"/>
  <c r="G93" i="40" s="1"/>
  <c r="H25" i="40"/>
  <c r="U25" i="40" s="1"/>
  <c r="F25" i="40"/>
  <c r="AA25" i="40" s="1"/>
  <c r="Q27" i="39"/>
  <c r="Z27" i="39" s="1"/>
  <c r="D100" i="39"/>
  <c r="E100" i="39" s="1"/>
  <c r="F100" i="39" s="1"/>
  <c r="G100" i="39" s="1"/>
  <c r="Z18" i="36"/>
  <c r="Q18" i="36"/>
  <c r="F18" i="36"/>
  <c r="AA18" i="36"/>
  <c r="C18" i="36"/>
  <c r="D66" i="36"/>
  <c r="E66" i="36" s="1"/>
  <c r="F66" i="36" s="1"/>
  <c r="G66" i="36" s="1"/>
  <c r="Z18" i="35"/>
  <c r="Q18" i="35"/>
  <c r="D68" i="35"/>
  <c r="E68" i="35"/>
  <c r="F68" i="35" s="1"/>
  <c r="G68" i="35" s="1"/>
  <c r="J18" i="35"/>
  <c r="AC18" i="35" s="1"/>
  <c r="H18" i="35"/>
  <c r="AB18" i="35" s="1"/>
  <c r="F18" i="35"/>
  <c r="C18" i="35"/>
  <c r="Q21" i="37"/>
  <c r="Z21" i="37" s="1"/>
  <c r="D77" i="37"/>
  <c r="E77" i="37" s="1"/>
  <c r="F77" i="37" s="1"/>
  <c r="H21" i="37"/>
  <c r="AB21" i="37" s="1"/>
  <c r="F21" i="37"/>
  <c r="AA21" i="37" s="1"/>
  <c r="C21" i="37"/>
  <c r="Z21" i="34"/>
  <c r="Q21" i="34"/>
  <c r="D84" i="34"/>
  <c r="E84" i="34"/>
  <c r="F84" i="34" s="1"/>
  <c r="F21" i="34"/>
  <c r="C21" i="34"/>
  <c r="Q21" i="33"/>
  <c r="Z21" i="33" s="1"/>
  <c r="D83" i="33"/>
  <c r="E83" i="33" s="1"/>
  <c r="F83" i="33" s="1"/>
  <c r="G83" i="33" s="1"/>
  <c r="H21" i="33"/>
  <c r="F21" i="33"/>
  <c r="AA21" i="33"/>
  <c r="C21" i="33"/>
  <c r="Z21" i="21"/>
  <c r="Q21" i="21"/>
  <c r="D83" i="21"/>
  <c r="E83" i="21" s="1"/>
  <c r="F83" i="21" s="1"/>
  <c r="F21" i="21"/>
  <c r="AA21" i="21" s="1"/>
  <c r="C21" i="21"/>
  <c r="G20" i="20"/>
  <c r="C22" i="20"/>
  <c r="B55" i="43" s="1"/>
  <c r="S18" i="36"/>
  <c r="W18" i="35"/>
  <c r="U18" i="35"/>
  <c r="S21" i="37"/>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14" i="12" s="1"/>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c r="H99" i="43"/>
  <c r="H108" i="43" s="1"/>
  <c r="G99" i="43"/>
  <c r="G108" i="43"/>
  <c r="F99" i="43"/>
  <c r="E99" i="43"/>
  <c r="E100" i="43" s="1"/>
  <c r="D99" i="43"/>
  <c r="D108" i="43" s="1"/>
  <c r="C99" i="43"/>
  <c r="G100" i="43"/>
  <c r="I100" i="43"/>
  <c r="H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c r="D66" i="43"/>
  <c r="M65" i="43"/>
  <c r="N65" i="43" s="1"/>
  <c r="K65" i="43"/>
  <c r="J65" i="43"/>
  <c r="D65" i="43"/>
  <c r="M64" i="43"/>
  <c r="N64" i="43"/>
  <c r="K64" i="43"/>
  <c r="J64" i="43" s="1"/>
  <c r="D64" i="43"/>
  <c r="M63" i="43"/>
  <c r="N63" i="43"/>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c r="I9" i="31" s="1"/>
  <c r="J9" i="31" s="1"/>
  <c r="K9" i="31" s="1"/>
  <c r="L9" i="3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c r="R170" i="31"/>
  <c r="T170" i="31" s="1"/>
  <c r="R171" i="31"/>
  <c r="T171" i="31"/>
  <c r="R172" i="31"/>
  <c r="T172" i="31" s="1"/>
  <c r="R173" i="31"/>
  <c r="T173" i="31"/>
  <c r="R174" i="31"/>
  <c r="T174" i="31" s="1"/>
  <c r="R175" i="31"/>
  <c r="T175" i="31"/>
  <c r="R176" i="31"/>
  <c r="T176" i="31" s="1"/>
  <c r="R177" i="31"/>
  <c r="T177" i="31"/>
  <c r="R178" i="31"/>
  <c r="T178" i="31" s="1"/>
  <c r="R179" i="31"/>
  <c r="T179" i="3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s="1"/>
  <c r="R191" i="31"/>
  <c r="T191" i="31"/>
  <c r="R192" i="31"/>
  <c r="T192" i="31" s="1"/>
  <c r="R193" i="31"/>
  <c r="T193" i="31"/>
  <c r="R194" i="31"/>
  <c r="T194" i="31" s="1"/>
  <c r="R195" i="31"/>
  <c r="T195" i="31"/>
  <c r="R196" i="31"/>
  <c r="T196" i="31" s="1"/>
  <c r="R197" i="31"/>
  <c r="T197" i="31"/>
  <c r="R198" i="31"/>
  <c r="T198" i="31" s="1"/>
  <c r="R199" i="31"/>
  <c r="T199" i="31"/>
  <c r="R200" i="31"/>
  <c r="T200" i="31" s="1"/>
  <c r="R201" i="31"/>
  <c r="T201" i="31"/>
  <c r="R202" i="31"/>
  <c r="T202" i="31" s="1"/>
  <c r="R203" i="31"/>
  <c r="T203" i="31"/>
  <c r="R204" i="31"/>
  <c r="T204" i="31" s="1"/>
  <c r="R205" i="31"/>
  <c r="T205" i="31"/>
  <c r="R206" i="31"/>
  <c r="T206" i="31" s="1"/>
  <c r="R207" i="31"/>
  <c r="T207" i="31"/>
  <c r="R208" i="31"/>
  <c r="T208" i="31" s="1"/>
  <c r="R209" i="31"/>
  <c r="T209" i="31"/>
  <c r="R210" i="31"/>
  <c r="T210" i="31" s="1"/>
  <c r="R211" i="31"/>
  <c r="T211" i="31"/>
  <c r="R212" i="31"/>
  <c r="T212" i="31" s="1"/>
  <c r="R213" i="31"/>
  <c r="T213" i="31"/>
  <c r="R214" i="31"/>
  <c r="T214" i="31" s="1"/>
  <c r="R215" i="31"/>
  <c r="T215" i="31"/>
  <c r="R216" i="31"/>
  <c r="T216" i="31" s="1"/>
  <c r="R217" i="31"/>
  <c r="T217" i="31"/>
  <c r="R218" i="31"/>
  <c r="T218" i="31" s="1"/>
  <c r="R219" i="31"/>
  <c r="T219" i="31"/>
  <c r="R220" i="31"/>
  <c r="T220" i="31" s="1"/>
  <c r="R221" i="31"/>
  <c r="T221" i="31"/>
  <c r="R222" i="31"/>
  <c r="T222" i="31" s="1"/>
  <c r="R223" i="31"/>
  <c r="T223" i="31"/>
  <c r="R224" i="31"/>
  <c r="T224" i="31" s="1"/>
  <c r="R225" i="31"/>
  <c r="T225" i="31"/>
  <c r="R226" i="31"/>
  <c r="T226" i="31" s="1"/>
  <c r="R227" i="31"/>
  <c r="T227" i="31"/>
  <c r="R228" i="31"/>
  <c r="T228" i="31" s="1"/>
  <c r="R229" i="31"/>
  <c r="T229" i="31"/>
  <c r="R230" i="31"/>
  <c r="T230" i="31" s="1"/>
  <c r="R231" i="31"/>
  <c r="T231" i="31"/>
  <c r="R232" i="31"/>
  <c r="T232" i="31" s="1"/>
  <c r="R233" i="31"/>
  <c r="T233" i="31"/>
  <c r="R234" i="31"/>
  <c r="T234" i="31" s="1"/>
  <c r="R235" i="31"/>
  <c r="T235" i="31"/>
  <c r="R236" i="31"/>
  <c r="T236" i="31" s="1"/>
  <c r="R237" i="31"/>
  <c r="T237" i="31"/>
  <c r="R238" i="31"/>
  <c r="T238" i="31" s="1"/>
  <c r="R239" i="31"/>
  <c r="T239" i="31"/>
  <c r="R240" i="31"/>
  <c r="T240" i="31" s="1"/>
  <c r="R241" i="31"/>
  <c r="T241" i="31"/>
  <c r="R242" i="31"/>
  <c r="T242" i="31" s="1"/>
  <c r="R243" i="31"/>
  <c r="T243" i="31"/>
  <c r="R244" i="31"/>
  <c r="T244" i="31" s="1"/>
  <c r="R245" i="31"/>
  <c r="T245" i="31"/>
  <c r="R246" i="31"/>
  <c r="T246" i="31" s="1"/>
  <c r="R247" i="31"/>
  <c r="T247" i="31"/>
  <c r="R248" i="31"/>
  <c r="T248" i="31" s="1"/>
  <c r="R249" i="31"/>
  <c r="T249" i="31"/>
  <c r="R250" i="31"/>
  <c r="T250" i="31" s="1"/>
  <c r="R251" i="31"/>
  <c r="T251" i="3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c r="L9" i="47"/>
  <c r="M9" i="47" s="1"/>
  <c r="J10" i="47"/>
  <c r="I10" i="47"/>
  <c r="D10" i="47"/>
  <c r="L10" i="47"/>
  <c r="M10" i="47"/>
  <c r="J11" i="47"/>
  <c r="I11" i="47"/>
  <c r="L11" i="47"/>
  <c r="M11" i="47"/>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c r="H87" i="35"/>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F40" i="33"/>
  <c r="AA40" i="33" s="1"/>
  <c r="J41" i="33"/>
  <c r="W41" i="33" s="1"/>
  <c r="D113" i="33"/>
  <c r="F37" i="33"/>
  <c r="S37" i="33"/>
  <c r="D111" i="33"/>
  <c r="E111" i="33" s="1"/>
  <c r="F111" i="33" s="1"/>
  <c r="G111" i="33" s="1"/>
  <c r="H111" i="33" s="1"/>
  <c r="I111" i="33" s="1"/>
  <c r="J111" i="33"/>
  <c r="K111" i="33" s="1"/>
  <c r="L111" i="33" s="1"/>
  <c r="M111" i="33" s="1"/>
  <c r="S518" i="31"/>
  <c r="S519" i="31"/>
  <c r="S520" i="31"/>
  <c r="S521" i="31"/>
  <c r="S522" i="31"/>
  <c r="S523" i="31"/>
  <c r="S524" i="31"/>
  <c r="S525" i="31"/>
  <c r="S526" i="31"/>
  <c r="S527" i="31"/>
  <c r="F41" i="21"/>
  <c r="J41" i="21"/>
  <c r="AC41" i="21"/>
  <c r="H41" i="21"/>
  <c r="AB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s="1"/>
  <c r="Q42" i="39"/>
  <c r="Z42" i="39"/>
  <c r="Q43" i="39"/>
  <c r="Z43" i="39" s="1"/>
  <c r="Q44" i="39"/>
  <c r="Z44" i="39"/>
  <c r="Q45" i="39"/>
  <c r="Z45" i="39" s="1"/>
  <c r="Q38" i="39"/>
  <c r="Z38" i="39"/>
  <c r="Q36" i="39"/>
  <c r="Z36" i="39" s="1"/>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c r="F9" i="39"/>
  <c r="J8" i="39"/>
  <c r="AC8" i="39" s="1"/>
  <c r="H8" i="39"/>
  <c r="F8" i="39"/>
  <c r="AA8" i="39" s="1"/>
  <c r="C20" i="36"/>
  <c r="C20" i="35"/>
  <c r="C16" i="36"/>
  <c r="C16" i="35"/>
  <c r="C14" i="36"/>
  <c r="C14" i="35"/>
  <c r="B80" i="37"/>
  <c r="B110" i="37"/>
  <c r="F39" i="37" s="1"/>
  <c r="AA39" i="37" s="1"/>
  <c r="J39" i="37"/>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s="1"/>
  <c r="D63" i="37"/>
  <c r="E63" i="37" s="1"/>
  <c r="F63" i="37" s="1"/>
  <c r="G63" i="37" s="1"/>
  <c r="H63" i="37" s="1"/>
  <c r="I63" i="37"/>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c r="H81" i="36" s="1"/>
  <c r="I81" i="36" s="1"/>
  <c r="J81" i="36" s="1"/>
  <c r="K81" i="36" s="1"/>
  <c r="L81" i="36" s="1"/>
  <c r="M81" i="36" s="1"/>
  <c r="G79" i="36"/>
  <c r="F79" i="36"/>
  <c r="E79" i="36"/>
  <c r="D79" i="36"/>
  <c r="C79" i="36"/>
  <c r="B93" i="36"/>
  <c r="B91" i="36"/>
  <c r="F32" i="36" s="1"/>
  <c r="B95" i="36"/>
  <c r="H34" i="36" s="1"/>
  <c r="U34" i="36"/>
  <c r="D83" i="36"/>
  <c r="E83" i="36" s="1"/>
  <c r="D78" i="36"/>
  <c r="E78" i="36"/>
  <c r="F78" i="36"/>
  <c r="G78" i="36" s="1"/>
  <c r="H78" i="36" s="1"/>
  <c r="I78" i="36" s="1"/>
  <c r="J78" i="36" s="1"/>
  <c r="K78" i="36" s="1"/>
  <c r="L78" i="36" s="1"/>
  <c r="M78" i="36" s="1"/>
  <c r="B75" i="36"/>
  <c r="J25" i="36" s="1"/>
  <c r="B73" i="36"/>
  <c r="B71" i="36"/>
  <c r="D70" i="36"/>
  <c r="H22" i="36"/>
  <c r="D68" i="36"/>
  <c r="E68" i="36"/>
  <c r="F68" i="36"/>
  <c r="G68" i="36" s="1"/>
  <c r="D64" i="36"/>
  <c r="E64" i="36"/>
  <c r="F64" i="36" s="1"/>
  <c r="G64" i="36" s="1"/>
  <c r="J16" i="36"/>
  <c r="W16" i="36"/>
  <c r="D62" i="36"/>
  <c r="E62" i="36" s="1"/>
  <c r="F62" i="36" s="1"/>
  <c r="G62" i="36" s="1"/>
  <c r="H14" i="36"/>
  <c r="AB14" i="36" s="1"/>
  <c r="B59" i="36"/>
  <c r="B57" i="36"/>
  <c r="B55" i="36"/>
  <c r="F54" i="36"/>
  <c r="G54" i="36" s="1"/>
  <c r="H54" i="36"/>
  <c r="I54" i="36" s="1"/>
  <c r="C51" i="36"/>
  <c r="H9" i="36" s="1"/>
  <c r="AB9"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c r="Q24" i="36"/>
  <c r="Z24" i="36" s="1"/>
  <c r="Q23" i="36"/>
  <c r="Z23" i="36" s="1"/>
  <c r="J23" i="36"/>
  <c r="AC23" i="36" s="1"/>
  <c r="H23" i="36"/>
  <c r="U23" i="36" s="1"/>
  <c r="F23" i="36"/>
  <c r="AA23" i="36" s="1"/>
  <c r="Q22" i="36"/>
  <c r="Z22" i="36"/>
  <c r="J22" i="36"/>
  <c r="Q20" i="36"/>
  <c r="Z20" i="36"/>
  <c r="Q16" i="36"/>
  <c r="Z16" i="36" s="1"/>
  <c r="Q14" i="36"/>
  <c r="Z14" i="36"/>
  <c r="Q13" i="36"/>
  <c r="Z13" i="36" s="1"/>
  <c r="Q12" i="36"/>
  <c r="Z12" i="36"/>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c r="J80" i="35" s="1"/>
  <c r="K80" i="35" s="1"/>
  <c r="L80" i="35" s="1"/>
  <c r="M80" i="35" s="1"/>
  <c r="D72" i="35"/>
  <c r="E72" i="35" s="1"/>
  <c r="F72" i="35" s="1"/>
  <c r="G72" i="35"/>
  <c r="D70" i="35"/>
  <c r="E70" i="35" s="1"/>
  <c r="F70" i="35" s="1"/>
  <c r="G70" i="35" s="1"/>
  <c r="D66" i="35"/>
  <c r="E66" i="35" s="1"/>
  <c r="F66" i="35" s="1"/>
  <c r="G66" i="35"/>
  <c r="F16" i="35"/>
  <c r="S16" i="35" s="1"/>
  <c r="D64" i="35"/>
  <c r="E64" i="35"/>
  <c r="F64" i="35"/>
  <c r="G64" i="35" s="1"/>
  <c r="J14" i="35"/>
  <c r="AC14" i="35"/>
  <c r="F56" i="35"/>
  <c r="G56" i="35" s="1"/>
  <c r="H56" i="35" s="1"/>
  <c r="I56" i="35"/>
  <c r="C53" i="35"/>
  <c r="H9" i="35" s="1"/>
  <c r="AB9" i="35" s="1"/>
  <c r="P39" i="35"/>
  <c r="P38" i="35"/>
  <c r="V37" i="35"/>
  <c r="T37" i="35"/>
  <c r="R37" i="35"/>
  <c r="P37" i="35"/>
  <c r="Q36" i="35"/>
  <c r="Z36" i="35" s="1"/>
  <c r="J36" i="35"/>
  <c r="AC36" i="35" s="1"/>
  <c r="Q35" i="35"/>
  <c r="Z35" i="35"/>
  <c r="Q34" i="35"/>
  <c r="Z34" i="35" s="1"/>
  <c r="J34" i="35"/>
  <c r="AC34" i="35"/>
  <c r="Q33" i="35"/>
  <c r="Z33" i="35" s="1"/>
  <c r="Q32" i="35"/>
  <c r="Z32" i="35" s="1"/>
  <c r="H32" i="35"/>
  <c r="AB32" i="35" s="1"/>
  <c r="F32" i="35"/>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c r="Q23" i="35"/>
  <c r="Z23" i="35" s="1"/>
  <c r="J23" i="35"/>
  <c r="AC23" i="35" s="1"/>
  <c r="Q22" i="35"/>
  <c r="Z22" i="35" s="1"/>
  <c r="Q20" i="35"/>
  <c r="Z20" i="35" s="1"/>
  <c r="Q16" i="35"/>
  <c r="Z16" i="35" s="1"/>
  <c r="Q14" i="35"/>
  <c r="Z14" i="35"/>
  <c r="Q13" i="35"/>
  <c r="Z13" i="35" s="1"/>
  <c r="Q12" i="35"/>
  <c r="Z12" i="35"/>
  <c r="J12" i="35"/>
  <c r="W12" i="35" s="1"/>
  <c r="H12" i="35"/>
  <c r="U12" i="35" s="1"/>
  <c r="F12" i="35"/>
  <c r="S12" i="35" s="1"/>
  <c r="Q11" i="35"/>
  <c r="Z11" i="35" s="1"/>
  <c r="Q10" i="35"/>
  <c r="Z10" i="35" s="1"/>
  <c r="Q9" i="35"/>
  <c r="Z9" i="35"/>
  <c r="J9" i="35"/>
  <c r="AC9" i="35" s="1"/>
  <c r="F9" i="35"/>
  <c r="AA9" i="35" s="1"/>
  <c r="J8" i="35"/>
  <c r="AC8" i="35" s="1"/>
  <c r="H8" i="35"/>
  <c r="AB8" i="35" s="1"/>
  <c r="F8" i="35"/>
  <c r="C7" i="35"/>
  <c r="C48" i="35" s="1"/>
  <c r="D48" i="35" s="1"/>
  <c r="E48" i="35" s="1"/>
  <c r="F48" i="35" s="1"/>
  <c r="G48" i="35" s="1"/>
  <c r="H48" i="35" s="1"/>
  <c r="D120" i="34"/>
  <c r="E120" i="34"/>
  <c r="F120" i="34" s="1"/>
  <c r="G120" i="34" s="1"/>
  <c r="H120" i="34" s="1"/>
  <c r="I120" i="34" s="1"/>
  <c r="J120" i="34"/>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c r="L102" i="34" s="1"/>
  <c r="M102" i="34" s="1"/>
  <c r="H33" i="34"/>
  <c r="U33" i="34"/>
  <c r="D92" i="34"/>
  <c r="E92" i="34" s="1"/>
  <c r="F92" i="34" s="1"/>
  <c r="G92" i="34" s="1"/>
  <c r="H92" i="34" s="1"/>
  <c r="I92" i="34" s="1"/>
  <c r="J92" i="34"/>
  <c r="K92" i="34" s="1"/>
  <c r="L92" i="34" s="1"/>
  <c r="M92" i="34" s="1"/>
  <c r="B91" i="34"/>
  <c r="B89" i="34"/>
  <c r="J27" i="34" s="1"/>
  <c r="W27" i="34" s="1"/>
  <c r="D88" i="34"/>
  <c r="E88" i="34"/>
  <c r="F88" i="34"/>
  <c r="G88" i="34" s="1"/>
  <c r="H88" i="34" s="1"/>
  <c r="I88" i="34" s="1"/>
  <c r="J88" i="34" s="1"/>
  <c r="K88" i="34"/>
  <c r="L88" i="34" s="1"/>
  <c r="M88" i="34" s="1"/>
  <c r="D86" i="34"/>
  <c r="E86" i="34"/>
  <c r="F86" i="34" s="1"/>
  <c r="G86" i="34"/>
  <c r="F23" i="34"/>
  <c r="AA23" i="34" s="1"/>
  <c r="D82" i="34"/>
  <c r="E82" i="34"/>
  <c r="F82" i="34" s="1"/>
  <c r="G82" i="34" s="1"/>
  <c r="F19" i="34"/>
  <c r="D80" i="34"/>
  <c r="E80" i="34" s="1"/>
  <c r="F80" i="34" s="1"/>
  <c r="G80" i="34" s="1"/>
  <c r="D78" i="34"/>
  <c r="E78" i="34" s="1"/>
  <c r="F78" i="34"/>
  <c r="G78" i="34"/>
  <c r="F15" i="34"/>
  <c r="AA15" i="34" s="1"/>
  <c r="D70" i="34"/>
  <c r="E70" i="34"/>
  <c r="F70" i="34"/>
  <c r="G70" i="34" s="1"/>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c r="Q40" i="34"/>
  <c r="Z40" i="34" s="1"/>
  <c r="Q39" i="34"/>
  <c r="Z39" i="34"/>
  <c r="H39" i="34"/>
  <c r="AB39" i="34" s="1"/>
  <c r="F39" i="34"/>
  <c r="AA39" i="34" s="1"/>
  <c r="Q38" i="34"/>
  <c r="Z38" i="34" s="1"/>
  <c r="Q37" i="34"/>
  <c r="Z37" i="34"/>
  <c r="Q36" i="34"/>
  <c r="Z36" i="34" s="1"/>
  <c r="Q35" i="34"/>
  <c r="Z35" i="34"/>
  <c r="Q34" i="34"/>
  <c r="Z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U12" i="34"/>
  <c r="F12" i="34"/>
  <c r="Q11" i="34"/>
  <c r="Z11" i="34" s="1"/>
  <c r="Q10" i="34"/>
  <c r="Z10" i="34" s="1"/>
  <c r="F10" i="34"/>
  <c r="Q9" i="34"/>
  <c r="Z9" i="34"/>
  <c r="J8" i="34"/>
  <c r="AC8" i="34" s="1"/>
  <c r="H8" i="34"/>
  <c r="U8" i="34" s="1"/>
  <c r="F8" i="34"/>
  <c r="AA8" i="34" s="1"/>
  <c r="D121" i="33"/>
  <c r="E121" i="33" s="1"/>
  <c r="F121" i="33" s="1"/>
  <c r="G121" i="33" s="1"/>
  <c r="H121" i="33"/>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c r="G123" i="33" s="1"/>
  <c r="H123" i="33" s="1"/>
  <c r="I123" i="33" s="1"/>
  <c r="J123" i="33" s="1"/>
  <c r="K123" i="33"/>
  <c r="L123" i="33" s="1"/>
  <c r="M123" i="33" s="1"/>
  <c r="D117" i="33"/>
  <c r="D115" i="33"/>
  <c r="E115" i="33" s="1"/>
  <c r="F115" i="33"/>
  <c r="G115" i="33" s="1"/>
  <c r="H115" i="33" s="1"/>
  <c r="I115" i="33" s="1"/>
  <c r="J115" i="33" s="1"/>
  <c r="K115" i="33"/>
  <c r="L115" i="33" s="1"/>
  <c r="M115" i="33" s="1"/>
  <c r="D108" i="33"/>
  <c r="E108" i="33"/>
  <c r="F108" i="33"/>
  <c r="G108" i="33" s="1"/>
  <c r="H108" i="33" s="1"/>
  <c r="I108" i="33" s="1"/>
  <c r="J108" i="33" s="1"/>
  <c r="K108" i="33" s="1"/>
  <c r="L108" i="33"/>
  <c r="M108" i="33" s="1"/>
  <c r="J35" i="33"/>
  <c r="AC35" i="33" s="1"/>
  <c r="D106" i="33"/>
  <c r="E106" i="33"/>
  <c r="F106" i="33" s="1"/>
  <c r="G106" i="33" s="1"/>
  <c r="H106" i="33" s="1"/>
  <c r="I106" i="33" s="1"/>
  <c r="J106" i="33"/>
  <c r="K106" i="33" s="1"/>
  <c r="L106" i="33" s="1"/>
  <c r="M106" i="33" s="1"/>
  <c r="M102" i="33"/>
  <c r="L102" i="33"/>
  <c r="K102" i="33"/>
  <c r="J102" i="33"/>
  <c r="I102" i="33"/>
  <c r="H102" i="33"/>
  <c r="G102" i="33"/>
  <c r="F102" i="33"/>
  <c r="E102" i="33"/>
  <c r="D102" i="33"/>
  <c r="C102" i="33"/>
  <c r="D101" i="33"/>
  <c r="B92" i="33"/>
  <c r="B90" i="33"/>
  <c r="D87" i="33"/>
  <c r="E87" i="33" s="1"/>
  <c r="F87" i="33" s="1"/>
  <c r="G87" i="33" s="1"/>
  <c r="H87" i="33"/>
  <c r="I87" i="33" s="1"/>
  <c r="J87" i="33" s="1"/>
  <c r="K87" i="33" s="1"/>
  <c r="L87" i="33" s="1"/>
  <c r="M87" i="33" s="1"/>
  <c r="D85" i="33"/>
  <c r="E85" i="33" s="1"/>
  <c r="F85" i="33" s="1"/>
  <c r="G85" i="33" s="1"/>
  <c r="D81" i="33"/>
  <c r="E81" i="33" s="1"/>
  <c r="F81" i="33" s="1"/>
  <c r="G81" i="33" s="1"/>
  <c r="D79" i="33"/>
  <c r="E79" i="33" s="1"/>
  <c r="F79" i="33"/>
  <c r="G79" i="33" s="1"/>
  <c r="D77" i="33"/>
  <c r="E77" i="33" s="1"/>
  <c r="F77" i="33"/>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c r="J12" i="33"/>
  <c r="W12" i="33" s="1"/>
  <c r="H12" i="33"/>
  <c r="U12" i="33"/>
  <c r="F12" i="33"/>
  <c r="S12" i="33" s="1"/>
  <c r="Q11" i="33"/>
  <c r="Z11" i="33" s="1"/>
  <c r="Q10" i="33"/>
  <c r="Z10" i="33" s="1"/>
  <c r="F10" i="33"/>
  <c r="AA10" i="33" s="1"/>
  <c r="Q9" i="33"/>
  <c r="Z9" i="33" s="1"/>
  <c r="J8" i="33"/>
  <c r="AC8" i="33"/>
  <c r="H8" i="33"/>
  <c r="AB8" i="33" s="1"/>
  <c r="F8" i="33"/>
  <c r="AA8" i="33"/>
  <c r="M102" i="21"/>
  <c r="D102" i="21"/>
  <c r="E102" i="21"/>
  <c r="F102" i="21"/>
  <c r="G102" i="21"/>
  <c r="H102" i="21"/>
  <c r="I102" i="21"/>
  <c r="J102" i="21"/>
  <c r="K102" i="21"/>
  <c r="L102" i="21"/>
  <c r="C102" i="21"/>
  <c r="C63" i="21"/>
  <c r="G18" i="20"/>
  <c r="B88" i="43"/>
  <c r="G19" i="20"/>
  <c r="B85" i="43" s="1"/>
  <c r="G16" i="20"/>
  <c r="B82" i="43"/>
  <c r="G15" i="20"/>
  <c r="B81" i="43" s="1"/>
  <c r="C24" i="20"/>
  <c r="B73" i="43"/>
  <c r="C21" i="20"/>
  <c r="B65" i="43" s="1"/>
  <c r="C20" i="20"/>
  <c r="B77" i="43"/>
  <c r="C18" i="20"/>
  <c r="B71" i="43" s="1"/>
  <c r="C17" i="20"/>
  <c r="B59" i="43"/>
  <c r="C16" i="20"/>
  <c r="B48" i="43" s="1"/>
  <c r="C15" i="20"/>
  <c r="B70" i="43"/>
  <c r="E54" i="21"/>
  <c r="F54" i="21" s="1"/>
  <c r="I54" i="21"/>
  <c r="J54" i="21"/>
  <c r="G54" i="21"/>
  <c r="H54" i="21" s="1"/>
  <c r="D125" i="21"/>
  <c r="E125" i="21"/>
  <c r="F125" i="21"/>
  <c r="G125" i="21" s="1"/>
  <c r="D123" i="21"/>
  <c r="E123" i="21"/>
  <c r="F123" i="2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F85" i="21"/>
  <c r="G85" i="21" s="1"/>
  <c r="D81" i="21"/>
  <c r="E81" i="21"/>
  <c r="F81" i="21"/>
  <c r="G81" i="21" s="1"/>
  <c r="D77" i="21"/>
  <c r="E77" i="21"/>
  <c r="F77" i="2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s="1"/>
  <c r="H38" i="21"/>
  <c r="U38" i="21" s="1"/>
  <c r="H43" i="21"/>
  <c r="AB43" i="21"/>
  <c r="F38" i="21"/>
  <c r="F36" i="21"/>
  <c r="S36" i="21"/>
  <c r="F39" i="21"/>
  <c r="S39" i="21" s="1"/>
  <c r="H35" i="21"/>
  <c r="AB35" i="21"/>
  <c r="J8" i="21"/>
  <c r="H8" i="21"/>
  <c r="U8" i="21" s="1"/>
  <c r="H10" i="21"/>
  <c r="AB10" i="21" s="1"/>
  <c r="H36" i="21"/>
  <c r="U36" i="21"/>
  <c r="F35" i="21"/>
  <c r="AA35" i="21" s="1"/>
  <c r="J33" i="21"/>
  <c r="W33" i="21"/>
  <c r="H33" i="21"/>
  <c r="AB33" i="21" s="1"/>
  <c r="F33" i="21"/>
  <c r="AA33" i="21"/>
  <c r="J10" i="21"/>
  <c r="AC10" i="21" s="1"/>
  <c r="H26" i="21"/>
  <c r="AB26" i="21"/>
  <c r="F19" i="21"/>
  <c r="AA19" i="21" s="1"/>
  <c r="H19" i="21"/>
  <c r="AB19" i="21"/>
  <c r="J19" i="21"/>
  <c r="W19" i="21" s="1"/>
  <c r="J12" i="21"/>
  <c r="AC12" i="21"/>
  <c r="H12" i="21"/>
  <c r="AB12" i="21" s="1"/>
  <c r="J26" i="21"/>
  <c r="W26" i="21"/>
  <c r="F26" i="21"/>
  <c r="S26" i="21" s="1"/>
  <c r="U41" i="21"/>
  <c r="S41" i="21"/>
  <c r="AA41" i="21"/>
  <c r="W41" i="21"/>
  <c r="F45" i="39"/>
  <c r="J45" i="39"/>
  <c r="W45" i="39" s="1"/>
  <c r="J44" i="39"/>
  <c r="F36" i="39"/>
  <c r="S36" i="39" s="1"/>
  <c r="H36" i="39"/>
  <c r="AB36" i="39" s="1"/>
  <c r="J36" i="39"/>
  <c r="AC36" i="39" s="1"/>
  <c r="U38" i="39"/>
  <c r="H32" i="37"/>
  <c r="AB32" i="37" s="1"/>
  <c r="U8" i="37"/>
  <c r="S39" i="37"/>
  <c r="U14" i="37"/>
  <c r="W30" i="37"/>
  <c r="F29" i="36"/>
  <c r="AA29" i="36"/>
  <c r="F16" i="36"/>
  <c r="S16" i="36" s="1"/>
  <c r="S23" i="36"/>
  <c r="W23" i="36"/>
  <c r="AA31" i="36"/>
  <c r="AC31" i="36"/>
  <c r="W31" i="36"/>
  <c r="U31" i="36"/>
  <c r="AB34" i="36"/>
  <c r="H22" i="35"/>
  <c r="AB22" i="35"/>
  <c r="U9" i="35"/>
  <c r="U31" i="35"/>
  <c r="S31" i="35"/>
  <c r="W31" i="35"/>
  <c r="U32" i="35"/>
  <c r="F36" i="34"/>
  <c r="AA36" i="34"/>
  <c r="H39" i="33"/>
  <c r="AB39" i="33" s="1"/>
  <c r="F26" i="33"/>
  <c r="AA26" i="33"/>
  <c r="S40" i="33"/>
  <c r="AC38" i="21"/>
  <c r="H39" i="37"/>
  <c r="AB39" i="37"/>
  <c r="S27" i="35"/>
  <c r="F11" i="40"/>
  <c r="AA11" i="40" s="1"/>
  <c r="S8" i="40"/>
  <c r="H11" i="40"/>
  <c r="AB11" i="40" s="1"/>
  <c r="U9" i="40"/>
  <c r="U34" i="40"/>
  <c r="W39" i="40"/>
  <c r="F42" i="39"/>
  <c r="AA42" i="39"/>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c r="J11" i="21"/>
  <c r="AC11" i="21" s="1"/>
  <c r="U33" i="21"/>
  <c r="H36" i="40"/>
  <c r="U36" i="40" s="1"/>
  <c r="F35" i="40"/>
  <c r="S35" i="40"/>
  <c r="J30" i="40"/>
  <c r="W30" i="40" s="1"/>
  <c r="F30" i="40"/>
  <c r="AA30" i="40"/>
  <c r="H27" i="40"/>
  <c r="U27" i="40" s="1"/>
  <c r="H23" i="40"/>
  <c r="AB23" i="40"/>
  <c r="J11" i="40"/>
  <c r="W11" i="40" s="1"/>
  <c r="AB12" i="33"/>
  <c r="AA12" i="33"/>
  <c r="S44" i="39"/>
  <c r="F37" i="39"/>
  <c r="S37" i="39" s="1"/>
  <c r="J34" i="36"/>
  <c r="W34" i="36" s="1"/>
  <c r="F22" i="35"/>
  <c r="AA22" i="35"/>
  <c r="H10" i="35"/>
  <c r="U10" i="35" s="1"/>
  <c r="AB29" i="36"/>
  <c r="E85" i="36"/>
  <c r="F85" i="36"/>
  <c r="G85" i="36" s="1"/>
  <c r="H85" i="36" s="1"/>
  <c r="I85" i="36"/>
  <c r="J85" i="36" s="1"/>
  <c r="K85" i="36" s="1"/>
  <c r="L85" i="36" s="1"/>
  <c r="M85" i="36" s="1"/>
  <c r="J29" i="36"/>
  <c r="AC29" i="36" s="1"/>
  <c r="F12" i="36"/>
  <c r="AA12" i="36"/>
  <c r="F34" i="36"/>
  <c r="AA34" i="36" s="1"/>
  <c r="H20" i="36"/>
  <c r="J20" i="36"/>
  <c r="W20" i="36" s="1"/>
  <c r="AB8" i="36"/>
  <c r="W9" i="35"/>
  <c r="F14" i="35"/>
  <c r="AA14" i="35" s="1"/>
  <c r="F23" i="35"/>
  <c r="AA23" i="35" s="1"/>
  <c r="J32" i="35"/>
  <c r="AC32" i="35"/>
  <c r="J16" i="35"/>
  <c r="W16" i="35" s="1"/>
  <c r="H14" i="35"/>
  <c r="AB14" i="35"/>
  <c r="H33" i="35"/>
  <c r="AB33" i="35" s="1"/>
  <c r="W8" i="35"/>
  <c r="S9" i="35"/>
  <c r="J20" i="35"/>
  <c r="W20" i="35" s="1"/>
  <c r="H20" i="35"/>
  <c r="U20" i="35"/>
  <c r="F20" i="35"/>
  <c r="AA20" i="35" s="1"/>
  <c r="E101" i="37"/>
  <c r="F101" i="37"/>
  <c r="G101" i="37" s="1"/>
  <c r="H101" i="37" s="1"/>
  <c r="I101" i="37"/>
  <c r="J101" i="37" s="1"/>
  <c r="K101" i="37" s="1"/>
  <c r="L101" i="37" s="1"/>
  <c r="M101" i="37" s="1"/>
  <c r="J34" i="37"/>
  <c r="W34" i="37" s="1"/>
  <c r="J43" i="34"/>
  <c r="AC43" i="34" s="1"/>
  <c r="H43" i="34"/>
  <c r="AB43" i="34" s="1"/>
  <c r="U42" i="34"/>
  <c r="F118" i="34"/>
  <c r="G118" i="34" s="1"/>
  <c r="H40" i="34"/>
  <c r="U40" i="34" s="1"/>
  <c r="E114" i="34"/>
  <c r="F38" i="34"/>
  <c r="AA38" i="34" s="1"/>
  <c r="F114" i="34"/>
  <c r="G114" i="34" s="1"/>
  <c r="H114" i="34"/>
  <c r="I114" i="34"/>
  <c r="J114" i="34" s="1"/>
  <c r="K114" i="34" s="1"/>
  <c r="L114" i="34"/>
  <c r="M114" i="34" s="1"/>
  <c r="F28" i="34"/>
  <c r="AA28" i="34" s="1"/>
  <c r="J19" i="34"/>
  <c r="W19" i="34"/>
  <c r="J15" i="34"/>
  <c r="AC15" i="34" s="1"/>
  <c r="H15" i="34"/>
  <c r="U15" i="34" s="1"/>
  <c r="AB15" i="34"/>
  <c r="J10" i="34"/>
  <c r="W10" i="34" s="1"/>
  <c r="H10" i="34"/>
  <c r="AB10" i="34"/>
  <c r="F41" i="33"/>
  <c r="S41" i="33" s="1"/>
  <c r="E113" i="33"/>
  <c r="F113" i="33" s="1"/>
  <c r="G113" i="33" s="1"/>
  <c r="H113" i="33" s="1"/>
  <c r="I113" i="33" s="1"/>
  <c r="J113" i="33" s="1"/>
  <c r="K113" i="33" s="1"/>
  <c r="L113" i="33" s="1"/>
  <c r="M113" i="33" s="1"/>
  <c r="J34" i="33"/>
  <c r="F36" i="33"/>
  <c r="S36" i="33" s="1"/>
  <c r="F25" i="33"/>
  <c r="S25" i="33" s="1"/>
  <c r="AA25" i="33"/>
  <c r="J25" i="33"/>
  <c r="AC25" i="33" s="1"/>
  <c r="H25" i="33"/>
  <c r="AB25" i="33"/>
  <c r="J23" i="33"/>
  <c r="AC23" i="33" s="1"/>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C34" i="36"/>
  <c r="W32" i="35"/>
  <c r="F29" i="35"/>
  <c r="S29" i="35" s="1"/>
  <c r="U34" i="37"/>
  <c r="AB42" i="34"/>
  <c r="H38" i="34"/>
  <c r="AB38" i="34" s="1"/>
  <c r="H37" i="33"/>
  <c r="AB37" i="33" s="1"/>
  <c r="AA37" i="33"/>
  <c r="H36" i="33"/>
  <c r="U36" i="33"/>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AB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AC13" i="36" s="1"/>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S47" i="34" s="1"/>
  <c r="AA47" i="34"/>
  <c r="J47" i="34"/>
  <c r="AC47" i="34"/>
  <c r="F13" i="35"/>
  <c r="S13" i="35"/>
  <c r="J13" i="35"/>
  <c r="AC13" i="35"/>
  <c r="H13" i="35"/>
  <c r="U13" i="35"/>
  <c r="J25" i="35"/>
  <c r="W25" i="35"/>
  <c r="F25" i="35"/>
  <c r="S25" i="35"/>
  <c r="H25" i="35"/>
  <c r="AB25" i="35"/>
  <c r="J35" i="35"/>
  <c r="AC35" i="35"/>
  <c r="F35" i="35"/>
  <c r="AA35" i="35"/>
  <c r="H35" i="35"/>
  <c r="AB35" i="35"/>
  <c r="H13" i="37"/>
  <c r="U13" i="37"/>
  <c r="F13" i="37"/>
  <c r="S13" i="37"/>
  <c r="J13" i="37"/>
  <c r="W13" i="37"/>
  <c r="F28" i="37"/>
  <c r="AA28" i="37"/>
  <c r="J28" i="37"/>
  <c r="W28" i="37" s="1"/>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S13" i="40" s="1"/>
  <c r="AA13" i="40"/>
  <c r="F14" i="37"/>
  <c r="S14" i="37"/>
  <c r="F13" i="39"/>
  <c r="AA13" i="39"/>
  <c r="J13" i="39"/>
  <c r="W13" i="39"/>
  <c r="H13" i="39"/>
  <c r="U13" i="39"/>
  <c r="H14" i="40"/>
  <c r="AB14" i="40"/>
  <c r="J14" i="40"/>
  <c r="W14" i="40"/>
  <c r="F14" i="40"/>
  <c r="AA14" i="40"/>
  <c r="J14" i="37"/>
  <c r="AC14" i="37"/>
  <c r="W13" i="35"/>
  <c r="AA44" i="33"/>
  <c r="AB14" i="33"/>
  <c r="AB37" i="37"/>
  <c r="W30" i="33"/>
  <c r="S14" i="33"/>
  <c r="AC32" i="34"/>
  <c r="AC14" i="34"/>
  <c r="J10" i="36"/>
  <c r="W10" i="36" s="1"/>
  <c r="AC10" i="36"/>
  <c r="U14" i="21"/>
  <c r="AC14" i="21"/>
  <c r="S46" i="33"/>
  <c r="AC11" i="36"/>
  <c r="U32" i="36"/>
  <c r="AB45" i="33"/>
  <c r="U31" i="33"/>
  <c r="AC29" i="33"/>
  <c r="W29" i="33"/>
  <c r="AB28" i="33"/>
  <c r="S33" i="21"/>
  <c r="S19" i="21"/>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c r="J25" i="21"/>
  <c r="AC25" i="21" s="1"/>
  <c r="H17" i="37"/>
  <c r="U17" i="37"/>
  <c r="F73" i="37"/>
  <c r="G73" i="37" s="1"/>
  <c r="F23" i="37"/>
  <c r="S23" i="37"/>
  <c r="F32" i="37"/>
  <c r="S32" i="37" s="1"/>
  <c r="F39" i="33"/>
  <c r="AA39" i="33"/>
  <c r="F42" i="33"/>
  <c r="AA42" i="33" s="1"/>
  <c r="F14" i="36"/>
  <c r="AA14" i="36"/>
  <c r="F22" i="36"/>
  <c r="AA22" i="36" s="1"/>
  <c r="F26" i="36"/>
  <c r="AA26" i="36"/>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H42" i="33"/>
  <c r="U42" i="33"/>
  <c r="J23" i="37"/>
  <c r="W23" i="37"/>
  <c r="S30" i="31"/>
  <c r="AB20" i="35"/>
  <c r="AA11" i="35"/>
  <c r="AC12" i="35"/>
  <c r="S28" i="37"/>
  <c r="U39" i="37"/>
  <c r="W47" i="34"/>
  <c r="AB8" i="34"/>
  <c r="W14" i="33"/>
  <c r="AC31" i="33"/>
  <c r="AA30" i="33"/>
  <c r="AB10" i="33"/>
  <c r="S11" i="33"/>
  <c r="AC33" i="21"/>
  <c r="AB38" i="21"/>
  <c r="AA23" i="37"/>
  <c r="W38" i="37"/>
  <c r="H37" i="21"/>
  <c r="U37" i="21"/>
  <c r="J37" i="21"/>
  <c r="W37" i="21"/>
  <c r="H19" i="34"/>
  <c r="U19" i="34"/>
  <c r="F36" i="35"/>
  <c r="AA36" i="35"/>
  <c r="F11" i="37"/>
  <c r="S11" i="37"/>
  <c r="J42" i="39"/>
  <c r="AC42" i="39"/>
  <c r="S37" i="21"/>
  <c r="AB37" i="21"/>
  <c r="AB27" i="40"/>
  <c r="AC31" i="39"/>
  <c r="U31" i="39"/>
  <c r="C12" i="43"/>
  <c r="D15" i="47"/>
  <c r="F15" i="47" s="1"/>
  <c r="B13" i="47" s="1"/>
  <c r="D17" i="47"/>
  <c r="D19" i="47"/>
  <c r="D21" i="47"/>
  <c r="D23" i="47"/>
  <c r="D27" i="47"/>
  <c r="D33" i="47"/>
  <c r="D37" i="47"/>
  <c r="F37" i="47" s="1"/>
  <c r="B35" i="47" s="1"/>
  <c r="D39" i="47"/>
  <c r="D41" i="47"/>
  <c r="D43" i="47"/>
  <c r="D16" i="47"/>
  <c r="D18" i="47"/>
  <c r="D20" i="47"/>
  <c r="D22" i="47"/>
  <c r="D26" i="47"/>
  <c r="D28" i="47"/>
  <c r="D30" i="47"/>
  <c r="F26" i="47" s="1"/>
  <c r="B24" i="47" s="1"/>
  <c r="D32" i="47"/>
  <c r="D34" i="47"/>
  <c r="D38" i="47"/>
  <c r="D40" i="47"/>
  <c r="D42" i="47"/>
  <c r="D44" i="47"/>
  <c r="D9" i="47"/>
  <c r="D8" i="47"/>
  <c r="F4" i="47"/>
  <c r="B2" i="47" s="1"/>
  <c r="D6" i="47"/>
  <c r="H19" i="40"/>
  <c r="AB19" i="40" s="1"/>
  <c r="F19" i="40"/>
  <c r="S19" i="40" s="1"/>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12" i="34"/>
  <c r="AC30" i="34"/>
  <c r="H23" i="34"/>
  <c r="AB23" i="34"/>
  <c r="F33" i="34"/>
  <c r="S33" i="34"/>
  <c r="F109" i="34"/>
  <c r="G109" i="34"/>
  <c r="H109" i="34"/>
  <c r="I109" i="34"/>
  <c r="J109" i="34" s="1"/>
  <c r="K109" i="34" s="1"/>
  <c r="L109" i="34" s="1"/>
  <c r="M109" i="34" s="1"/>
  <c r="H36" i="34"/>
  <c r="AB36" i="34"/>
  <c r="F35" i="34"/>
  <c r="AA35" i="34"/>
  <c r="F107" i="34"/>
  <c r="G107" i="34"/>
  <c r="H107" i="34"/>
  <c r="I107" i="34"/>
  <c r="J107" i="34" s="1"/>
  <c r="K107" i="34" s="1"/>
  <c r="L107" i="34" s="1"/>
  <c r="M107" i="34" s="1"/>
  <c r="J35" i="34"/>
  <c r="AC35" i="34"/>
  <c r="S28" i="34"/>
  <c r="J33" i="34"/>
  <c r="W33" i="34"/>
  <c r="S23" i="34"/>
  <c r="AB33" i="34"/>
  <c r="J26" i="35"/>
  <c r="W26" i="35"/>
  <c r="F26" i="35"/>
  <c r="AA26" i="35" s="1"/>
  <c r="H26" i="35"/>
  <c r="U26" i="35"/>
  <c r="U28" i="21"/>
  <c r="K145" i="21"/>
  <c r="K144" i="21"/>
  <c r="K141" i="21"/>
  <c r="K143" i="21"/>
  <c r="F23" i="21"/>
  <c r="S23" i="21" s="1"/>
  <c r="AA23" i="21"/>
  <c r="J23" i="21"/>
  <c r="AC23" i="21"/>
  <c r="H23" i="21"/>
  <c r="AB23" i="21" s="1"/>
  <c r="U23" i="21"/>
  <c r="F17" i="21"/>
  <c r="AA17" i="21"/>
  <c r="J17" i="21"/>
  <c r="W17" i="21" s="1"/>
  <c r="AC17" i="21"/>
  <c r="H17" i="21"/>
  <c r="AB17" i="21"/>
  <c r="J15" i="21"/>
  <c r="W15" i="21"/>
  <c r="U35" i="21"/>
  <c r="AC35" i="21"/>
  <c r="H103" i="57"/>
  <c r="A131" i="9"/>
  <c r="D128" i="57"/>
  <c r="D7" i="52" s="1"/>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AB21" i="39"/>
  <c r="U25" i="35"/>
  <c r="W44" i="33"/>
  <c r="U36" i="37"/>
  <c r="AB46" i="34"/>
  <c r="S14" i="34"/>
  <c r="AA14" i="34"/>
  <c r="F40" i="34"/>
  <c r="AA40" i="34"/>
  <c r="U20" i="36"/>
  <c r="AB20" i="36"/>
  <c r="AA16" i="36"/>
  <c r="AC44" i="39"/>
  <c r="W44" i="39"/>
  <c r="H13" i="21"/>
  <c r="U13" i="21"/>
  <c r="J13" i="21"/>
  <c r="W13" i="21" s="1"/>
  <c r="F13" i="21"/>
  <c r="AA13" i="21" s="1"/>
  <c r="J45" i="21"/>
  <c r="F45" i="21"/>
  <c r="AA45" i="21"/>
  <c r="B41" i="47"/>
  <c r="C23" i="40"/>
  <c r="W8" i="34"/>
  <c r="W12" i="34"/>
  <c r="AC12" i="34"/>
  <c r="J9" i="34"/>
  <c r="AC9" i="34" s="1"/>
  <c r="F9" i="34"/>
  <c r="AA9" i="34" s="1"/>
  <c r="S9" i="34"/>
  <c r="AA19" i="34"/>
  <c r="S19" i="34"/>
  <c r="AB23" i="36"/>
  <c r="J12" i="36"/>
  <c r="W12" i="36"/>
  <c r="H12" i="36"/>
  <c r="AB12" i="36" s="1"/>
  <c r="AA9" i="39"/>
  <c r="S9" i="39"/>
  <c r="AB12" i="39"/>
  <c r="U12" i="39"/>
  <c r="J12" i="39"/>
  <c r="F12" i="39"/>
  <c r="S12" i="39" s="1"/>
  <c r="R29" i="31"/>
  <c r="T29" i="31" s="1"/>
  <c r="F15" i="21"/>
  <c r="S15" i="21"/>
  <c r="AA30" i="21"/>
  <c r="J36" i="34"/>
  <c r="W36" i="34"/>
  <c r="S8" i="34"/>
  <c r="J19" i="40"/>
  <c r="AC19" i="40" s="1"/>
  <c r="W9" i="39"/>
  <c r="H32" i="39"/>
  <c r="U32" i="39" s="1"/>
  <c r="F21" i="39"/>
  <c r="AA21" i="39" s="1"/>
  <c r="F31" i="37"/>
  <c r="AA31" i="37" s="1"/>
  <c r="AC36" i="40"/>
  <c r="F17" i="37"/>
  <c r="AA17" i="37" s="1"/>
  <c r="AA29" i="33"/>
  <c r="AB28" i="36"/>
  <c r="AB13" i="40"/>
  <c r="U33" i="40"/>
  <c r="AB13" i="37"/>
  <c r="U44" i="33"/>
  <c r="U11" i="36"/>
  <c r="AB11" i="35"/>
  <c r="U32" i="34"/>
  <c r="AB32" i="34"/>
  <c r="AA30" i="34"/>
  <c r="H45" i="21"/>
  <c r="AB45" i="21"/>
  <c r="J14" i="36"/>
  <c r="W14" i="36" s="1"/>
  <c r="AC14" i="36"/>
  <c r="AC30" i="21"/>
  <c r="S15" i="34"/>
  <c r="J40" i="34"/>
  <c r="W40" i="34" s="1"/>
  <c r="AC40" i="34"/>
  <c r="S37" i="40"/>
  <c r="H19" i="33"/>
  <c r="AB19" i="33"/>
  <c r="AB23" i="33"/>
  <c r="U23" i="33"/>
  <c r="AA41" i="33"/>
  <c r="J23" i="34"/>
  <c r="W23" i="34" s="1"/>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AC39" i="34" s="1"/>
  <c r="J27" i="36"/>
  <c r="AA32" i="37"/>
  <c r="U12" i="40"/>
  <c r="AC14" i="39"/>
  <c r="AC46" i="34"/>
  <c r="AA32" i="34"/>
  <c r="S31" i="33"/>
  <c r="W28" i="33"/>
  <c r="W34" i="33"/>
  <c r="AC34" i="33"/>
  <c r="W11" i="21"/>
  <c r="S45" i="39"/>
  <c r="AA45" i="39"/>
  <c r="H27" i="21"/>
  <c r="AB27" i="21"/>
  <c r="J27" i="21"/>
  <c r="W27" i="21"/>
  <c r="F27" i="21"/>
  <c r="AA27" i="21"/>
  <c r="J29" i="21"/>
  <c r="AC29" i="21"/>
  <c r="H29" i="21"/>
  <c r="AB29" i="21" s="1"/>
  <c r="U29" i="21"/>
  <c r="F29" i="21"/>
  <c r="J31" i="21"/>
  <c r="W31" i="21"/>
  <c r="H31" i="21"/>
  <c r="U31" i="21" s="1"/>
  <c r="F31" i="21"/>
  <c r="AA31" i="21"/>
  <c r="H39" i="21"/>
  <c r="U39" i="21"/>
  <c r="F117" i="21"/>
  <c r="G117" i="21"/>
  <c r="AA15" i="33"/>
  <c r="S15" i="33"/>
  <c r="AA35" i="33"/>
  <c r="E117" i="33"/>
  <c r="F117" i="33" s="1"/>
  <c r="G117" i="33" s="1"/>
  <c r="J39" i="33"/>
  <c r="AC39" i="33"/>
  <c r="E125" i="33"/>
  <c r="H43" i="33"/>
  <c r="U43" i="33"/>
  <c r="E91" i="33"/>
  <c r="F91" i="33" s="1"/>
  <c r="G91" i="33" s="1"/>
  <c r="H91" i="33" s="1"/>
  <c r="I91" i="33" s="1"/>
  <c r="J91" i="33" s="1"/>
  <c r="K91" i="33" s="1"/>
  <c r="L91" i="33" s="1"/>
  <c r="M91" i="33" s="1"/>
  <c r="F27" i="33"/>
  <c r="S27" i="33"/>
  <c r="H41" i="33"/>
  <c r="AB41" i="33" s="1"/>
  <c r="U41" i="33"/>
  <c r="S12" i="34"/>
  <c r="AA12" i="34"/>
  <c r="AA11" i="34"/>
  <c r="S11" i="34"/>
  <c r="H17" i="34"/>
  <c r="U17" i="34"/>
  <c r="H16" i="35"/>
  <c r="U16" i="35" s="1"/>
  <c r="J24" i="35"/>
  <c r="AC24" i="35"/>
  <c r="F24" i="35"/>
  <c r="AA24" i="35" s="1"/>
  <c r="H24" i="35"/>
  <c r="U24" i="35"/>
  <c r="H34" i="35"/>
  <c r="U34" i="35" s="1"/>
  <c r="F34" i="35"/>
  <c r="S34" i="35" s="1"/>
  <c r="G60" i="37"/>
  <c r="H60" i="37" s="1"/>
  <c r="I60" i="37" s="1"/>
  <c r="F10" i="37"/>
  <c r="AA10" i="37" s="1"/>
  <c r="F12" i="37"/>
  <c r="S12" i="37" s="1"/>
  <c r="H27" i="37"/>
  <c r="AB27" i="37" s="1"/>
  <c r="U27" i="37"/>
  <c r="F27" i="37"/>
  <c r="AA27" i="37" s="1"/>
  <c r="J27" i="37"/>
  <c r="AC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c r="G101" i="2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c r="W9" i="36"/>
  <c r="AB26" i="36"/>
  <c r="U26" i="36"/>
  <c r="U9" i="36"/>
  <c r="F20" i="36"/>
  <c r="S20" i="36" s="1"/>
  <c r="AA20" i="36"/>
  <c r="J24" i="36"/>
  <c r="W24" i="36"/>
  <c r="H24" i="36"/>
  <c r="AB24" i="36" s="1"/>
  <c r="U24" i="36"/>
  <c r="F24" i="36"/>
  <c r="AA24" i="36"/>
  <c r="AA32" i="36"/>
  <c r="S32" i="36"/>
  <c r="J26" i="37"/>
  <c r="AC26" i="37"/>
  <c r="H26" i="37"/>
  <c r="U26" i="37" s="1"/>
  <c r="AB26" i="37"/>
  <c r="F26" i="37"/>
  <c r="AA26" i="37"/>
  <c r="J23" i="39"/>
  <c r="W23" i="39"/>
  <c r="E96" i="39"/>
  <c r="H15" i="37"/>
  <c r="AB15" i="37"/>
  <c r="F15" i="37"/>
  <c r="AA15" i="37" s="1"/>
  <c r="F38" i="40"/>
  <c r="AA38" i="40"/>
  <c r="J38" i="40"/>
  <c r="W38" i="40" s="1"/>
  <c r="H38" i="40"/>
  <c r="AB38" i="40"/>
  <c r="J40" i="40"/>
  <c r="AC40" i="40" s="1"/>
  <c r="H40" i="40"/>
  <c r="AB40" i="40"/>
  <c r="F40" i="40"/>
  <c r="AA40" i="40" s="1"/>
  <c r="N6" i="43"/>
  <c r="M1" i="43"/>
  <c r="F101" i="9"/>
  <c r="F33" i="9"/>
  <c r="C25" i="57"/>
  <c r="N102" i="43"/>
  <c r="G103" i="43"/>
  <c r="F59" i="43"/>
  <c r="H63" i="43" s="1"/>
  <c r="G15" i="47"/>
  <c r="U15" i="37"/>
  <c r="H25" i="34"/>
  <c r="U25" i="34"/>
  <c r="AB35" i="39"/>
  <c r="AC40" i="37"/>
  <c r="AA34" i="35"/>
  <c r="AB24" i="35"/>
  <c r="J17" i="34"/>
  <c r="W17" i="34" s="1"/>
  <c r="AC17" i="34"/>
  <c r="F17" i="34"/>
  <c r="S17" i="34" s="1"/>
  <c r="AA17" i="34"/>
  <c r="H27" i="33"/>
  <c r="AB27" i="33" s="1"/>
  <c r="F43" i="33"/>
  <c r="S43" i="33"/>
  <c r="F125" i="33"/>
  <c r="G125" i="33" s="1"/>
  <c r="J43" i="33"/>
  <c r="AC43" i="33"/>
  <c r="AB31" i="21"/>
  <c r="AA29" i="21"/>
  <c r="S29" i="21"/>
  <c r="W29" i="21"/>
  <c r="AC27" i="21"/>
  <c r="H27" i="36"/>
  <c r="AB27" i="36"/>
  <c r="F27" i="36"/>
  <c r="AA27" i="36"/>
  <c r="J28" i="34"/>
  <c r="AC28" i="34" s="1"/>
  <c r="W28" i="34"/>
  <c r="H11" i="34"/>
  <c r="U11" i="34" s="1"/>
  <c r="S17" i="37"/>
  <c r="J11" i="37"/>
  <c r="AC11" i="37"/>
  <c r="AC36" i="34"/>
  <c r="W12" i="39"/>
  <c r="AC12" i="39"/>
  <c r="S45" i="21"/>
  <c r="AB13" i="21"/>
  <c r="U38" i="40"/>
  <c r="F23" i="39"/>
  <c r="S23" i="39" s="1"/>
  <c r="AA23" i="39"/>
  <c r="F96" i="39"/>
  <c r="G96" i="39"/>
  <c r="S26" i="37"/>
  <c r="S24" i="36"/>
  <c r="F44" i="34"/>
  <c r="J44" i="34"/>
  <c r="AC44" i="34" s="1"/>
  <c r="S40" i="21"/>
  <c r="U31" i="37"/>
  <c r="W27" i="37"/>
  <c r="H10" i="37"/>
  <c r="U10" i="37"/>
  <c r="AA27" i="33"/>
  <c r="AB43" i="33"/>
  <c r="S31" i="21"/>
  <c r="AC27" i="36"/>
  <c r="W27" i="36"/>
  <c r="F101" i="33"/>
  <c r="G101" i="33"/>
  <c r="H101" i="33"/>
  <c r="I101" i="33"/>
  <c r="J101" i="33" s="1"/>
  <c r="K101" i="33" s="1"/>
  <c r="L101" i="33" s="1"/>
  <c r="M101" i="33" s="1"/>
  <c r="J32" i="33"/>
  <c r="W32" i="33"/>
  <c r="H32" i="33"/>
  <c r="U32" i="33" s="1"/>
  <c r="AB32" i="33"/>
  <c r="U45" i="21"/>
  <c r="AC45" i="21"/>
  <c r="W45" i="21"/>
  <c r="AC13" i="21"/>
  <c r="AA44" i="34"/>
  <c r="S44" i="34"/>
  <c r="S27" i="36"/>
  <c r="AB25" i="34"/>
  <c r="J10" i="37"/>
  <c r="AC10" i="37"/>
  <c r="H23" i="39"/>
  <c r="AB23" i="39"/>
  <c r="J11" i="34"/>
  <c r="AC11" i="34" s="1"/>
  <c r="W11" i="34"/>
  <c r="J27" i="33"/>
  <c r="W27" i="33"/>
  <c r="J25" i="34"/>
  <c r="W25" i="34"/>
  <c r="U23" i="39"/>
  <c r="K53" i="43"/>
  <c r="J53" i="43"/>
  <c r="D53" i="43"/>
  <c r="M53" i="43"/>
  <c r="N53" i="43"/>
  <c r="K49" i="43"/>
  <c r="J49" i="43"/>
  <c r="D49" i="43"/>
  <c r="M49" i="43"/>
  <c r="N49" i="43"/>
  <c r="K54" i="43"/>
  <c r="J54" i="43" s="1"/>
  <c r="D54" i="43"/>
  <c r="M54" i="43"/>
  <c r="N54" i="43"/>
  <c r="K50" i="43"/>
  <c r="J50" i="43"/>
  <c r="D50" i="43"/>
  <c r="M50" i="43"/>
  <c r="N50" i="43" s="1"/>
  <c r="K55" i="43"/>
  <c r="J55" i="43"/>
  <c r="D55" i="43"/>
  <c r="M55" i="43"/>
  <c r="N55" i="43"/>
  <c r="K51" i="43"/>
  <c r="J51" i="43"/>
  <c r="D51" i="43"/>
  <c r="M51" i="43"/>
  <c r="N51" i="43"/>
  <c r="K48" i="43"/>
  <c r="J48" i="43" s="1"/>
  <c r="D48" i="43"/>
  <c r="E48" i="43" s="1"/>
  <c r="B46" i="43" s="1"/>
  <c r="M48" i="43"/>
  <c r="N48" i="43"/>
  <c r="K52" i="43"/>
  <c r="J52" i="43"/>
  <c r="D52" i="43"/>
  <c r="M52" i="43"/>
  <c r="N52" i="43" s="1"/>
  <c r="K56" i="43"/>
  <c r="J56" i="43"/>
  <c r="D56" i="43"/>
  <c r="M56" i="43"/>
  <c r="N56" i="43"/>
  <c r="D93" i="9"/>
  <c r="P51" i="15"/>
  <c r="D10" i="11"/>
  <c r="C2" i="31"/>
  <c r="I23" i="31" s="1"/>
  <c r="P60" i="15"/>
  <c r="D78" i="9"/>
  <c r="D95" i="57"/>
  <c r="A16" i="55"/>
  <c r="B46" i="60" s="1"/>
  <c r="D3" i="37"/>
  <c r="AB36" i="40"/>
  <c r="W31" i="40"/>
  <c r="AC9" i="40"/>
  <c r="S9" i="40"/>
  <c r="AA27" i="40"/>
  <c r="W35" i="40"/>
  <c r="W33" i="40"/>
  <c r="W34" i="40"/>
  <c r="AB39" i="40"/>
  <c r="J37" i="40"/>
  <c r="AC37" i="40" s="1"/>
  <c r="H35" i="40"/>
  <c r="H37" i="40"/>
  <c r="H28" i="40"/>
  <c r="U28" i="40" s="1"/>
  <c r="F28" i="40"/>
  <c r="S28" i="40" s="1"/>
  <c r="J28" i="40"/>
  <c r="G97" i="40"/>
  <c r="H97" i="40" s="1"/>
  <c r="I97" i="40"/>
  <c r="J97" i="40" s="1"/>
  <c r="K97" i="40" s="1"/>
  <c r="L97" i="40" s="1"/>
  <c r="M97" i="40" s="1"/>
  <c r="F21" i="40"/>
  <c r="AA21" i="40" s="1"/>
  <c r="H21" i="40"/>
  <c r="F89" i="40"/>
  <c r="G89" i="40"/>
  <c r="J21" i="40"/>
  <c r="W21" i="40" s="1"/>
  <c r="F85" i="40"/>
  <c r="G85" i="40" s="1"/>
  <c r="H17" i="40"/>
  <c r="U17" i="40" s="1"/>
  <c r="J17" i="40"/>
  <c r="F17" i="40"/>
  <c r="S17" i="40"/>
  <c r="F83" i="40"/>
  <c r="G83" i="40" s="1"/>
  <c r="F15" i="40"/>
  <c r="S15" i="40" s="1"/>
  <c r="J15" i="40"/>
  <c r="AC15" i="40" s="1"/>
  <c r="H15" i="40"/>
  <c r="AB15" i="40" s="1"/>
  <c r="AC25" i="40"/>
  <c r="W25" i="40"/>
  <c r="U19" i="40"/>
  <c r="U14" i="40"/>
  <c r="U8" i="40"/>
  <c r="S36" i="40"/>
  <c r="AA35" i="40"/>
  <c r="AC38" i="39"/>
  <c r="AC17" i="39"/>
  <c r="AA37" i="39"/>
  <c r="AB29" i="39"/>
  <c r="AC23" i="39"/>
  <c r="W27" i="39"/>
  <c r="AC27" i="39"/>
  <c r="W35" i="39"/>
  <c r="U42" i="39"/>
  <c r="AB13" i="39"/>
  <c r="U19" i="39"/>
  <c r="AB27" i="39"/>
  <c r="U27" i="39"/>
  <c r="AA27" i="39"/>
  <c r="S27" i="39"/>
  <c r="S40" i="39"/>
  <c r="S31" i="39"/>
  <c r="AC11" i="39"/>
  <c r="S13" i="39"/>
  <c r="S34" i="36"/>
  <c r="AC24" i="36"/>
  <c r="S11" i="36"/>
  <c r="S12" i="36"/>
  <c r="S22" i="36"/>
  <c r="AC16" i="36"/>
  <c r="S26" i="36"/>
  <c r="U27" i="36"/>
  <c r="AC26" i="36"/>
  <c r="S14" i="36"/>
  <c r="U14" i="36"/>
  <c r="W18" i="36"/>
  <c r="AC18" i="36"/>
  <c r="AC12" i="36"/>
  <c r="AC32" i="36"/>
  <c r="W29" i="36"/>
  <c r="W2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c r="K99" i="37"/>
  <c r="L99" i="37" s="1"/>
  <c r="M99" i="37" s="1"/>
  <c r="H33" i="37"/>
  <c r="U33" i="37" s="1"/>
  <c r="AC35" i="37"/>
  <c r="H35" i="37"/>
  <c r="U35" i="37" s="1"/>
  <c r="AB35" i="37"/>
  <c r="F35" i="37"/>
  <c r="E103" i="37"/>
  <c r="F103" i="37"/>
  <c r="G103" i="37"/>
  <c r="H103" i="37" s="1"/>
  <c r="I103" i="37" s="1"/>
  <c r="J103" i="37" s="1"/>
  <c r="K103" i="37" s="1"/>
  <c r="L103" i="37" s="1"/>
  <c r="M103" i="37" s="1"/>
  <c r="AC23" i="37"/>
  <c r="J19" i="37"/>
  <c r="W19" i="37" s="1"/>
  <c r="F19" i="37"/>
  <c r="G75" i="37"/>
  <c r="H19" i="37"/>
  <c r="U19" i="37" s="1"/>
  <c r="W17" i="37"/>
  <c r="AC17" i="37"/>
  <c r="AB17" i="37"/>
  <c r="J15" i="37"/>
  <c r="W10" i="37"/>
  <c r="S10" i="37"/>
  <c r="AA11" i="37"/>
  <c r="AB10" i="37"/>
  <c r="AC21" i="37"/>
  <c r="W21" i="37"/>
  <c r="W11" i="37"/>
  <c r="W14" i="37"/>
  <c r="AB11" i="37"/>
  <c r="S37" i="37"/>
  <c r="AA14" i="37"/>
  <c r="AA38" i="37"/>
  <c r="W35" i="34"/>
  <c r="AB11" i="34"/>
  <c r="S40" i="34"/>
  <c r="AB41" i="34"/>
  <c r="S36" i="34"/>
  <c r="S43" i="34"/>
  <c r="AB19" i="34"/>
  <c r="AB17" i="34"/>
  <c r="W15" i="34"/>
  <c r="W31" i="34"/>
  <c r="U23" i="34"/>
  <c r="U36" i="34"/>
  <c r="U21" i="34"/>
  <c r="AB21" i="34"/>
  <c r="AA25" i="34"/>
  <c r="AA46" i="34"/>
  <c r="W42" i="33"/>
  <c r="U25" i="33"/>
  <c r="W11" i="33"/>
  <c r="U17" i="33"/>
  <c r="W25" i="33"/>
  <c r="U34" i="33"/>
  <c r="U38" i="33"/>
  <c r="W37" i="33"/>
  <c r="W43" i="33"/>
  <c r="AC41" i="33"/>
  <c r="AC27" i="33"/>
  <c r="AA45" i="33"/>
  <c r="U46" i="33"/>
  <c r="S23" i="33"/>
  <c r="S17" i="33"/>
  <c r="W17" i="33"/>
  <c r="U15" i="33"/>
  <c r="AB9" i="33"/>
  <c r="U9" i="33"/>
  <c r="S10" i="33"/>
  <c r="AC12" i="33"/>
  <c r="W39" i="33"/>
  <c r="W9" i="33"/>
  <c r="AC46" i="33"/>
  <c r="AC19" i="33"/>
  <c r="W21" i="33"/>
  <c r="AC21" i="33"/>
  <c r="AB42" i="33"/>
  <c r="U13" i="33"/>
  <c r="U39" i="33"/>
  <c r="S9" i="33"/>
  <c r="W42" i="21"/>
  <c r="W39" i="21"/>
  <c r="AA34" i="21"/>
  <c r="AA15" i="21"/>
  <c r="AC26" i="21"/>
  <c r="AC32" i="21"/>
  <c r="AB39" i="21"/>
  <c r="W40" i="21"/>
  <c r="AC37" i="21"/>
  <c r="W34" i="21"/>
  <c r="U27" i="21"/>
  <c r="U19" i="21"/>
  <c r="U43" i="21"/>
  <c r="U26" i="21"/>
  <c r="AB44" i="21"/>
  <c r="U30" i="21"/>
  <c r="AB36" i="21"/>
  <c r="S17" i="21"/>
  <c r="AA36" i="21"/>
  <c r="AB32" i="21"/>
  <c r="S28" i="21"/>
  <c r="AB21" i="21"/>
  <c r="U21" i="21"/>
  <c r="AC19" i="21"/>
  <c r="U17"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Y25" i="31"/>
  <c r="V25" i="31"/>
  <c r="H102" i="43"/>
  <c r="M6" i="43"/>
  <c r="M5" i="43"/>
  <c r="F81" i="43"/>
  <c r="H85" i="43" s="1"/>
  <c r="H13" i="44"/>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E81" i="43" s="1"/>
  <c r="B79" i="43" s="1"/>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c r="K83" i="43"/>
  <c r="J83" i="43"/>
  <c r="D83" i="43"/>
  <c r="F103" i="43"/>
  <c r="J107" i="43"/>
  <c r="N105" i="43"/>
  <c r="E102" i="43"/>
  <c r="I103" i="43"/>
  <c r="M104" i="43"/>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7" i="39"/>
  <c r="W42" i="39"/>
  <c r="W34" i="39"/>
  <c r="W32" i="39"/>
  <c r="S43" i="39"/>
  <c r="AA32" i="39"/>
  <c r="AA25" i="39"/>
  <c r="U40" i="39"/>
  <c r="AB43" i="39"/>
  <c r="AC41" i="39"/>
  <c r="U11" i="39"/>
  <c r="W36" i="39"/>
  <c r="S34" i="39"/>
  <c r="S39" i="39"/>
  <c r="U9" i="39"/>
  <c r="AA13" i="36"/>
  <c r="S8" i="36"/>
  <c r="U33" i="35"/>
  <c r="W33" i="35"/>
  <c r="S36" i="35"/>
  <c r="U22" i="35"/>
  <c r="AA33" i="35"/>
  <c r="AA29" i="35"/>
  <c r="S22" i="35"/>
  <c r="U28" i="35"/>
  <c r="AB27" i="35"/>
  <c r="U36" i="35"/>
  <c r="W36" i="35"/>
  <c r="S35" i="35"/>
  <c r="S26" i="35"/>
  <c r="AB26" i="35"/>
  <c r="AA25" i="35"/>
  <c r="S28" i="35"/>
  <c r="AC34" i="37"/>
  <c r="U29" i="37"/>
  <c r="U30" i="37"/>
  <c r="S40" i="37"/>
  <c r="AC13" i="37"/>
  <c r="U38" i="37"/>
  <c r="AA13" i="37"/>
  <c r="W25" i="37"/>
  <c r="G84" i="34"/>
  <c r="J21" i="34"/>
  <c r="AB40" i="34"/>
  <c r="AC19" i="34"/>
  <c r="AC23" i="34"/>
  <c r="AA45" i="34"/>
  <c r="AB45" i="34"/>
  <c r="AB35" i="34"/>
  <c r="W29" i="34"/>
  <c r="AC25" i="34"/>
  <c r="AB44" i="34"/>
  <c r="AC33" i="34"/>
  <c r="AA33" i="34"/>
  <c r="S35" i="34"/>
  <c r="AB47" i="34"/>
  <c r="U31" i="34"/>
  <c r="AB14" i="34"/>
  <c r="AC45" i="34"/>
  <c r="AA29" i="34"/>
  <c r="AC13" i="34"/>
  <c r="AB13" i="34"/>
  <c r="U10" i="34"/>
  <c r="S13" i="34"/>
  <c r="AA31" i="34"/>
  <c r="AB29" i="34"/>
  <c r="U19" i="33"/>
  <c r="AC32" i="33"/>
  <c r="AA43" i="33"/>
  <c r="S32" i="33"/>
  <c r="U33" i="33"/>
  <c r="AA28" i="33"/>
  <c r="U30" i="33"/>
  <c r="S39" i="33"/>
  <c r="AB26" i="33"/>
  <c r="AA36" i="33"/>
  <c r="W35" i="33"/>
  <c r="W40" i="33"/>
  <c r="W26" i="33"/>
  <c r="S33" i="33"/>
  <c r="U35" i="33"/>
  <c r="AC45" i="33"/>
  <c r="AB29" i="33"/>
  <c r="AB36" i="33"/>
  <c r="W15" i="33"/>
  <c r="AA19" i="33"/>
  <c r="W8" i="33"/>
  <c r="G83" i="21"/>
  <c r="J21" i="21"/>
  <c r="AC21" i="21" s="1"/>
  <c r="S27" i="21"/>
  <c r="AC31" i="21"/>
  <c r="W23" i="21"/>
  <c r="AA25" i="21"/>
  <c r="S46" i="21"/>
  <c r="AA26" i="21"/>
  <c r="W12" i="21"/>
  <c r="S35" i="21"/>
  <c r="C15" i="39"/>
  <c r="C17" i="39"/>
  <c r="C19" i="39"/>
  <c r="C15" i="40"/>
  <c r="C17" i="40"/>
  <c r="U30" i="40"/>
  <c r="B49" i="43"/>
  <c r="B52" i="43"/>
  <c r="B56" i="43"/>
  <c r="B60" i="43"/>
  <c r="B63" i="43"/>
  <c r="B67" i="43"/>
  <c r="U35" i="40"/>
  <c r="AB35" i="40"/>
  <c r="U37" i="40"/>
  <c r="AB37" i="40"/>
  <c r="W37" i="40"/>
  <c r="AC28" i="40"/>
  <c r="W28" i="40"/>
  <c r="AB28" i="40"/>
  <c r="AB21" i="40"/>
  <c r="U21" i="40"/>
  <c r="AB17" i="40"/>
  <c r="AA17" i="40"/>
  <c r="W17" i="40"/>
  <c r="AC17" i="40"/>
  <c r="AA15" i="40"/>
  <c r="W15" i="40"/>
  <c r="AB33" i="37"/>
  <c r="S33" i="37"/>
  <c r="AA35" i="37"/>
  <c r="S35" i="37"/>
  <c r="W33" i="37"/>
  <c r="AA19" i="37"/>
  <c r="S19" i="37"/>
  <c r="AC15" i="37"/>
  <c r="W15" i="37"/>
  <c r="AC21" i="34"/>
  <c r="W21" i="34"/>
  <c r="W21" i="21"/>
  <c r="M86" i="43"/>
  <c r="N86" i="43" s="1"/>
  <c r="F34" i="11"/>
  <c r="E19" i="1"/>
  <c r="D20" i="1"/>
  <c r="D18" i="1"/>
  <c r="F50" i="11"/>
  <c r="F19" i="1"/>
  <c r="F18" i="1"/>
  <c r="C11" i="12" s="1"/>
  <c r="D19" i="1"/>
  <c r="K87" i="43"/>
  <c r="J87" i="43"/>
  <c r="D87" i="43"/>
  <c r="J22" i="43"/>
  <c r="M84" i="43"/>
  <c r="N84" i="43" s="1"/>
  <c r="K84" i="43"/>
  <c r="J84" i="43"/>
  <c r="D84" i="43"/>
  <c r="M81" i="43"/>
  <c r="N81" i="43"/>
  <c r="K81" i="43"/>
  <c r="J81" i="43"/>
  <c r="D81" i="43"/>
  <c r="M88" i="43"/>
  <c r="N88" i="43"/>
  <c r="K88" i="43"/>
  <c r="J88" i="43" s="1"/>
  <c r="D88" i="43"/>
  <c r="I114" i="57"/>
  <c r="D131" i="57" s="1"/>
  <c r="B41" i="1"/>
  <c r="M27" i="15" s="1"/>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21" i="59"/>
  <c r="AB19" i="59"/>
  <c r="Z20"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c r="B22" i="59" s="1"/>
  <c r="B21" i="59" s="1"/>
  <c r="AC30" i="35"/>
  <c r="I116" i="57"/>
  <c r="D133" i="57" s="1"/>
  <c r="I14" i="62" s="1"/>
  <c r="B8" i="62" s="1"/>
  <c r="D120" i="57"/>
  <c r="I114" i="9"/>
  <c r="D129" i="9" s="1"/>
  <c r="I112" i="9"/>
  <c r="D116" i="9"/>
  <c r="D114" i="9"/>
  <c r="D115" i="9"/>
  <c r="I113" i="9" s="1"/>
  <c r="E2" i="33"/>
  <c r="D6" i="61"/>
  <c r="F6" i="61"/>
  <c r="D3" i="61"/>
  <c r="D4" i="61"/>
  <c r="E2" i="37"/>
  <c r="H23" i="31"/>
  <c r="F3" i="61"/>
  <c r="E2" i="35"/>
  <c r="E2" i="21"/>
  <c r="C20" i="57"/>
  <c r="C19" i="57"/>
  <c r="D20" i="57"/>
  <c r="F5" i="61"/>
  <c r="E2" i="36"/>
  <c r="F4" i="61"/>
  <c r="D7" i="61"/>
  <c r="D19" i="57"/>
  <c r="F7" i="61"/>
  <c r="D5" i="61"/>
  <c r="E2" i="11"/>
  <c r="E2" i="34"/>
  <c r="D3" i="33" l="1"/>
  <c r="M29" i="15"/>
  <c r="D3" i="34"/>
  <c r="C34" i="34" s="1"/>
  <c r="C17" i="15"/>
  <c r="D19" i="11"/>
  <c r="D3" i="21"/>
  <c r="D37" i="11"/>
  <c r="C37" i="11" s="1"/>
  <c r="H27" i="34"/>
  <c r="U27" i="34" s="1"/>
  <c r="U39" i="34"/>
  <c r="W43" i="34"/>
  <c r="U43" i="34"/>
  <c r="W39" i="34"/>
  <c r="U38" i="34"/>
  <c r="S38" i="34"/>
  <c r="G112" i="34"/>
  <c r="H112" i="34" s="1"/>
  <c r="I112" i="34" s="1"/>
  <c r="J112" i="34" s="1"/>
  <c r="K112" i="34" s="1"/>
  <c r="L112" i="34" s="1"/>
  <c r="M112" i="34" s="1"/>
  <c r="F37" i="34"/>
  <c r="H37" i="34"/>
  <c r="U37" i="34" s="1"/>
  <c r="J37"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B20" i="59"/>
  <c r="B19" i="59" s="1"/>
  <c r="B18" i="59" s="1"/>
  <c r="B17" i="59" s="1"/>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S44" i="21"/>
  <c r="W44" i="21"/>
  <c r="AB30" i="34"/>
  <c r="U11" i="40"/>
  <c r="AA32" i="35"/>
  <c r="S32" i="35"/>
  <c r="AC19" i="37"/>
  <c r="E109" i="43"/>
  <c r="C27" i="39"/>
  <c r="B74" i="43"/>
  <c r="AB22" i="36"/>
  <c r="U22" i="36"/>
  <c r="H33" i="36"/>
  <c r="F33" i="36"/>
  <c r="J33" i="36"/>
  <c r="U30" i="35"/>
  <c r="AC21" i="40"/>
  <c r="AC46" i="21"/>
  <c r="W41" i="34"/>
  <c r="W29" i="35"/>
  <c r="AC28" i="21"/>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W39" i="37"/>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7" i="59"/>
  <c r="Y26" i="59"/>
  <c r="Z26" i="59" s="1"/>
  <c r="Y22" i="59"/>
  <c r="Z22" i="59" s="1"/>
  <c r="Y24" i="59"/>
  <c r="Z24" i="59" s="1"/>
  <c r="Y25" i="59"/>
  <c r="Z25" i="59" s="1"/>
  <c r="X25" i="31"/>
  <c r="C37" i="57" s="1"/>
  <c r="F125" i="57" s="1"/>
  <c r="G125" i="57" s="1"/>
  <c r="D100" i="43"/>
  <c r="E108" i="43"/>
  <c r="J108" i="43"/>
  <c r="J100" i="43"/>
  <c r="M108" i="43"/>
  <c r="M109" i="43" s="1"/>
  <c r="U21" i="37"/>
  <c r="D47" i="59"/>
  <c r="AB3" i="59"/>
  <c r="X34" i="59"/>
  <c r="N69" i="59"/>
  <c r="S69" i="59"/>
  <c r="B68" i="59"/>
  <c r="F67"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D8" i="48" l="1"/>
  <c r="C3" i="4"/>
  <c r="B4" i="55" s="1"/>
  <c r="B53" i="60" s="1"/>
  <c r="J34" i="34"/>
  <c r="F34" i="34"/>
  <c r="H34" i="34"/>
  <c r="C105" i="57"/>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AB34" i="34" l="1"/>
  <c r="U34" i="34"/>
  <c r="AA34" i="34"/>
  <c r="S34" i="34"/>
  <c r="AC34" i="34"/>
  <c r="W34" i="34"/>
  <c r="U7" i="37"/>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H69" i="39" l="1"/>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20" i="9"/>
  <c r="D19" i="9"/>
  <c r="D102" i="9" l="1"/>
  <c r="D101" i="9"/>
  <c r="R50" i="34"/>
  <c r="C50" i="34" s="1"/>
  <c r="B2" i="34" s="1"/>
  <c r="E49" i="34"/>
  <c r="E53" i="34" s="1"/>
  <c r="F53" i="34" s="1"/>
  <c r="R48" i="39"/>
  <c r="E47" i="39"/>
  <c r="T13" i="59"/>
  <c r="C12" i="59"/>
  <c r="D13" i="59"/>
  <c r="I53" i="34"/>
  <c r="J53" i="34" s="1"/>
  <c r="H7" i="40"/>
  <c r="J7" i="40"/>
  <c r="F7" i="40"/>
  <c r="C19" i="9"/>
  <c r="C101" i="9" l="1"/>
  <c r="G19" i="9"/>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M20" i="43" l="1"/>
  <c r="T5" i="59"/>
  <c r="D5" i="59"/>
  <c r="I121" i="9" l="1"/>
  <c r="G121" i="9"/>
  <c r="E121" i="9"/>
  <c r="G4" i="52" l="1"/>
  <c r="B41" i="60" s="1"/>
  <c r="F121" i="9"/>
  <c r="E4" i="52"/>
  <c r="B38" i="60" s="1"/>
  <c r="D121" i="9"/>
  <c r="I4" i="52"/>
  <c r="H121" i="9"/>
  <c r="D107" i="9"/>
  <c r="C104" i="9"/>
  <c r="I103" i="9"/>
  <c r="D30" i="50"/>
  <c r="D9" i="50" l="1"/>
  <c r="B21" i="60" s="1"/>
  <c r="E14" i="62"/>
  <c r="D122" i="9"/>
  <c r="D5" i="52" s="1"/>
  <c r="B39" i="60" s="1"/>
  <c r="D4" i="52"/>
  <c r="B37" i="60" s="1"/>
  <c r="H4" i="52"/>
  <c r="D106" i="9"/>
  <c r="D112" i="9" s="1"/>
  <c r="D117" i="9" s="1"/>
  <c r="D44" i="50" s="1"/>
  <c r="C103" i="9"/>
  <c r="H122" i="9"/>
  <c r="H5" i="52" s="1"/>
  <c r="I102" i="9"/>
  <c r="D14" i="62" s="1"/>
  <c r="F122" i="9"/>
  <c r="F5" i="52" s="1"/>
  <c r="B42" i="60" s="1"/>
  <c r="F4" i="52"/>
  <c r="B40" i="60" s="1"/>
  <c r="I115" i="9" l="1"/>
  <c r="D23" i="50" s="1"/>
  <c r="B34" i="60" s="1"/>
  <c r="F14" i="62"/>
  <c r="B5" i="62"/>
  <c r="D113" i="9"/>
  <c r="I110" i="9"/>
  <c r="N48" i="9"/>
  <c r="D45" i="9"/>
  <c r="D28" i="50"/>
  <c r="D29" i="50" s="1"/>
  <c r="D7" i="50"/>
  <c r="I111" i="9" l="1"/>
  <c r="D38" i="50"/>
  <c r="B62" i="60" s="1"/>
  <c r="C85" i="9"/>
  <c r="C93" i="9"/>
  <c r="C86" i="9" s="1"/>
  <c r="C95" i="9" s="1"/>
  <c r="C96" i="9" s="1"/>
  <c r="E96" i="9" s="1"/>
  <c r="E97" i="9" s="1"/>
  <c r="C72" i="9"/>
  <c r="C64" i="9"/>
  <c r="C63" i="9" s="1"/>
  <c r="C67" i="9" s="1"/>
  <c r="C68" i="9" s="1"/>
  <c r="D54" i="9" s="1"/>
  <c r="C78" i="9"/>
  <c r="C73" i="9" s="1"/>
  <c r="D52" i="9"/>
  <c r="D53" i="9"/>
  <c r="D48" i="9" s="1"/>
  <c r="N52" i="9" s="1"/>
  <c r="O57" i="9" s="1"/>
  <c r="D5" i="62"/>
  <c r="C5" i="62"/>
  <c r="D8" i="50"/>
  <c r="B22" i="60" s="1"/>
  <c r="B19" i="60"/>
  <c r="D125" i="9"/>
  <c r="D15" i="50"/>
  <c r="D36" i="50"/>
  <c r="D37" i="50" s="1"/>
  <c r="C97" i="9" l="1"/>
  <c r="D58" i="9" s="1"/>
  <c r="B29" i="60"/>
  <c r="D16" i="50"/>
  <c r="B30" i="60" s="1"/>
  <c r="D8" i="52"/>
  <c r="G14" i="62"/>
  <c r="B6" i="62" s="1"/>
  <c r="Q57" i="9"/>
  <c r="O58" i="9"/>
  <c r="O59" i="9"/>
  <c r="C79" i="9"/>
  <c r="C80" i="9" s="1"/>
  <c r="E80" i="9" s="1"/>
  <c r="E81" i="9" s="1"/>
  <c r="D17" i="50"/>
  <c r="D126" i="9"/>
  <c r="D9" i="52" s="1"/>
  <c r="O61" i="9" l="1"/>
  <c r="O60" i="9"/>
  <c r="D6" i="62"/>
  <c r="C6" i="62"/>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<sst xmlns="http://schemas.openxmlformats.org/spreadsheetml/2006/main" count="6943" uniqueCount="3071">
  <si>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</si>
  <si>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</si>
  <si>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</si>
  <si>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</si>
  <si>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</si>
  <si>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</si>
  <si>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</si>
  <si>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</si>
  <si>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</si>
  <si>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</si>
  <si>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</si>
  <si>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</si>
  <si>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</si>
  <si>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</si>
  <si>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</si>
  <si>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</si>
  <si>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</si>
  <si>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</si>
  <si>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</si>
  <si>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</si>
  <si>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</si>
  <si>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</si>
  <si>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</si>
  <si>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</si>
  <si>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</si>
  <si>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</si>
  <si>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</si>
  <si>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</si>
  <si>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</si>
  <si>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</si>
  <si>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</si>
  <si>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</si>
  <si>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</si>
  <si>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</si>
  <si>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</si>
  <si>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</si>
  <si>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</si>
  <si>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</si>
  <si>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</si>
  <si>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</si>
  <si>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</si>
  <si>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</si>
  <si>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</si>
  <si>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</si>
  <si>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</si>
  <si>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</si>
  <si>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</si>
  <si>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</si>
  <si>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</si>
  <si>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</si>
  <si>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</si>
  <si>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</si>
  <si>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</si>
  <si>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</si>
  <si>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</si>
  <si>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</si>
  <si>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</si>
  <si>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</si>
  <si>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</si>
  <si>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</si>
  <si>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</si>
  <si>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</si>
  <si>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</si>
  <si>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</si>
  <si>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</si>
  <si>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</si>
  <si>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</si>
  <si>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</si>
  <si>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</si>
  <si>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</si>
  <si>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</si>
  <si>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</si>
  <si>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</si>
  <si>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</si>
  <si>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</si>
  <si>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</si>
  <si>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</si>
  <si>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</si>
  <si>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</si>
  <si>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</si>
  <si>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</si>
  <si>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</si>
  <si>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</si>
  <si>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</si>
  <si>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</si>
  <si>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</si>
  <si>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</si>
  <si>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</si>
  <si>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</si>
  <si>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</si>
  <si>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</si>
  <si>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</si>
  <si>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</si>
  <si>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</si>
  <si>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</si>
  <si>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</si>
  <si>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</si>
  <si>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</si>
  <si>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</si>
  <si>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</si>
  <si>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</si>
  <si>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</si>
  <si>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</si>
  <si>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</si>
  <si>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</si>
  <si>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</si>
  <si>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</si>
  <si>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</si>
  <si>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</si>
  <si>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</si>
  <si>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</si>
  <si>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</si>
  <si>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</si>
  <si>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</si>
  <si>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</si>
  <si>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</si>
  <si>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</si>
  <si>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</si>
  <si>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</si>
  <si>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</si>
  <si>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</si>
  <si>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</si>
  <si>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</si>
  <si>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</si>
  <si>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</si>
  <si>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</si>
  <si>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</si>
  <si>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</si>
  <si>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</si>
  <si>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</si>
  <si>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</si>
  <si>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</si>
  <si>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</si>
  <si>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</si>
  <si>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</si>
  <si>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</si>
  <si>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</si>
  <si>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</si>
  <si>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</si>
  <si>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</si>
  <si>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</si>
  <si>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</si>
  <si>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</si>
  <si>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</si>
  <si>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</si>
  <si>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</si>
  <si>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</si>
  <si>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</si>
  <si>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</si>
  <si>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</si>
  <si>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</si>
  <si>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</si>
  <si>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</si>
  <si>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</si>
  <si>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</si>
  <si>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</si>
  <si>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</si>
  <si>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</si>
  <si>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</si>
  <si>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</si>
  <si>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</si>
  <si>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</si>
  <si>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</si>
  <si>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</si>
  <si>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</si>
  <si>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</si>
  <si>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</si>
  <si>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</si>
  <si>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</si>
  <si>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</si>
  <si>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</si>
  <si>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</si>
  <si>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</si>
  <si>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</si>
  <si>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</si>
  <si>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</si>
  <si>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</si>
  <si>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</si>
  <si>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</si>
  <si>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</si>
  <si>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</si>
  <si>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</si>
  <si>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</si>
  <si>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</si>
  <si>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</si>
  <si>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</si>
  <si>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</si>
  <si>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</si>
  <si>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</si>
  <si>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</si>
  <si>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</si>
  <si>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</si>
  <si>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</si>
  <si>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</si>
  <si>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</si>
  <si>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</si>
  <si>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</si>
  <si>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</si>
  <si>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</si>
  <si>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</si>
  <si>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</si>
  <si>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</si>
  <si>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</si>
  <si>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</si>
  <si>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</si>
  <si>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</si>
  <si>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</si>
  <si>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</si>
  <si>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</si>
  <si>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</si>
  <si>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</si>
  <si>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</si>
  <si>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</si>
  <si>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</si>
  <si>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</si>
  <si>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</si>
  <si>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</si>
  <si>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</si>
  <si>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</si>
  <si>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</si>
  <si>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</si>
  <si>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</si>
  <si>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</si>
  <si>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</si>
  <si>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</si>
  <si>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</si>
  <si>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</si>
  <si>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</si>
  <si>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</si>
  <si>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</si>
  <si>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</si>
  <si>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</si>
  <si>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</si>
  <si>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</si>
  <si>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</si>
  <si>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</si>
  <si>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</si>
  <si>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</si>
  <si>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</si>
  <si>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</si>
  <si>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</si>
  <si>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</si>
  <si>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</si>
  <si>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</si>
  <si>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</si>
  <si>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</si>
  <si>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</si>
  <si>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</si>
  <si>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</si>
  <si>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</si>
  <si>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</si>
  <si>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</si>
  <si>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</si>
  <si>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</si>
  <si>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</si>
  <si>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</si>
  <si>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</si>
  <si>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</si>
  <si>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</si>
  <si>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</si>
  <si>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</si>
  <si>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</si>
  <si>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</si>
  <si>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</si>
  <si>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</si>
  <si>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</si>
  <si>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</si>
  <si>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</si>
  <si>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</si>
  <si>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</si>
  <si>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</si>
  <si>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</si>
  <si>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</si>
  <si>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</si>
  <si>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</si>
  <si>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</si>
  <si>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</si>
  <si>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</si>
  <si>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</si>
  <si>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</si>
  <si>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</si>
  <si>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</si>
  <si>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</si>
  <si>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</si>
  <si>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</si>
  <si>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</si>
  <si>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</si>
  <si>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</si>
  <si>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</si>
  <si>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</si>
  <si>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</si>
  <si>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</si>
  <si>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</si>
  <si>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</si>
  <si>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</si>
  <si>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</si>
  <si>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</si>
  <si>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</si>
  <si>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</si>
  <si>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</si>
  <si>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</si>
  <si>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</si>
  <si>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</si>
  <si>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</si>
  <si>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</si>
  <si>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</si>
  <si>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</si>
  <si>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</si>
  <si>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</si>
  <si>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</si>
  <si>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</si>
  <si>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</si>
  <si>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</si>
  <si>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</si>
  <si>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</si>
  <si>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</si>
  <si>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</si>
  <si>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</si>
  <si>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</si>
  <si>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</si>
  <si>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</si>
  <si>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</si>
  <si>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</si>
  <si>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</si>
  <si>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</si>
  <si>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</si>
  <si>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</si>
  <si>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</si>
  <si>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</si>
  <si>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</si>
  <si>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</si>
  <si>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</si>
  <si>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</si>
  <si>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</si>
  <si>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</si>
  <si>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</si>
  <si>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</si>
  <si>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</si>
  <si>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</si>
  <si>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</si>
  <si>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</si>
  <si>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</si>
  <si>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</si>
  <si>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</si>
  <si>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</si>
  <si>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</si>
  <si>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</si>
  <si>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</si>
  <si>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</si>
  <si>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</si>
  <si>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</si>
  <si>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</si>
  <si>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</si>
  <si>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</si>
  <si>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</si>
  <si>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</si>
  <si>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</si>
  <si>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</si>
  <si>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</si>
  <si>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</si>
  <si>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</si>
  <si>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</si>
  <si>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</si>
  <si>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</si>
  <si>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</si>
  <si>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</si>
  <si>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</si>
  <si>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</si>
  <si>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</si>
  <si>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</si>
  <si>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</si>
  <si>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</si>
  <si>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</si>
  <si>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</si>
  <si>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</si>
  <si>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</si>
  <si>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</si>
  <si>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</si>
  <si>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</si>
  <si>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</si>
  <si>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</si>
  <si>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</si>
  <si>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</si>
  <si>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</si>
  <si>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</si>
  <si>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</si>
  <si>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</si>
  <si>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</si>
  <si>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</si>
  <si>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</si>
  <si>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</si>
  <si>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</si>
  <si>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</si>
  <si>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</si>
  <si>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</si>
  <si>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</si>
  <si>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</si>
  <si>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</si>
  <si>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</si>
  <si>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</si>
  <si>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</si>
  <si>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</si>
  <si>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</si>
  <si>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</si>
  <si>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</si>
  <si>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</si>
  <si>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</si>
  <si>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</si>
  <si>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</si>
  <si>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</si>
  <si>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</si>
  <si>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</si>
  <si>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</si>
  <si>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</si>
  <si>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</si>
  <si>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</si>
  <si>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</si>
  <si>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</si>
  <si>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</si>
  <si>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</si>
  <si>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</si>
  <si>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</si>
  <si>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</si>
  <si>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</si>
  <si>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</si>
  <si>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</si>
  <si>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</si>
  <si>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</si>
  <si>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</si>
  <si>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</si>
  <si>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</si>
  <si>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</si>
  <si>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</si>
  <si>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</si>
  <si>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</si>
  <si>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</si>
  <si>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</si>
  <si>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</si>
  <si>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</si>
  <si>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</si>
  <si>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</si>
  <si>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</si>
  <si>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</si>
  <si>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</si>
  <si>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</si>
  <si>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</si>
  <si>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</si>
  <si>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</si>
  <si>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</si>
  <si>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</si>
  <si>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</si>
  <si>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</si>
  <si>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</si>
  <si>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</si>
  <si>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</si>
  <si>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</si>
  <si>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</si>
  <si>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</si>
  <si>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</si>
  <si>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</si>
  <si>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</si>
  <si>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</si>
  <si>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</si>
  <si>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</si>
  <si>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</si>
  <si>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</si>
  <si>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</si>
  <si>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</si>
  <si>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</si>
  <si>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</si>
  <si>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</si>
  <si>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</si>
  <si>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</si>
  <si>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</si>
  <si>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</si>
  <si>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</si>
  <si>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</si>
  <si>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</si>
  <si>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</si>
  <si>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</si>
  <si>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</si>
  <si>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</si>
  <si>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</si>
  <si>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</si>
  <si>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</si>
  <si>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</si>
  <si>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</si>
  <si>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</si>
  <si>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</si>
  <si>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</si>
  <si>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</si>
  <si>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</si>
  <si>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</si>
  <si>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</si>
  <si>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</si>
  <si>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</si>
  <si>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</si>
  <si>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</si>
  <si>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</si>
  <si>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</si>
  <si>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</si>
  <si>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</si>
  <si>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</si>
  <si>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</si>
  <si>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</si>
  <si>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</si>
  <si>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</si>
  <si>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</si>
  <si>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</si>
  <si>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</si>
  <si>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</si>
  <si>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</si>
  <si>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</si>
  <si>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</si>
  <si>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</si>
  <si>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</si>
  <si>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</si>
  <si>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</si>
  <si>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</si>
  <si>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</si>
  <si>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</si>
  <si>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</si>
  <si>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</si>
  <si>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</si>
  <si>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</si>
  <si>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</si>
  <si>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</si>
  <si>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</si>
  <si>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</si>
  <si>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</si>
  <si>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</si>
  <si>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</si>
  <si>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</si>
  <si>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</si>
  <si>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</si>
  <si>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</si>
  <si>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</si>
  <si>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</si>
  <si>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</si>
  <si>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</si>
  <si>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</si>
  <si>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</si>
  <si>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</si>
  <si>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</si>
  <si>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</si>
  <si>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</si>
  <si>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</si>
  <si>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</si>
  <si>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</si>
  <si>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</si>
  <si>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</si>
  <si>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</si>
  <si>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</si>
  <si>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</si>
  <si>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</si>
  <si>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</si>
  <si>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</si>
  <si>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</si>
  <si>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</si>
  <si>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</si>
  <si>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</si>
  <si>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</si>
  <si>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</si>
  <si>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</si>
  <si>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</si>
  <si>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</si>
  <si>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</si>
  <si>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</si>
  <si>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</si>
  <si>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</si>
  <si>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</si>
  <si>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</si>
  <si>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</si>
  <si>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</si>
  <si>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</si>
  <si>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</si>
  <si>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</si>
  <si>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</si>
  <si>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</si>
  <si>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</si>
  <si>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</si>
  <si>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</si>
  <si>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</si>
  <si>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</si>
  <si>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</si>
  <si>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</si>
  <si>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</si>
  <si>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</si>
  <si>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</si>
  <si>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</si>
  <si>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</si>
  <si>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</si>
  <si>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</si>
  <si>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</si>
  <si>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</si>
  <si>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</si>
  <si>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</si>
  <si>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</si>
  <si>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</si>
  <si>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</si>
  <si>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</si>
  <si>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</si>
  <si>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</si>
  <si>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</si>
  <si>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</si>
  <si>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</si>
  <si>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</si>
  <si>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</si>
  <si>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</si>
  <si>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</si>
  <si>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</si>
  <si>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</si>
  <si>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</si>
  <si>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</si>
  <si>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</si>
  <si>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</si>
  <si>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</si>
  <si>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</si>
  <si>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</si>
  <si>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</si>
  <si>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</si>
  <si>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</si>
  <si>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</si>
  <si>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</si>
  <si>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</si>
  <si>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</si>
  <si>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</si>
  <si>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</si>
  <si>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</si>
  <si>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</si>
  <si>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</si>
  <si>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</si>
  <si>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</si>
  <si>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</si>
  <si>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</si>
  <si>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</si>
  <si>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</si>
  <si>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</si>
  <si>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</si>
  <si>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</si>
  <si>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</si>
  <si>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</si>
  <si>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</si>
  <si>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</si>
  <si>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</si>
  <si>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</si>
  <si>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</si>
  <si>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</si>
  <si>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</si>
  <si>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</si>
  <si>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</si>
  <si>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</si>
  <si>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</si>
  <si>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</si>
  <si>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</si>
  <si>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</si>
  <si>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</si>
  <si>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</si>
  <si>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</si>
  <si>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</si>
  <si>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</si>
  <si>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</si>
  <si>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</si>
  <si>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</si>
  <si>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</si>
  <si>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</si>
  <si>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</si>
  <si>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</si>
  <si>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</si>
  <si>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</si>
  <si>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</si>
  <si>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</si>
  <si>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</si>
  <si>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</si>
  <si>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</si>
  <si>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</si>
  <si>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</si>
  <si>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</si>
  <si>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</si>
  <si>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</si>
  <si>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</si>
  <si>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</si>
  <si>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</si>
  <si>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</si>
  <si>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</si>
  <si>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</si>
  <si>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</si>
  <si>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</si>
  <si>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</si>
  <si>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</si>
  <si>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</si>
  <si>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</si>
  <si>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</si>
  <si>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</si>
  <si>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</si>
  <si>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</si>
  <si>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</si>
  <si>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</si>
  <si>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</si>
  <si>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</si>
  <si>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</si>
  <si>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</si>
  <si>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</si>
  <si>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</si>
  <si>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</si>
  <si>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</si>
  <si>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</si>
  <si>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</si>
  <si>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</si>
  <si>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</si>
  <si>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</si>
  <si>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</si>
  <si>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</si>
  <si>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</si>
  <si>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</si>
  <si>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</si>
  <si>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</si>
  <si>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</si>
  <si>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</si>
  <si>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</si>
  <si>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</si>
  <si>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</si>
  <si>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</si>
  <si>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</si>
  <si>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</si>
  <si>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</si>
  <si>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</si>
  <si>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</si>
  <si>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</si>
  <si>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</si>
  <si>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</si>
  <si>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</si>
  <si>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</si>
  <si>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</si>
  <si>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</si>
  <si>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</si>
  <si>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</si>
  <si>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</si>
  <si>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</si>
  <si>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</si>
  <si>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</si>
  <si>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</si>
  <si>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</si>
  <si>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</si>
  <si>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</si>
  <si>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</si>
  <si>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</si>
  <si>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</si>
  <si>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</si>
  <si>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</si>
  <si>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</si>
  <si>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</si>
  <si>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</si>
  <si>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</si>
  <si>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</si>
  <si>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</si>
  <si>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</si>
  <si>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</si>
  <si>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</si>
  <si>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</si>
  <si>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</si>
  <si>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</si>
  <si>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</si>
  <si>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</si>
  <si>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</si>
  <si>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</si>
  <si>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</si>
  <si>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</si>
  <si>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</si>
  <si>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</si>
  <si>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</si>
  <si>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</si>
  <si>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</si>
  <si>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</si>
  <si>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</si>
  <si>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</si>
  <si>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</si>
  <si>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</si>
  <si>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</si>
  <si>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</si>
  <si>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</si>
  <si>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</si>
  <si>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</si>
  <si>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</si>
  <si>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</si>
  <si>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</si>
  <si>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</si>
  <si>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</si>
  <si>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</si>
  <si>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</si>
  <si>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</si>
  <si>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</si>
  <si>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</si>
  <si>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</si>
  <si>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</si>
  <si>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</si>
  <si>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</si>
  <si>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</si>
  <si>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</si>
  <si>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</si>
  <si>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</si>
  <si>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</si>
  <si>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</si>
  <si>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</si>
  <si>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</si>
  <si>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</si>
  <si>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</si>
  <si>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</si>
  <si>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</si>
  <si>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</si>
  <si>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</si>
  <si>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</si>
  <si>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</si>
  <si>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</si>
  <si>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</si>
  <si>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</si>
  <si>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</si>
  <si>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</si>
  <si>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</si>
  <si>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</si>
  <si>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</si>
  <si>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</si>
  <si>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</si>
  <si>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</si>
  <si>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</si>
  <si>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</si>
  <si>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</si>
  <si>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</si>
  <si>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</si>
  <si>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</si>
  <si>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</si>
  <si>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</si>
  <si>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</si>
  <si>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</si>
  <si>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</si>
  <si>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</si>
  <si>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</si>
  <si>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</si>
  <si>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</si>
  <si>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</si>
  <si>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</si>
  <si>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</si>
  <si>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</si>
  <si>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</si>
  <si>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</si>
  <si>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</si>
  <si>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</si>
  <si>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</si>
  <si>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</si>
  <si>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</si>
  <si>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</si>
  <si>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</si>
  <si>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</si>
  <si>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</si>
  <si>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</si>
  <si>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</si>
  <si>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</si>
  <si>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</si>
  <si>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</si>
  <si>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</si>
  <si>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</si>
  <si>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</si>
  <si>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</si>
  <si>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</si>
  <si>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</si>
  <si>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</si>
  <si>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</si>
  <si>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</si>
  <si>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</si>
  <si>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</si>
  <si>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</si>
  <si>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</si>
  <si>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</si>
  <si>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</si>
  <si>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</si>
  <si>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</si>
  <si>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</si>
  <si>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</si>
  <si>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</si>
  <si>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</si>
  <si>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</si>
  <si>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</si>
  <si>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</si>
  <si>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</si>
  <si>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</si>
  <si>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</si>
  <si>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</si>
  <si>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</si>
  <si>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</si>
  <si>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</si>
  <si>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</si>
  <si>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</si>
  <si>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</si>
  <si>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</si>
  <si>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</si>
  <si>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</si>
  <si>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</si>
  <si>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</si>
  <si>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</si>
  <si>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</si>
  <si>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</si>
  <si>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</si>
  <si>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</si>
  <si>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</si>
  <si>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</si>
  <si>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</si>
  <si>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</si>
  <si>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</si>
  <si>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</si>
  <si>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</si>
  <si>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</si>
  <si>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</si>
  <si>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</si>
  <si>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</si>
  <si>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</si>
  <si>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</si>
  <si>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</si>
  <si>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</si>
  <si>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</si>
  <si>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</si>
  <si>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</si>
  <si>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</si>
  <si>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</si>
  <si>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</si>
  <si>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</si>
  <si>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</si>
  <si>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</si>
  <si>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</si>
  <si>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</si>
  <si>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</si>
  <si>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</si>
  <si>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</si>
  <si>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</si>
  <si>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</si>
  <si>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</si>
  <si>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</si>
  <si>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</si>
  <si>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</si>
  <si>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</si>
  <si>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</si>
  <si>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</si>
  <si>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</si>
  <si>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</si>
  <si>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</si>
  <si>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</si>
  <si>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</si>
  <si>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</si>
  <si>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</si>
  <si>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</si>
  <si>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</si>
  <si>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</si>
  <si>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</si>
  <si>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</si>
  <si>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</si>
  <si>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</si>
  <si>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</si>
  <si>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</si>
  <si>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</si>
  <si>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</si>
  <si>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</si>
  <si>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</si>
  <si>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</si>
  <si>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</si>
  <si>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</si>
  <si>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</si>
  <si>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</si>
  <si>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</si>
  <si>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</si>
  <si>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</si>
  <si>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</si>
  <si>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</si>
  <si>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</si>
  <si>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</si>
  <si>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</si>
  <si>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</si>
  <si>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</si>
  <si>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</si>
  <si>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</si>
  <si>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</si>
  <si>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</si>
  <si>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</si>
  <si>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</si>
  <si>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</si>
  <si>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</si>
  <si>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</si>
  <si>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</si>
  <si>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</si>
  <si>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</si>
  <si>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</si>
  <si>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</si>
  <si>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</si>
  <si>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</si>
  <si>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</si>
  <si>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</si>
  <si>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</si>
  <si>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</si>
  <si>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</si>
  <si>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</si>
  <si>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</si>
  <si>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</si>
  <si>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</si>
  <si>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</si>
  <si>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</si>
  <si>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</si>
  <si>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</si>
  <si>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</si>
  <si>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</si>
  <si>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</si>
  <si>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</si>
  <si>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</si>
  <si>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</si>
  <si>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</si>
  <si>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</si>
  <si>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</si>
  <si>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</si>
  <si>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</si>
  <si>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</si>
  <si>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</si>
  <si>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</si>
  <si>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</si>
  <si>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</si>
  <si>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</si>
  <si>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</si>
  <si>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</si>
  <si>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</si>
  <si>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</si>
  <si>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</si>
  <si>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</si>
  <si>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</si>
  <si>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</si>
  <si>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</si>
  <si>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</si>
  <si>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</si>
  <si>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</si>
  <si>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</si>
  <si>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</si>
  <si>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</si>
  <si>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</si>
  <si>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</si>
  <si>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</si>
  <si>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</si>
  <si>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</si>
  <si>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</si>
  <si>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</si>
  <si>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</si>
  <si>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</si>
  <si>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</si>
  <si>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</si>
  <si>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</si>
  <si>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</si>
  <si>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</si>
  <si>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</si>
  <si>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</si>
  <si>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</si>
  <si>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</si>
  <si>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</si>
  <si>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</si>
  <si>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</si>
  <si>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</si>
  <si>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</si>
  <si>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</si>
  <si>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</si>
  <si>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</si>
  <si>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</si>
  <si>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</si>
  <si>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</si>
  <si>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</si>
  <si>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</si>
  <si>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</si>
  <si>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</si>
  <si>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</si>
  <si>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</si>
  <si>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</si>
  <si>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</si>
  <si>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</si>
  <si>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</si>
  <si>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</si>
  <si>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</si>
  <si>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</si>
  <si>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</si>
  <si>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</si>
  <si>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</si>
  <si>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</si>
  <si>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</si>
  <si>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</si>
  <si>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</si>
  <si>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</si>
  <si>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</si>
  <si>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</si>
  <si>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</si>
  <si>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</si>
  <si>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</si>
  <si>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</si>
  <si>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</si>
  <si>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</si>
  <si>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</si>
  <si>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</si>
  <si>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</si>
  <si>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</si>
  <si>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</si>
  <si>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</si>
  <si>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</si>
  <si>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</si>
  <si>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</si>
  <si>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</si>
  <si>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</si>
  <si>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</si>
  <si>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</si>
  <si>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</si>
  <si>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</si>
  <si>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</si>
  <si>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</si>
  <si>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</si>
  <si>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</si>
  <si>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</si>
  <si>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</si>
  <si>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</si>
  <si>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</si>
  <si>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</si>
  <si>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</si>
  <si>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</si>
  <si>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</si>
  <si>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</si>
  <si>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</si>
  <si>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</si>
  <si>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</si>
  <si>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</si>
  <si>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</si>
  <si>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</si>
  <si>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</si>
  <si>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</si>
  <si>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</si>
  <si>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</si>
  <si>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</si>
  <si>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</si>
  <si>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</si>
  <si>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</si>
  <si>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</si>
  <si>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</si>
  <si>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</si>
  <si>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</si>
  <si>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</si>
  <si>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</si>
  <si>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</si>
  <si>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</si>
  <si>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</si>
  <si>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</si>
  <si>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</si>
  <si>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</si>
  <si>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</si>
  <si>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</si>
  <si>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</si>
  <si>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</si>
  <si>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</si>
  <si>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</si>
  <si>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</si>
  <si>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</si>
  <si>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</si>
  <si>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</si>
  <si>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</si>
  <si>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</si>
  <si>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</si>
  <si>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</si>
  <si>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</si>
  <si>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</si>
  <si>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</si>
  <si>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</si>
  <si>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</si>
  <si>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</si>
  <si>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</si>
  <si>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</si>
  <si>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</si>
  <si>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</si>
  <si>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</si>
  <si>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</si>
  <si>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</si>
  <si>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</si>
  <si>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</si>
  <si>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</si>
  <si>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</si>
  <si>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</si>
  <si>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</si>
  <si>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</si>
  <si>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</si>
  <si>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</si>
  <si>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</si>
  <si>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</si>
  <si>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</si>
  <si>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</si>
  <si>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</si>
  <si>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</si>
  <si>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</si>
  <si>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</si>
  <si>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</si>
  <si>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</si>
  <si>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</si>
  <si>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</si>
  <si>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</si>
  <si>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</si>
  <si>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</si>
  <si>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</si>
  <si>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</si>
  <si>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</si>
  <si>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</si>
  <si>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</si>
  <si>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</si>
  <si>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</si>
  <si>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</si>
  <si>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</si>
  <si>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</si>
  <si>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</si>
  <si>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</si>
  <si>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</si>
  <si>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</si>
  <si>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</si>
  <si>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</si>
  <si>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</si>
  <si>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</si>
  <si>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</si>
  <si>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</si>
  <si>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</si>
  <si>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</si>
  <si>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</si>
  <si>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</si>
  <si>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</si>
  <si>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</si>
  <si>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</si>
  <si>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</si>
  <si>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</si>
  <si>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</si>
  <si>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</si>
  <si>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</si>
  <si>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</si>
  <si>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</si>
  <si>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</si>
  <si>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</si>
  <si>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</si>
  <si>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</si>
  <si>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</si>
  <si>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</si>
  <si>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</si>
  <si>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</si>
  <si>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</si>
  <si>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</si>
  <si>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</si>
  <si>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</si>
  <si>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</si>
  <si>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</si>
  <si>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</si>
  <si>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</si>
  <si>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</si>
  <si>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</si>
  <si>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</si>
  <si>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</si>
  <si>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</si>
  <si>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</si>
  <si>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</si>
  <si>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</si>
  <si>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</si>
  <si>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</si>
  <si>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</si>
  <si>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</si>
  <si>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</si>
  <si>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</si>
  <si>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</si>
  <si>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</si>
  <si>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</si>
  <si>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</si>
  <si>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</si>
  <si>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</si>
  <si>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</si>
  <si>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</si>
  <si>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</si>
  <si>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</si>
  <si>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</si>
  <si>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</si>
  <si>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</si>
  <si>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</si>
  <si>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</si>
  <si>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</si>
  <si>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</si>
  <si>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</si>
  <si>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</si>
  <si>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</si>
  <si>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</si>
  <si>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</si>
  <si>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</si>
  <si>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</si>
  <si>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</si>
  <si>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</si>
  <si>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</si>
  <si>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</si>
  <si>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</si>
  <si>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</si>
  <si>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</si>
  <si>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</si>
  <si>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</si>
  <si>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</si>
  <si>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</si>
  <si>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</si>
  <si>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</si>
  <si>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</si>
  <si>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</si>
  <si>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</si>
  <si>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</si>
  <si>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</si>
  <si>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</si>
  <si>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</si>
  <si>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</si>
  <si>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</si>
  <si>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</si>
  <si>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</si>
  <si>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</si>
  <si>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</si>
  <si>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</si>
  <si>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</si>
  <si>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</si>
  <si>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</si>
  <si>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</si>
  <si>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</si>
  <si>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</si>
  <si>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</si>
  <si>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</si>
  <si>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</si>
  <si>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</si>
  <si>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</si>
  <si>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</si>
  <si>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</si>
  <si>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</si>
  <si>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</si>
  <si>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</si>
  <si>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</si>
  <si>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</si>
  <si>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</si>
  <si>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</si>
  <si>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</si>
  <si>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</si>
  <si>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</si>
  <si>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</si>
  <si>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</si>
  <si>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</si>
  <si>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</si>
  <si>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</si>
  <si>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</si>
  <si>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</si>
  <si>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</si>
  <si>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</si>
  <si>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</si>
  <si>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</si>
  <si>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</si>
  <si>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</si>
  <si>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</si>
  <si>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</si>
  <si>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</si>
  <si>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</si>
  <si>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</si>
  <si>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</si>
  <si>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</si>
  <si>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</si>
  <si>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</si>
  <si>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</si>
  <si>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</si>
  <si>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</si>
  <si>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</si>
  <si>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</si>
  <si>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</si>
  <si>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</si>
  <si>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</si>
  <si>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</si>
  <si>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</si>
  <si>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</si>
  <si>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</si>
  <si>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</si>
  <si>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</si>
  <si>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</si>
  <si>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</si>
  <si>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</si>
  <si>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</si>
  <si>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</si>
  <si>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</si>
  <si>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</si>
  <si>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</si>
  <si>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</si>
  <si>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</si>
  <si>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</si>
  <si>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</si>
  <si>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</si>
  <si>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</si>
  <si>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</si>
  <si>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</si>
  <si>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</si>
  <si>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</si>
  <si>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</si>
  <si>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</si>
  <si>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</si>
  <si>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</si>
  <si>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</si>
  <si>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</si>
  <si>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</si>
  <si>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</si>
  <si>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</si>
  <si>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</si>
  <si>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</si>
  <si>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</si>
  <si>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</si>
  <si>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</si>
  <si>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</si>
  <si>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</si>
  <si>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</si>
  <si>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</si>
  <si>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</si>
  <si>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</si>
  <si>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</si>
  <si>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</si>
  <si>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</si>
  <si>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</si>
  <si>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</si>
  <si>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</si>
  <si>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</si>
  <si>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</si>
  <si>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</si>
  <si>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</si>
  <si>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</si>
  <si>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</si>
  <si>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</si>
  <si>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</si>
  <si>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</si>
  <si>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</si>
  <si>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</si>
  <si>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</si>
  <si>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</si>
  <si>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</si>
  <si>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</si>
  <si>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</si>
  <si>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</si>
  <si>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</si>
  <si>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</si>
  <si>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</si>
  <si>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</si>
  <si>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</si>
  <si>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</si>
  <si>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</si>
  <si>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</si>
  <si>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</si>
  <si>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</si>
  <si>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</si>
  <si>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</si>
  <si>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</si>
  <si>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</si>
  <si>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</si>
  <si>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</si>
  <si>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</si>
  <si>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</si>
  <si>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</si>
  <si>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</si>
  <si>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</si>
  <si>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</si>
  <si>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</si>
  <si>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</si>
  <si>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</si>
  <si>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</si>
  <si>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</si>
  <si>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</si>
  <si>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</si>
  <si>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</si>
  <si>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</si>
  <si>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</si>
  <si>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</si>
  <si>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</si>
  <si>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</si>
  <si>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</si>
  <si>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</si>
  <si>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</si>
  <si>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</si>
  <si>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</si>
  <si>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</si>
  <si>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</si>
  <si>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</si>
  <si>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</si>
  <si>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</si>
  <si>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</si>
  <si>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</si>
  <si>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</si>
  <si>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</si>
  <si>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</si>
  <si>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</si>
  <si>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</si>
  <si>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</si>
  <si>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</si>
  <si>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</si>
  <si>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</si>
  <si>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</si>
  <si>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</si>
  <si>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</si>
  <si>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</si>
  <si>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</si>
  <si>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</si>
  <si>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</si>
  <si>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</si>
  <si>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</si>
  <si>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</si>
  <si>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</si>
  <si>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</si>
  <si>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</si>
  <si>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</si>
  <si>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</si>
  <si>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</si>
  <si>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</si>
  <si>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</si>
  <si>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</si>
  <si>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</si>
  <si>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</si>
  <si>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</si>
  <si>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</si>
  <si>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</si>
  <si>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</si>
  <si>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</si>
  <si>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</si>
  <si>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</si>
  <si>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</si>
  <si>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</si>
  <si>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</si>
  <si>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</si>
  <si>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</si>
  <si>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</si>
  <si>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</si>
  <si>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</si>
  <si>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</si>
  <si>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</si>
  <si>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</si>
  <si>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</si>
  <si>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</si>
  <si>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</si>
  <si>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</si>
  <si>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</si>
  <si>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</si>
  <si>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</si>
  <si>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</si>
  <si>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</si>
  <si>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</si>
  <si>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</si>
  <si>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</si>
  <si>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</si>
  <si>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</si>
  <si>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</si>
  <si>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</si>
  <si>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</si>
  <si>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</si>
  <si>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</si>
  <si>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</si>
  <si>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</si>
  <si>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</si>
  <si>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</si>
  <si>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</si>
  <si>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</si>
  <si>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</si>
  <si>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</si>
  <si>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</si>
  <si>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</si>
  <si>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</si>
  <si>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</si>
  <si>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</si>
  <si>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</si>
  <si>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</si>
  <si>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</si>
  <si>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</si>
  <si>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</si>
  <si>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</si>
  <si>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</si>
  <si>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</si>
  <si>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</si>
  <si>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</si>
  <si>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</si>
  <si>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</si>
  <si>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</si>
  <si>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</si>
  <si>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</si>
  <si>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</si>
  <si>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</si>
  <si>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</si>
  <si>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</si>
  <si>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</si>
  <si>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</si>
  <si>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</si>
  <si>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</si>
  <si>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</si>
  <si>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</si>
  <si>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</si>
  <si>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</si>
  <si>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</si>
  <si>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</si>
  <si>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</si>
  <si>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</si>
  <si>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</si>
  <si>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</si>
  <si>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</si>
  <si>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</si>
  <si>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</si>
  <si>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</si>
  <si>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</si>
  <si>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</si>
  <si>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</si>
  <si>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</si>
  <si>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</si>
  <si>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</si>
  <si>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</si>
  <si>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</si>
  <si>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</si>
  <si>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</si>
  <si>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</si>
  <si>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</si>
  <si>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</si>
  <si>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</si>
  <si>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</si>
  <si>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</si>
  <si>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</si>
  <si>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</si>
  <si>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</si>
  <si>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</si>
  <si>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</si>
  <si>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</si>
  <si>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</si>
  <si>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</si>
  <si>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</si>
  <si>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</si>
  <si>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</si>
  <si>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</si>
  <si>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</si>
  <si>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</si>
  <si>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</si>
  <si>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</si>
  <si>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</si>
  <si>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</si>
  <si>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</si>
  <si>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</si>
  <si>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</si>
  <si>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</si>
  <si>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</si>
  <si>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</si>
  <si>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</si>
  <si>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</si>
  <si>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</si>
  <si>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</si>
  <si>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</si>
  <si>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</si>
  <si>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</si>
  <si>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</si>
  <si>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</si>
  <si>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</si>
  <si>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</si>
  <si>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</si>
  <si>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</si>
  <si>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</si>
  <si>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</si>
  <si>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</si>
  <si>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</si>
  <si>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</si>
  <si>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</si>
  <si>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</si>
  <si>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</si>
  <si>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</si>
  <si>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</si>
  <si>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</si>
  <si>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</si>
  <si>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</si>
  <si>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</si>
  <si>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</si>
  <si>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</si>
  <si>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</si>
  <si>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</si>
  <si>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</si>
  <si>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</si>
  <si>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</si>
  <si>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</si>
  <si>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</si>
  <si>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</si>
  <si>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</si>
  <si>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</si>
  <si>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</si>
  <si>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</si>
  <si>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</si>
  <si>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</si>
  <si>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</si>
  <si>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</si>
  <si>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</si>
  <si>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</si>
  <si>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</si>
  <si>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</si>
  <si>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</si>
  <si>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</si>
  <si>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</si>
  <si>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</si>
  <si>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</si>
  <si>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</si>
  <si>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</si>
  <si>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</si>
  <si>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</si>
  <si>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</si>
  <si>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</si>
  <si>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</si>
  <si>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</si>
  <si>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</si>
  <si>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</si>
  <si>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</si>
  <si>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</si>
  <si>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</si>
  <si>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</si>
  <si>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</si>
  <si>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</si>
  <si>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</si>
  <si>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</si>
  <si>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</si>
  <si>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</si>
  <si>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</si>
  <si>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</si>
  <si>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</si>
  <si>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</si>
  <si>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</si>
  <si>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</si>
  <si>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</si>
  <si>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</si>
  <si>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</si>
  <si>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</si>
  <si>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</si>
  <si>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</si>
  <si>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</si>
  <si>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</si>
  <si>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</si>
  <si>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</si>
  <si>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</si>
  <si>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</si>
  <si>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</si>
  <si>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</si>
  <si>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</si>
  <si>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</si>
  <si>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</si>
  <si>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</si>
  <si>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</si>
  <si>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</si>
  <si>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</si>
  <si>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</si>
  <si>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</si>
  <si>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</si>
  <si>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</si>
  <si>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</si>
  <si>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</si>
  <si>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</si>
  <si>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</si>
  <si>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</si>
  <si>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</si>
  <si>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</si>
  <si>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</si>
  <si>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</si>
  <si>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</si>
  <si>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</si>
  <si>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</si>
  <si>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</si>
  <si>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</si>
  <si>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</si>
  <si>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</si>
  <si>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</si>
  <si>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</si>
  <si>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</si>
  <si>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</si>
  <si>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</si>
  <si>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</si>
  <si>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</si>
  <si>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</si>
  <si>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</si>
  <si>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</si>
  <si>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</si>
  <si>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</si>
  <si>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</si>
  <si>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</si>
  <si>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</si>
  <si>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</si>
  <si>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</si>
  <si>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</si>
  <si>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</si>
  <si>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</si>
  <si>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</si>
  <si>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</si>
  <si>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</si>
  <si>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</si>
  <si>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</si>
  <si>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</si>
  <si>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</si>
  <si>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</si>
  <si>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</si>
  <si>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</si>
  <si>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</si>
  <si>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</si>
  <si>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</si>
  <si>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</si>
  <si>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</si>
  <si>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</si>
  <si>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</si>
  <si>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</si>
  <si>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</si>
  <si>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</si>
  <si>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</si>
  <si>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</si>
  <si>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</si>
  <si>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</si>
  <si>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</si>
  <si>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</si>
  <si>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</si>
  <si>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</si>
  <si>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</si>
  <si>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</si>
  <si>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</si>
  <si>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</si>
  <si>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</si>
  <si>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</si>
  <si>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</si>
  <si>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</si>
  <si>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</si>
  <si>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</si>
  <si>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</si>
  <si>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</si>
  <si>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</si>
  <si>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</si>
  <si>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</si>
  <si>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</si>
  <si>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</si>
  <si>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</si>
  <si>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</si>
  <si>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</si>
  <si>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</si>
  <si>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</si>
  <si>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</si>
  <si>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</si>
  <si>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</si>
  <si>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</si>
  <si>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</si>
  <si>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</si>
  <si>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</si>
  <si>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</si>
  <si>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</si>
  <si>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</si>
  <si>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</si>
  <si>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</si>
  <si>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</si>
  <si>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</si>
  <si>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</si>
  <si>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</si>
  <si>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</si>
  <si>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</si>
  <si>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</si>
  <si>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</si>
  <si>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</si>
  <si>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</si>
  <si>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</si>
  <si>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</si>
  <si>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</si>
  <si>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</si>
  <si>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</si>
  <si>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</si>
  <si>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</si>
  <si>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</si>
  <si>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</si>
  <si>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</si>
  <si>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</si>
  <si>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</si>
  <si>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</si>
  <si>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</si>
  <si>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</si>
  <si>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</si>
  <si>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</si>
  <si>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</si>
  <si>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</si>
  <si>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</si>
  <si>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</si>
  <si>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</si>
  <si>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</si>
  <si>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</si>
  <si>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</si>
  <si>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</si>
  <si>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</si>
  <si>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</si>
  <si>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</si>
  <si>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</si>
  <si>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</si>
  <si>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</si>
  <si>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</si>
  <si>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</si>
  <si>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</si>
  <si>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</si>
  <si>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</si>
  <si>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</si>
  <si>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</si>
  <si>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</si>
  <si>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</si>
  <si>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</si>
  <si>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</si>
  <si>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</si>
  <si>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</si>
  <si>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</si>
  <si>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</si>
  <si>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</si>
  <si>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</si>
  <si>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</si>
  <si>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</si>
  <si>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</si>
  <si>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</si>
  <si>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</si>
  <si>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</si>
  <si>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</si>
  <si>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</si>
  <si>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</si>
  <si>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</si>
  <si>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</si>
  <si>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</si>
  <si>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</si>
  <si>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</si>
  <si>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</si>
  <si>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</si>
  <si>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</si>
  <si>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</si>
  <si>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</si>
  <si>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</si>
  <si>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</si>
  <si>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</si>
  <si>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</si>
  <si>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</si>
  <si>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</si>
  <si>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</si>
  <si>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</si>
  <si>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</si>
  <si>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</si>
  <si>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</si>
  <si>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</si>
  <si>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</si>
  <si>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</si>
  <si>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</si>
  <si>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</si>
  <si>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</si>
  <si>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</si>
  <si>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</si>
  <si>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</si>
  <si>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</si>
  <si>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</si>
  <si>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</si>
  <si>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</si>
  <si>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</si>
  <si>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</si>
  <si>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</si>
  <si>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</si>
  <si>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</si>
  <si>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</si>
  <si>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</si>
  <si>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</si>
  <si>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</si>
  <si>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</si>
  <si>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</si>
  <si>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</si>
  <si>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</si>
  <si>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</si>
  <si>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</si>
  <si>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</si>
  <si>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</si>
  <si>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</si>
  <si>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</si>
  <si>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</si>
  <si>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</si>
  <si>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</si>
  <si>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</si>
  <si>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</si>
  <si>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</si>
  <si>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</si>
  <si>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</si>
  <si>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</si>
  <si>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</si>
  <si>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</si>
  <si>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</si>
  <si>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</si>
  <si>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</si>
  <si>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</si>
  <si>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</si>
  <si>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</si>
  <si>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</si>
  <si>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</si>
  <si>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</si>
  <si>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</si>
  <si>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</si>
  <si>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</si>
  <si>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</si>
  <si>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</si>
  <si>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</si>
  <si>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</si>
  <si>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</si>
  <si>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</si>
  <si>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</si>
  <si>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</si>
  <si>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</si>
  <si>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</si>
  <si>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</si>
  <si>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</si>
  <si>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</si>
  <si>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</si>
  <si>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</si>
  <si>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</si>
  <si>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</si>
  <si>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</si>
  <si>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</si>
  <si>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</si>
  <si>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</si>
  <si>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</si>
  <si>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</si>
  <si>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</si>
  <si>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</si>
  <si>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</si>
  <si>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</si>
  <si>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</si>
  <si>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</si>
  <si>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</si>
  <si>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</si>
  <si>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</si>
  <si>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</si>
  <si>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</si>
  <si>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</si>
  <si>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</si>
  <si>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</si>
  <si>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</si>
  <si>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</si>
  <si>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</si>
  <si>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</si>
  <si>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</si>
  <si>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</si>
  <si>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</si>
  <si>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</si>
  <si>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</si>
  <si>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</si>
  <si>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</si>
  <si>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</si>
  <si>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</si>
  <si>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</si>
  <si>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</si>
  <si>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</si>
  <si>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</si>
  <si>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</si>
  <si>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</si>
  <si>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</si>
  <si>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</si>
  <si>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</si>
  <si>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</si>
  <si>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</si>
  <si>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</si>
  <si>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</si>
  <si>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</si>
  <si>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</si>
  <si>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</si>
  <si>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</si>
  <si>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</si>
  <si>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</si>
  <si>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</si>
  <si>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</si>
  <si>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</si>
  <si>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</si>
  <si>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</si>
  <si>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</si>
  <si>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</si>
  <si>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</si>
  <si>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</si>
  <si>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</si>
  <si>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</si>
  <si>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</si>
  <si>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</si>
  <si>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</si>
  <si>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</si>
  <si>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</si>
  <si>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</si>
  <si>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</si>
  <si>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</si>
  <si>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</si>
  <si>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</si>
  <si>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</si>
  <si>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</si>
  <si>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</si>
  <si>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</si>
  <si>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</si>
  <si>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</si>
  <si>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</si>
  <si>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</si>
  <si>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</si>
  <si>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</si>
  <si>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</si>
  <si>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</si>
  <si>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</si>
  <si>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</si>
  <si>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</si>
  <si>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</si>
  <si>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</si>
  <si>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</si>
  <si>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</si>
  <si>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</si>
  <si>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</si>
  <si>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</si>
  <si>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</si>
  <si>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</si>
  <si>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</si>
  <si>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</si>
  <si>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</si>
  <si>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</si>
  <si>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</si>
  <si>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</si>
  <si>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</si>
  <si>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</si>
  <si>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</si>
  <si>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</si>
  <si>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</si>
  <si>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</si>
  <si>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</si>
  <si>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</si>
  <si>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</si>
  <si>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</si>
  <si>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</si>
  <si>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</si>
  <si>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</si>
  <si>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</si>
  <si>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</si>
  <si>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</si>
  <si>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</si>
  <si>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</si>
  <si>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</si>
  <si>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</si>
  <si>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</si>
  <si>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</si>
  <si>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</si>
  <si>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</si>
  <si>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</si>
  <si>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</si>
  <si>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</si>
  <si>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</si>
  <si>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</si>
  <si>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</si>
  <si>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</si>
  <si>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</si>
  <si>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</si>
  <si>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</si>
  <si>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</si>
  <si>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</si>
  <si>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</si>
  <si>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</si>
  <si>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</si>
  <si>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</si>
  <si>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</si>
  <si>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</si>
  <si>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</si>
  <si>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</si>
  <si>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</si>
  <si>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</si>
  <si>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</si>
  <si>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</si>
  <si>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</si>
  <si>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</si>
  <si>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</si>
  <si>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</si>
  <si>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</si>
  <si>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</si>
  <si>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</si>
  <si>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</si>
  <si>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</si>
  <si>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</si>
  <si>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</si>
  <si>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</si>
  <si>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</si>
  <si>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</si>
  <si>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</si>
  <si>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</si>
  <si>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</si>
  <si>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</si>
  <si>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</si>
  <si>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</si>
  <si>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</si>
  <si>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</si>
  <si>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</si>
  <si>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</si>
  <si>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</si>
  <si>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</si>
  <si>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</si>
  <si>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</si>
  <si>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</si>
  <si>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</si>
  <si>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</si>
  <si>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</si>
  <si>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</si>
  <si>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</si>
  <si>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</si>
  <si>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</si>
  <si>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</si>
  <si>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</si>
  <si>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</si>
  <si>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</si>
  <si>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</si>
  <si>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</si>
  <si>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</si>
  <si>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</si>
  <si>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</si>
  <si>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</si>
  <si>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</si>
  <si>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</si>
  <si>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</si>
  <si>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</si>
  <si>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</si>
  <si>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</si>
  <si>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</si>
  <si>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</si>
  <si>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</si>
  <si>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</si>
  <si>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</si>
  <si>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</si>
  <si>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</si>
  <si>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</si>
  <si>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</si>
  <si>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</si>
  <si>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</si>
  <si>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</si>
  <si>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</si>
  <si>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</si>
  <si>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</si>
  <si>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</si>
  <si>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</si>
  <si>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</si>
  <si>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</si>
  <si>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</si>
  <si>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</si>
  <si>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</si>
  <si>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</si>
  <si>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</si>
  <si>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</si>
  <si>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</si>
  <si>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</si>
  <si>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</si>
  <si>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</si>
  <si>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</si>
  <si>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</si>
  <si>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</si>
  <si>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</si>
  <si>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</si>
  <si>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</si>
  <si>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</si>
  <si>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</si>
  <si>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</si>
  <si>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</si>
  <si>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</si>
  <si>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</si>
  <si>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</si>
  <si>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</si>
  <si>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</si>
  <si>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</si>
  <si>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</si>
  <si>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</si>
  <si>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</si>
  <si>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</si>
  <si>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</si>
  <si>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</si>
  <si>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</si>
  <si>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</si>
  <si>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</si>
  <si>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</si>
  <si>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</si>
  <si>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</si>
  <si>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</si>
  <si>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</si>
  <si>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</si>
  <si>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</si>
  <si>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</si>
  <si>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</si>
  <si>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</si>
  <si>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</si>
  <si>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</si>
  <si>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</si>
  <si>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</si>
  <si>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</si>
  <si>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</si>
  <si>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</si>
  <si>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</si>
  <si>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</si>
  <si>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</si>
  <si>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</si>
  <si>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</si>
  <si>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</si>
  <si>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</si>
  <si>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</si>
  <si>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</si>
  <si>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</si>
  <si>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</si>
  <si>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</si>
  <si>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</si>
  <si>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</si>
  <si>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</si>
  <si>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</si>
  <si>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</si>
  <si>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</si>
  <si>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</si>
  <si>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</si>
  <si>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</si>
  <si>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</si>
  <si>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</si>
  <si>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</si>
  <si>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</si>
  <si>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</si>
  <si>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</si>
  <si>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</si>
  <si>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</si>
  <si>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</si>
  <si>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</si>
  <si>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</si>
  <si>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</si>
  <si>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</si>
  <si>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</si>
  <si>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</si>
  <si>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</si>
  <si>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</si>
  <si>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</si>
  <si>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</si>
  <si>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</si>
  <si>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</si>
  <si>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</si>
  <si>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</si>
  <si>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</si>
  <si>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</si>
  <si>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</si>
  <si>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</si>
  <si>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</si>
  <si>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</si>
  <si>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</si>
  <si>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</si>
  <si>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</si>
  <si>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</si>
  <si>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</si>
  <si>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</si>
  <si>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</si>
  <si>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</si>
  <si>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</si>
  <si>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</si>
  <si>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</si>
  <si>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</si>
  <si>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</si>
  <si>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</si>
  <si>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</si>
  <si>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</si>
  <si>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</si>
  <si>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</si>
  <si>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</si>
  <si>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</si>
  <si>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</si>
  <si>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</si>
  <si>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</si>
  <si>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</si>
  <si>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</si>
  <si>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</si>
  <si>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</si>
  <si>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</si>
  <si>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</si>
  <si>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</si>
  <si>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</si>
  <si>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</si>
  <si>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</si>
  <si>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</si>
  <si>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</si>
  <si>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</si>
  <si>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</si>
  <si>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</si>
  <si>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</si>
  <si>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</si>
  <si>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</si>
  <si>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</si>
  <si>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</si>
  <si>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</si>
  <si>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</si>
  <si>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</si>
  <si>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</si>
  <si>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</si>
  <si>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</si>
  <si>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</si>
  <si>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</si>
  <si>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</si>
  <si>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</si>
  <si>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</si>
  <si>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</si>
  <si>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</si>
  <si>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</si>
  <si>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</si>
  <si>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</si>
  <si>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</si>
  <si>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</si>
  <si>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</si>
  <si>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</si>
  <si>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</si>
  <si>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</si>
  <si>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</si>
  <si>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</si>
  <si>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</si>
  <si>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</si>
  <si>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</si>
  <si>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</si>
  <si>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</si>
  <si>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</si>
  <si>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</si>
  <si>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</si>
  <si>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</si>
  <si>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</si>
  <si>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</si>
  <si>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</si>
  <si>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</si>
  <si>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</si>
  <si>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</si>
  <si>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</si>
  <si>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</si>
  <si>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</si>
  <si>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</si>
  <si>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</si>
  <si>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</si>
  <si>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</si>
  <si>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</si>
  <si>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</si>
  <si>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</si>
  <si>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</si>
  <si>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</si>
  <si>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</si>
  <si>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</si>
  <si>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</si>
  <si>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</si>
  <si>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</si>
  <si>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</si>
  <si>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</si>
  <si>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</si>
  <si>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</si>
  <si>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</si>
  <si>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</si>
  <si>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</si>
  <si>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</si>
  <si>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</si>
  <si>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</si>
  <si>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</si>
  <si>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</si>
  <si>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</si>
  <si>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</si>
  <si>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</si>
  <si>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</si>
  <si>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</si>
  <si>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</si>
  <si>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</si>
  <si>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</si>
  <si>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</si>
  <si>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</si>
  <si>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</si>
  <si>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</si>
  <si>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</si>
  <si>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</si>
  <si>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</si>
  <si>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</si>
  <si>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</si>
  <si>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</si>
  <si>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</si>
  <si>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</si>
  <si>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</si>
  <si>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</si>
  <si>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</si>
  <si>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</si>
  <si>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</si>
  <si>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</si>
  <si>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</si>
  <si>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</si>
  <si>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</si>
  <si>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</si>
  <si>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</si>
  <si>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</si>
  <si>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</si>
  <si>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</si>
  <si>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</si>
  <si>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</si>
  <si>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</si>
  <si>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</si>
  <si>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</si>
  <si>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</si>
  <si>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</si>
  <si>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</si>
  <si>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</si>
  <si>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</si>
  <si>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</si>
  <si>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</si>
  <si>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</si>
  <si>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</si>
  <si>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</si>
  <si>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</si>
  <si>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</si>
  <si>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</si>
  <si>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</si>
  <si>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</si>
  <si>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</si>
  <si>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</si>
  <si>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</si>
  <si>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</si>
  <si>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</si>
  <si>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</si>
  <si>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</si>
  <si>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</si>
  <si>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</si>
  <si>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</si>
  <si>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</si>
  <si>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</si>
  <si>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</si>
  <si>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</si>
  <si>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</si>
  <si>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</si>
  <si>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</si>
  <si>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</si>
  <si>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</si>
  <si>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</si>
  <si>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</si>
  <si>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</si>
  <si>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</si>
  <si>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</si>
  <si>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</si>
  <si>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</si>
  <si>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</si>
  <si>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</si>
  <si>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</si>
  <si>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</si>
  <si>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</si>
  <si>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</si>
  <si>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</si>
  <si>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</si>
  <si>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</si>
  <si>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</si>
  <si>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</si>
  <si>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</si>
  <si>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</si>
  <si>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</si>
  <si>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</si>
  <si>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</si>
  <si>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</si>
  <si>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</si>
  <si>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</si>
  <si>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</si>
  <si>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</si>
  <si>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</si>
  <si>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</si>
  <si>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</si>
  <si>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</si>
  <si>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</si>
  <si>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</si>
  <si>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</si>
  <si>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</si>
  <si>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</si>
  <si>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</si>
  <si>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</si>
  <si>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</si>
  <si>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</si>
  <si>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</si>
  <si>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</si>
  <si>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</si>
  <si>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</si>
  <si>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</si>
  <si>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</si>
  <si>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</si>
  <si>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</si>
  <si>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</si>
  <si>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</si>
  <si>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</si>
  <si>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</si>
  <si>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</si>
  <si>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</si>
  <si>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</si>
  <si>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</si>
  <si>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</si>
  <si>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</si>
  <si>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</si>
  <si>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</si>
  <si>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</si>
  <si>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</si>
  <si>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</si>
  <si>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</si>
  <si>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</si>
  <si>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</si>
  <si>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</si>
  <si>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</si>
  <si>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</si>
  <si>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</si>
  <si>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</si>
  <si>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</si>
  <si>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</si>
  <si>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</si>
  <si>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</si>
  <si>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</si>
  <si>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</si>
  <si>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</si>
  <si>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</si>
  <si>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</si>
  <si>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</si>
  <si>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</si>
  <si>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</si>
  <si>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</si>
  <si>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</si>
  <si>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</si>
  <si>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</si>
  <si>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</si>
  <si>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</si>
  <si>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</si>
  <si>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</si>
  <si>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</si>
  <si>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</si>
  <si>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</si>
  <si>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</si>
  <si>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</si>
  <si>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</si>
  <si>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</si>
  <si>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</si>
  <si>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</si>
  <si>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</si>
  <si>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</si>
  <si>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</si>
  <si>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</si>
  <si>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</si>
  <si>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</si>
  <si>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</si>
  <si>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</si>
  <si>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</si>
  <si>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</si>
  <si>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</si>
  <si>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</si>
  <si>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</si>
  <si>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</si>
  <si>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</si>
  <si>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</si>
  <si>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</si>
  <si>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</si>
  <si>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</si>
  <si>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</si>
  <si>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</si>
  <si>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</si>
  <si>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</si>
  <si>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</si>
  <si>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</si>
  <si>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</si>
  <si>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</si>
  <si>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</si>
  <si>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</si>
  <si>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</si>
  <si>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</si>
  <si>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</si>
  <si>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</si>
  <si>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</si>
  <si>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</si>
  <si>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</si>
  <si>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</si>
  <si>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</si>
  <si>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</si>
  <si>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</si>
  <si>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</si>
  <si>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</si>
  <si>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</si>
  <si>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</si>
  <si>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</si>
  <si>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</si>
  <si>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</si>
  <si>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</si>
  <si>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</si>
  <si>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</si>
  <si>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</si>
  <si>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</si>
  <si>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</si>
  <si>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</si>
  <si>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</si>
  <si>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</si>
  <si>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</si>
  <si>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</si>
  <si>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</si>
  <si>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</si>
  <si>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</si>
  <si>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</si>
  <si>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</si>
  <si>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</si>
  <si>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</si>
  <si>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</si>
  <si>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</si>
  <si>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</si>
  <si>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</si>
  <si>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</si>
  <si>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</si>
  <si>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</si>
  <si>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</si>
  <si>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</si>
  <si>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</si>
  <si>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</si>
  <si>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</si>
  <si>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</si>
  <si>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</si>
  <si>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</si>
  <si>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</si>
  <si>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</si>
  <si>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</si>
  <si>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</si>
  <si>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</si>
  <si>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</si>
  <si>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</si>
  <si>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</si>
  <si>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</si>
  <si>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</si>
  <si>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</si>
  <si>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</si>
  <si>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</si>
  <si>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</si>
  <si>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</si>
  <si>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</si>
  <si>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</si>
  <si>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</si>
  <si>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</si>
  <si>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</si>
  <si>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</si>
  <si>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</si>
  <si>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</si>
  <si>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</si>
  <si>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</si>
  <si>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</si>
  <si>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</si>
  <si>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</si>
  <si>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</si>
  <si>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</si>
  <si>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</si>
  <si>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</si>
  <si>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</si>
  <si>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</si>
  <si>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</si>
  <si>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</si>
  <si>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</si>
  <si>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</si>
  <si>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</si>
  <si>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</si>
  <si>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</si>
  <si>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</si>
  <si>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</si>
  <si>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</si>
  <si>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</si>
  <si>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</si>
  <si>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</si>
  <si>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</si>
  <si>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</si>
  <si>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</si>
  <si>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</si>
  <si>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</si>
  <si>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</si>
  <si>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</si>
  <si>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</si>
  <si>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</si>
  <si>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</si>
  <si>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</si>
  <si>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</si>
  <si>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</si>
  <si>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</si>
  <si>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</si>
  <si>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</si>
  <si>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</si>
  <si>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</si>
  <si>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</si>
  <si>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</si>
  <si>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</si>
  <si>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</si>
  <si>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</si>
  <si>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</si>
  <si>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</si>
  <si>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</si>
  <si>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</si>
  <si>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</si>
  <si>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</si>
  <si>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</si>
  <si>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</si>
  <si>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</si>
  <si>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</si>
  <si>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</si>
  <si>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</si>
  <si>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</si>
  <si>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</si>
  <si>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</si>
  <si>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</si>
  <si>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</si>
  <si>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</si>
  <si>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</si>
  <si>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</si>
  <si>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</si>
  <si>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</si>
  <si>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</si>
  <si>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</si>
  <si>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</si>
  <si>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</si>
  <si>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</si>
  <si>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</si>
  <si>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</si>
  <si>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</si>
  <si>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</si>
  <si>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</si>
  <si>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</si>
  <si>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</si>
  <si>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</si>
  <si>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</si>
  <si>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</si>
  <si>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</si>
  <si>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</si>
  <si>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</si>
  <si>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</si>
  <si>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</si>
  <si>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</si>
  <si>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</si>
  <si>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</si>
  <si>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</si>
  <si>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</si>
  <si>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</si>
  <si>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</si>
  <si>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</si>
  <si>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</si>
  <si>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</si>
  <si>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</si>
  <si>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</si>
  <si>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</si>
  <si>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</si>
  <si>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</si>
  <si>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</si>
  <si>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</si>
  <si>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</si>
  <si>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</si>
  <si>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</si>
  <si>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</si>
  <si>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</si>
  <si>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</si>
  <si>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</si>
  <si>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</si>
  <si>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</si>
  <si>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</si>
  <si>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</si>
  <si>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</si>
  <si>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</si>
  <si>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</si>
  <si>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</si>
  <si>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</si>
  <si>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</si>
  <si>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</si>
  <si>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</si>
  <si>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</si>
  <si>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</si>
  <si>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</si>
  <si>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</si>
  <si>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</si>
  <si>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</si>
  <si>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</si>
  <si>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</si>
  <si>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</si>
  <si>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</si>
  <si>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</si>
  <si>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</si>
  <si>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</si>
  <si>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</si>
  <si>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</si>
  <si>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</si>
  <si>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</si>
  <si>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</si>
  <si>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</si>
  <si>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</si>
  <si>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</si>
  <si>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</si>
  <si>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</si>
  <si>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</si>
  <si>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</si>
  <si>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</si>
  <si>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</si>
  <si>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</si>
  <si>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</si>
  <si>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</si>
  <si>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</si>
  <si>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</si>
  <si>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</si>
  <si>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</si>
  <si>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</si>
  <si>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</si>
  <si>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</si>
  <si>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</si>
  <si>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</si>
  <si>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</si>
  <si>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</si>
  <si>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</si>
  <si>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</si>
  <si>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</si>
  <si>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</si>
  <si>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</si>
  <si>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</si>
  <si>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</si>
  <si>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</si>
  <si>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</si>
  <si>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</si>
  <si>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</si>
  <si>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</si>
  <si>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</si>
  <si>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</si>
  <si>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</si>
  <si>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</si>
  <si>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</si>
  <si>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</si>
  <si>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</si>
  <si>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</si>
  <si>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</si>
  <si>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</si>
  <si>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</si>
  <si>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</si>
  <si>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</si>
  <si>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</si>
  <si>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</si>
  <si>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</si>
  <si>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</si>
  <si>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</si>
  <si>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</si>
  <si>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</si>
  <si>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</si>
  <si>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</si>
  <si>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</si>
  <si>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</si>
  <si>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</si>
  <si>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</si>
  <si>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</si>
  <si>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</si>
  <si>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</si>
  <si>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</si>
  <si>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</si>
  <si>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</si>
  <si>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</si>
  <si>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</si>
  <si>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</si>
  <si>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</si>
  <si>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</si>
  <si>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</si>
  <si>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</si>
  <si>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</si>
  <si>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</si>
  <si>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</si>
  <si>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</si>
  <si>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</si>
  <si>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</si>
  <si>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</si>
  <si>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</si>
  <si>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</si>
  <si>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</si>
  <si>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</si>
  <si>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</si>
  <si>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</si>
  <si>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</si>
  <si>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</si>
  <si>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</si>
  <si>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</si>
  <si>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</si>
  <si>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</si>
  <si>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</si>
  <si>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</si>
  <si>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</si>
  <si>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</si>
  <si>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</si>
  <si>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</si>
  <si>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</si>
  <si>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</si>
  <si>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</si>
  <si>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</si>
  <si>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</si>
  <si>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</si>
  <si>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</si>
  <si>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</si>
  <si>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</si>
  <si>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</si>
  <si>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</si>
  <si>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</si>
  <si>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</si>
  <si>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</si>
  <si>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</si>
  <si>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</si>
  <si>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</si>
  <si>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</si>
  <si>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</si>
  <si>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</si>
  <si>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</si>
  <si>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</si>
  <si>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</si>
  <si>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</si>
  <si>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</si>
  <si>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</si>
  <si>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</si>
  <si>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</si>
  <si>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</si>
  <si>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</si>
  <si>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</si>
  <si>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</si>
  <si>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</si>
  <si>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</si>
  <si>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</si>
  <si>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</si>
  <si>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</si>
  <si>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</si>
  <si>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</si>
  <si>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</si>
  <si>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</si>
  <si>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</si>
  <si>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</si>
  <si>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</si>
  <si>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</si>
  <si>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</si>
  <si>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</si>
  <si>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</si>
  <si>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</si>
  <si>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</si>
  <si>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</si>
  <si>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</si>
  <si>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</si>
  <si>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</si>
  <si>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</si>
  <si>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</si>
  <si>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</si>
  <si>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</si>
  <si>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</si>
  <si>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</si>
  <si>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</si>
  <si>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</si>
  <si>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</si>
  <si>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</si>
  <si>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</si>
  <si>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</si>
  <si>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</si>
  <si>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</si>
  <si>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</si>
  <si>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</si>
  <si>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</si>
  <si>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</si>
  <si>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</si>
  <si>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</si>
  <si>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</si>
  <si>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</si>
  <si>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</si>
  <si>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</si>
  <si>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</si>
  <si>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</si>
  <si>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</si>
  <si>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</si>
  <si>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</si>
  <si>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</si>
  <si>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</si>
  <si>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</si>
  <si>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</si>
  <si>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</si>
  <si>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</si>
  <si>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</si>
  <si>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</si>
  <si>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</si>
  <si>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</si>
  <si>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</si>
  <si>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</si>
  <si>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</si>
  <si>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</si>
  <si>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</si>
  <si>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</si>
  <si>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</si>
  <si>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</si>
  <si>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</si>
  <si>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</si>
  <si>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</si>
  <si>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</si>
  <si>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</si>
  <si>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</si>
  <si>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</si>
  <si>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市调</t>
    <phoneticPr fontId="146" type="noConversion"/>
  </si>
  <si>
    <r>
      <t>当前市场水平2</t>
    </r>
    <r>
      <rPr>
        <sz val="11"/>
        <color theme="1"/>
        <rFont val="宋体"/>
        <family val="3"/>
        <charset val="134"/>
        <scheme val="minor"/>
      </rPr>
      <t>5000-28000</t>
    </r>
    <phoneticPr fontId="146" type="noConversion"/>
  </si>
  <si>
    <t>租金3.2-3.5，看是否装修，开发票、物业费等因素</t>
    <phoneticPr fontId="146" type="noConversion"/>
  </si>
  <si>
    <t>吴薇</t>
  </si>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</sst>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66675</xdr:rowOff>
    </xdr:from>
    <xdr:to>
      <xdr:col>12</xdr:col>
      <xdr:colOff>83820</xdr:colOff>
      <xdr:row>26</xdr:row>
      <xdr:rowOff>167005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66825"/>
          <a:ext cx="8313420" cy="3357880"/>
        </a:xfrm>
        <a:prstGeom prst="rect">
          <a:avLst/>
        </a:prstGeom>
        <a:noFill/>
        <a:ln w="9525">
          <a:noFill/>
        </a:ln>
      </xdr:spPr>
    </xdr:pic>
    <xdr:clientData/>
  </xdr:twoCellAnchor>
  <xdr:twoCellAnchor editAs="oneCell">
    <xdr:from>
      <xdr:col>0</xdr:col>
      <xdr:colOff>124460</xdr:colOff>
      <xdr:row>21</xdr:row>
      <xdr:rowOff>5080</xdr:rowOff>
    </xdr:from>
    <xdr:to>
      <xdr:col>11</xdr:col>
      <xdr:colOff>530225</xdr:colOff>
      <xdr:row>38</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4460" y="36055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吴薇（注册号:1419970001）、郑燚（注册号:1120070131)</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估价对象为北京市房地产，为XX所有。根据《》[]，估价对象建筑面积为306.2平方米。根据《》[]，估价对象（分摊）出让国有建设用地使用权面积为平方米。估价对象用途为。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306.2</v>
      </c>
    </row>
    <row r="19" spans="1:2">
      <c r="A19" s="1139" t="s">
        <v>874</v>
      </c>
      <c r="B19" s="1126">
        <f ca="1">'预评函-2（1）'!D7</f>
        <v>828</v>
      </c>
    </row>
    <row r="20" spans="1:2">
      <c r="A20" s="1139" t="s">
        <v>912</v>
      </c>
      <c r="B20" s="1126" t="str">
        <f>'预评函-2（1）'!C7</f>
        <v>总价（万元）</v>
      </c>
    </row>
    <row r="21" spans="1:2">
      <c r="A21" s="1139" t="s">
        <v>875</v>
      </c>
      <c r="B21" s="1126">
        <f ca="1">'预评函-2（1）'!D9</f>
        <v>27028</v>
      </c>
    </row>
    <row r="22" spans="1:2">
      <c r="A22" s="1139" t="s">
        <v>876</v>
      </c>
      <c r="B22" s="1126" t="str">
        <f ca="1">'预评函-2（1）'!D8</f>
        <v>捌佰贰拾捌万元整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828</v>
      </c>
    </row>
    <row r="30" spans="1:2">
      <c r="A30" s="1139" t="s">
        <v>882</v>
      </c>
      <c r="B30" s="1126" t="str">
        <f ca="1">'预评函-2（1）'!D16</f>
        <v>捌佰贰拾捌万元整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685</v>
      </c>
    </row>
    <row r="38" spans="1:2">
      <c r="A38" s="1139" t="s">
        <v>890</v>
      </c>
      <c r="B38" s="1126">
        <f ca="1">'预评函-2（2）'!E4</f>
        <v>22379</v>
      </c>
    </row>
    <row r="39" spans="1:2">
      <c r="A39" s="1139" t="s">
        <v>891</v>
      </c>
      <c r="B39" s="1126" t="str">
        <f ca="1">'预评函-2（2）'!D5</f>
        <v>陆佰捌拾伍万元整</v>
      </c>
    </row>
    <row r="40" spans="1:2">
      <c r="A40" s="1139" t="s">
        <v>892</v>
      </c>
      <c r="B40" s="1126">
        <f ca="1">'预评函-2（2）'!F4</f>
        <v>142</v>
      </c>
    </row>
    <row r="41" spans="1:2">
      <c r="A41" s="1139" t="s">
        <v>893</v>
      </c>
      <c r="B41" s="1126">
        <f ca="1">'预评函-2（2）'!G4</f>
        <v>4649</v>
      </c>
    </row>
    <row r="42" spans="1:2" s="1136" customFormat="1" ht="16.2" thickBot="1">
      <c r="A42" s="1140" t="s">
        <v>894</v>
      </c>
      <c r="B42" s="1128" t="str">
        <f ca="1">'预评函-2（2）'!F5</f>
        <v>壹佰肆拾贰万元整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t="str">
        <f>'预评函-3'!A4</f>
        <v>吴薇</v>
      </c>
    </row>
    <row r="53" spans="1:2">
      <c r="A53" s="1139" t="s">
        <v>904</v>
      </c>
      <c r="B53" s="1126">
        <f ca="1">'预评函-3'!B4</f>
        <v>1419970001</v>
      </c>
    </row>
    <row r="54" spans="1:2">
      <c r="A54" s="1139" t="s">
        <v>905</v>
      </c>
      <c r="B54" s="1130" t="str">
        <f>'预评函-3'!A5</f>
        <v>郑燚</v>
      </c>
    </row>
    <row r="55" spans="1:2" s="1136" customFormat="1" ht="16.2" thickBot="1">
      <c r="A55" s="1140" t="s">
        <v>906</v>
      </c>
      <c r="B55" s="1128">
        <f ca="1">'预评函-3'!B5</f>
        <v>1120070131</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27028</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44691</v>
      </c>
      <c r="E2" s="782"/>
      <c r="F2" s="782"/>
      <c r="G2" s="1121"/>
      <c r="H2" s="2821"/>
    </row>
    <row r="3" spans="1:17" ht="13.8" thickBot="1">
      <c r="A3" s="2511" t="s">
        <v>1292</v>
      </c>
      <c r="B3" s="2512" t="s">
        <v>3068</v>
      </c>
      <c r="C3" s="2513">
        <f ca="1">SUMIF(注册房地产估价师,B3,估价师及机构信息!B3:B16)</f>
        <v>1419970001</v>
      </c>
      <c r="D3" s="2512" t="s">
        <v>3069</v>
      </c>
      <c r="E3" s="2514">
        <f ca="1">SUMIF(注册房地产估价师,D3,估价师及机构信息!B3:B16)</f>
        <v>1120070131</v>
      </c>
      <c r="F3" s="783"/>
      <c r="G3" s="1122"/>
      <c r="H3" s="2821"/>
    </row>
    <row r="4" spans="1:17" ht="13.5" customHeight="1" thickTop="1">
      <c r="A4" s="1355" t="s">
        <v>1293</v>
      </c>
      <c r="B4" s="1356" t="s">
        <v>2479</v>
      </c>
      <c r="C4" s="2810" t="s">
        <v>1294</v>
      </c>
      <c r="D4" s="1357" t="s">
        <v>3031</v>
      </c>
      <c r="E4" s="782"/>
      <c r="F4" s="782"/>
      <c r="G4" s="1121"/>
    </row>
    <row r="5" spans="1:17" ht="24">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3034</v>
      </c>
      <c r="C7" s="1453" t="str">
        <f>IF(B7="自然人","姓名","名称")</f>
        <v>姓名</v>
      </c>
      <c r="D7" s="1366" t="s">
        <v>2480</v>
      </c>
      <c r="E7" s="783"/>
      <c r="F7" s="783"/>
      <c r="G7" s="1122"/>
    </row>
    <row r="8" spans="1:17" ht="13.8" thickTop="1">
      <c r="A8" s="3387" t="s">
        <v>1301</v>
      </c>
      <c r="B8" s="1367" t="s">
        <v>1302</v>
      </c>
      <c r="C8" s="3400"/>
      <c r="D8" s="3401"/>
      <c r="E8" s="2519" t="s">
        <v>1303</v>
      </c>
      <c r="F8" s="2520" t="s">
        <v>1304</v>
      </c>
      <c r="G8" s="2521" t="str">
        <f>C6</f>
        <v>XX</v>
      </c>
    </row>
    <row r="9" spans="1:17">
      <c r="A9" s="3387"/>
      <c r="B9" s="259" t="s">
        <v>1305</v>
      </c>
      <c r="C9" s="1359"/>
      <c r="D9" s="1368"/>
      <c r="E9" s="2815" t="s">
        <v>1306</v>
      </c>
      <c r="F9" s="2522"/>
      <c r="G9" s="2523"/>
    </row>
    <row r="10" spans="1:17" ht="13.8" thickBot="1">
      <c r="A10" s="3387"/>
      <c r="B10" s="259" t="s">
        <v>1307</v>
      </c>
      <c r="C10" s="3402"/>
      <c r="D10" s="3403"/>
      <c r="E10" s="2816" t="s">
        <v>1308</v>
      </c>
      <c r="F10" s="2524"/>
      <c r="G10" s="2525"/>
    </row>
    <row r="11" spans="1:17" ht="13.8" thickBot="1">
      <c r="A11" s="3387"/>
      <c r="B11" s="1370" t="s">
        <v>1309</v>
      </c>
      <c r="C11" s="3404"/>
      <c r="D11" s="3405"/>
      <c r="E11" s="769"/>
      <c r="F11" s="769"/>
      <c r="G11" s="788"/>
    </row>
    <row r="12" spans="1:17" ht="13.8" thickBot="1">
      <c r="A12" s="3391" t="s">
        <v>2587</v>
      </c>
      <c r="B12" s="2817" t="s">
        <v>1310</v>
      </c>
      <c r="C12" s="766">
        <v>306.2</v>
      </c>
      <c r="D12" s="1371" t="s">
        <v>1311</v>
      </c>
      <c r="E12" s="1372"/>
      <c r="F12" s="1373"/>
      <c r="G12" s="788"/>
    </row>
    <row r="13" spans="1:17" ht="21" customHeight="1" thickBot="1">
      <c r="A13" s="3392"/>
      <c r="B13" s="2818" t="s">
        <v>1312</v>
      </c>
      <c r="C13" s="767"/>
      <c r="D13" s="1374" t="s">
        <v>1313</v>
      </c>
      <c r="E13" s="1375"/>
      <c r="F13" s="769"/>
      <c r="G13" s="788"/>
      <c r="I13" s="341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41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8" thickBot="1">
      <c r="A15" s="2528"/>
      <c r="B15" s="2819" t="s">
        <v>1315</v>
      </c>
      <c r="C15" s="784"/>
      <c r="D15" s="783"/>
      <c r="E15" s="783"/>
      <c r="F15" s="783"/>
      <c r="G15" s="1122"/>
      <c r="I15" s="341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6" t="s">
        <v>1320</v>
      </c>
      <c r="C17" s="3407"/>
      <c r="D17" s="3408" t="s">
        <v>1321</v>
      </c>
      <c r="E17" s="340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9" t="s">
        <v>2586</v>
      </c>
      <c r="B24" s="3419"/>
      <c r="C24" s="3419"/>
      <c r="D24" s="3419"/>
      <c r="E24" s="3419"/>
      <c r="F24" s="3419"/>
      <c r="G24" s="341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4" t="s">
        <v>1334</v>
      </c>
      <c r="D28" s="3395"/>
      <c r="E28" s="759"/>
      <c r="F28" s="761" t="s">
        <v>1334</v>
      </c>
      <c r="G28" s="759"/>
      <c r="K28" s="2822"/>
    </row>
    <row r="29" spans="1:66">
      <c r="A29" s="762" t="s">
        <v>1335</v>
      </c>
      <c r="B29" s="756"/>
      <c r="C29" s="3396" t="s">
        <v>1336</v>
      </c>
      <c r="D29" s="3397"/>
      <c r="E29" s="756"/>
      <c r="F29" s="762" t="s">
        <v>1336</v>
      </c>
      <c r="G29" s="756"/>
      <c r="K29" s="2822"/>
    </row>
    <row r="30" spans="1:66">
      <c r="A30" s="762" t="s">
        <v>1337</v>
      </c>
      <c r="B30" s="756"/>
      <c r="C30" s="3396" t="s">
        <v>1337</v>
      </c>
      <c r="D30" s="3397"/>
      <c r="E30" s="756"/>
      <c r="F30" s="762" t="s">
        <v>1338</v>
      </c>
      <c r="G30" s="756"/>
      <c r="K30" s="2822"/>
    </row>
    <row r="31" spans="1:66">
      <c r="A31" s="762" t="s">
        <v>1339</v>
      </c>
      <c r="B31" s="756"/>
      <c r="C31" s="3416" t="s">
        <v>1340</v>
      </c>
      <c r="D31" s="769"/>
      <c r="E31" s="2545" t="str">
        <f>E32&amp;" "&amp;E33&amp;" "&amp;E34&amp;" "&amp;E35</f>
        <v xml:space="preserve">   </v>
      </c>
      <c r="F31" s="762" t="s">
        <v>1341</v>
      </c>
      <c r="G31" s="756"/>
    </row>
    <row r="32" spans="1:66">
      <c r="A32" s="762" t="s">
        <v>1342</v>
      </c>
      <c r="B32" s="756"/>
      <c r="C32" s="3417"/>
      <c r="D32" s="259" t="s">
        <v>1343</v>
      </c>
      <c r="E32" s="756"/>
      <c r="F32" s="762" t="s">
        <v>1344</v>
      </c>
      <c r="G32" s="756"/>
    </row>
    <row r="33" spans="1:7" ht="24.6"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8" thickBot="1">
      <c r="A35" s="762" t="s">
        <v>1351</v>
      </c>
      <c r="B35" s="756"/>
      <c r="C35" s="3418"/>
      <c r="D35" s="259" t="s">
        <v>1352</v>
      </c>
      <c r="E35" s="756"/>
      <c r="F35" s="763" t="s">
        <v>1353</v>
      </c>
      <c r="G35" s="2546"/>
    </row>
    <row r="36" spans="1:7">
      <c r="A36" s="762" t="s">
        <v>1310</v>
      </c>
      <c r="B36" s="756"/>
      <c r="C36" s="3396" t="s">
        <v>1354</v>
      </c>
      <c r="D36" s="3397"/>
      <c r="E36" s="756"/>
      <c r="F36" s="2547" t="s">
        <v>1355</v>
      </c>
      <c r="G36" s="759"/>
    </row>
    <row r="37" spans="1:7" ht="24.6" thickBot="1">
      <c r="A37" s="762" t="s">
        <v>1356</v>
      </c>
      <c r="B37" s="756"/>
      <c r="C37" s="3398" t="s">
        <v>1357</v>
      </c>
      <c r="D37" s="3399"/>
      <c r="E37" s="760"/>
      <c r="F37" s="1391" t="s">
        <v>1358</v>
      </c>
      <c r="G37" s="756"/>
    </row>
    <row r="38" spans="1:7" ht="13.8" thickBot="1">
      <c r="A38" s="762" t="s">
        <v>1359</v>
      </c>
      <c r="B38" s="756"/>
      <c r="C38" s="3388"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ht="24">
      <c r="A42" s="764" t="s">
        <v>1369</v>
      </c>
      <c r="B42" s="2548"/>
      <c r="C42" s="3411" t="s">
        <v>1369</v>
      </c>
      <c r="D42" s="341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413" t="s">
        <v>1372</v>
      </c>
      <c r="D49" s="3414"/>
      <c r="E49" s="778"/>
      <c r="F49" s="763" t="s">
        <v>1373</v>
      </c>
      <c r="G49" s="760"/>
    </row>
    <row r="50" spans="1:66">
      <c r="A50" s="762" t="s">
        <v>1374</v>
      </c>
      <c r="B50" s="777"/>
      <c r="C50" s="3388" t="s">
        <v>1375</v>
      </c>
      <c r="D50" s="3415"/>
      <c r="E50" s="2550"/>
      <c r="F50" s="795"/>
      <c r="G50" s="796"/>
    </row>
    <row r="51" spans="1:66" ht="13.8" thickBot="1">
      <c r="A51" s="762" t="s">
        <v>1376</v>
      </c>
      <c r="B51" s="777"/>
      <c r="C51" s="3390" t="s">
        <v>1377</v>
      </c>
      <c r="D51" s="3393"/>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46.8">
      <c r="A3" s="3420"/>
      <c r="B3" s="3420"/>
      <c r="C3" s="3420"/>
      <c r="D3" s="3421"/>
      <c r="E3" s="342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44691</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3070</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306.2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1071700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2011</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t="s">
        <v>3037</v>
      </c>
      <c r="D29" s="2853" t="s">
        <v>1423</v>
      </c>
      <c r="E29" s="2872">
        <f>E30+E31</f>
        <v>5.6000000000000001E-2</v>
      </c>
      <c r="F29" s="1238"/>
      <c r="G29" s="2887"/>
      <c r="H29" s="2887"/>
      <c r="K29" s="1613"/>
      <c r="N29" s="1613"/>
    </row>
    <row r="30" spans="1:41" ht="14.4">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6.000000000000001E-3</v>
      </c>
      <c r="F31" s="1238"/>
      <c r="G31" s="2887"/>
      <c r="H31" s="2887"/>
      <c r="K31" s="1613"/>
      <c r="N31" s="1613"/>
    </row>
    <row r="32" spans="1:41" ht="14.4">
      <c r="A32" s="2848" t="s">
        <v>1426</v>
      </c>
      <c r="B32" s="2573">
        <v>0.03</v>
      </c>
      <c r="D32" s="2855" t="s">
        <v>1429</v>
      </c>
      <c r="E32" s="2590">
        <v>7.0000000000000007E-2</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0.01</v>
      </c>
      <c r="C45" s="2481" t="s">
        <v>2602</v>
      </c>
      <c r="D45" s="2601" t="s">
        <v>1456</v>
      </c>
      <c r="E45" s="2588"/>
      <c r="F45" s="1239">
        <v>12</v>
      </c>
      <c r="G45" s="2593"/>
      <c r="H45" s="2593"/>
      <c r="M45" s="1613"/>
      <c r="N45" s="1613"/>
    </row>
    <row r="46" spans="1:14" ht="14.4">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D53" s="2887"/>
      <c r="E53" s="2887"/>
      <c r="F53" s="2887"/>
      <c r="G53" s="2887"/>
      <c r="H53" s="2887"/>
      <c r="I53" s="1613"/>
      <c r="J53" s="1613"/>
      <c r="K53" s="1613"/>
      <c r="L53" s="1613"/>
      <c r="M53" s="1613"/>
      <c r="N53" s="1613"/>
    </row>
    <row r="54" spans="1:41" s="2593" customFormat="1" ht="13.8">
      <c r="D54" s="2887"/>
      <c r="E54" s="2887"/>
      <c r="F54" s="2887"/>
      <c r="G54" s="2887"/>
      <c r="H54" s="2887"/>
      <c r="I54" s="1613"/>
      <c r="J54" s="1613"/>
      <c r="K54" s="1613"/>
      <c r="L54" s="1613"/>
      <c r="M54" s="1613"/>
      <c r="N54" s="1613"/>
    </row>
    <row r="55" spans="1:41" s="2593" customFormat="1" ht="13.8">
      <c r="D55" s="2887"/>
      <c r="E55" s="2887"/>
      <c r="F55" s="2887"/>
      <c r="G55" s="2887"/>
      <c r="H55" s="2887"/>
      <c r="I55" s="1613"/>
      <c r="J55" s="1613"/>
      <c r="K55" s="1613"/>
      <c r="L55" s="1613"/>
      <c r="M55" s="1613"/>
      <c r="N55" s="1613"/>
    </row>
    <row r="56" spans="1:41" s="2593" customFormat="1" ht="13.8">
      <c r="D56" s="2887"/>
      <c r="E56" s="2887"/>
      <c r="F56" s="2887"/>
      <c r="G56" s="2887"/>
      <c r="H56" s="2887"/>
      <c r="I56" s="1613"/>
      <c r="J56" s="1613"/>
      <c r="K56" s="1613"/>
      <c r="L56" s="1613"/>
      <c r="M56" s="1613"/>
      <c r="N56" s="1613"/>
    </row>
    <row r="57" spans="1:41" s="2593" customFormat="1" ht="13.8">
      <c r="D57" s="2887"/>
      <c r="E57" s="2887"/>
      <c r="F57" s="2887"/>
      <c r="G57" s="2887"/>
      <c r="H57" s="2887"/>
      <c r="I57" s="1613"/>
      <c r="J57" s="1613"/>
      <c r="K57" s="1613"/>
      <c r="L57" s="1613"/>
      <c r="M57" s="1613"/>
      <c r="N57" s="1613"/>
    </row>
    <row r="58" spans="1:41" s="2593" customFormat="1" ht="13.8">
      <c r="D58" s="2887"/>
      <c r="E58" s="2887"/>
      <c r="F58" s="2887"/>
      <c r="G58" s="2887"/>
      <c r="H58" s="2887"/>
      <c r="I58" s="1613"/>
      <c r="J58" s="1613"/>
      <c r="K58" s="1613"/>
      <c r="L58" s="1613"/>
      <c r="M58" s="1613"/>
      <c r="N58" s="1613"/>
    </row>
    <row r="59" spans="1:41" s="2593" customFormat="1" ht="13.8">
      <c r="D59" s="2887"/>
      <c r="E59" s="2887"/>
      <c r="F59" s="2887"/>
      <c r="G59" s="2887"/>
      <c r="H59" s="2887"/>
      <c r="I59" s="1613"/>
      <c r="J59" s="1613"/>
      <c r="K59" s="1613"/>
      <c r="L59" s="1613"/>
      <c r="M59" s="2888"/>
      <c r="N59" s="1613"/>
    </row>
    <row r="60" spans="1:41" s="2593" customFormat="1" ht="13.8">
      <c r="D60" s="2887"/>
      <c r="E60" s="2887"/>
      <c r="F60" s="2887"/>
      <c r="G60" s="2887"/>
      <c r="H60" s="2887"/>
      <c r="I60" s="1613"/>
      <c r="J60" s="1613"/>
      <c r="K60" s="1613"/>
      <c r="L60" s="1613"/>
      <c r="M60" s="1613"/>
      <c r="N60" s="1613"/>
    </row>
    <row r="61" spans="1:41" s="2593" customFormat="1" ht="13.8">
      <c r="D61" s="2887"/>
      <c r="E61" s="2887"/>
      <c r="F61" s="2887"/>
      <c r="G61" s="2887"/>
      <c r="H61" s="2887"/>
      <c r="I61" s="1613"/>
      <c r="J61" s="1613"/>
      <c r="K61" s="1613"/>
      <c r="L61" s="1613"/>
      <c r="M61" s="1613"/>
      <c r="N61" s="1613"/>
    </row>
    <row r="62" spans="1:41" s="2593" customFormat="1" ht="13.8">
      <c r="D62" s="2887"/>
      <c r="E62" s="2887"/>
      <c r="F62" s="2887"/>
      <c r="G62" s="2887"/>
      <c r="H62" s="2887"/>
      <c r="I62" s="1613"/>
      <c r="J62" s="1613"/>
      <c r="K62" s="1613"/>
      <c r="L62" s="1613"/>
      <c r="M62" s="1613"/>
      <c r="N62" s="1613"/>
    </row>
    <row r="63" spans="1:41" s="2593" customFormat="1" ht="13.8">
      <c r="D63" s="2887"/>
      <c r="E63" s="2887"/>
      <c r="F63" s="2887"/>
      <c r="G63" s="2887"/>
      <c r="H63" s="2887"/>
      <c r="I63" s="1613"/>
      <c r="J63" s="1613"/>
      <c r="K63" s="1613"/>
      <c r="L63" s="1613"/>
      <c r="M63" s="1613"/>
      <c r="N63" s="1613"/>
    </row>
    <row r="64" spans="1:41" s="2593" customFormat="1" ht="13.8">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640625" defaultRowHeight="14.4"/>
  <cols>
    <col min="1" max="1" width="24.33203125" style="2501" customWidth="1"/>
    <col min="2" max="16384" width="14.6640625" style="2501"/>
  </cols>
  <sheetData>
    <row r="1" spans="1:9" ht="15.6">
      <c r="A1" s="2499" t="s">
        <v>973</v>
      </c>
      <c r="B1" s="2499">
        <f>SUM(B14:B23)</f>
        <v>306.2</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44691</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828</v>
      </c>
      <c r="C5" s="2499">
        <f ca="1">ROUND(B5*10000/$B$1,0)</f>
        <v>27041</v>
      </c>
      <c r="D5" s="2499" t="e">
        <f ca="1">ROUND(B5*10000/$B$2,0)</f>
        <v>#DIV/0!</v>
      </c>
      <c r="E5" s="1562"/>
      <c r="F5" s="2500"/>
      <c r="G5" s="2500"/>
    </row>
    <row r="6" spans="1:9" ht="15.6">
      <c r="A6" s="2499" t="s">
        <v>981</v>
      </c>
      <c r="B6" s="2499">
        <f ca="1">SUM(G14:G23)</f>
        <v>828</v>
      </c>
      <c r="C6" s="2499">
        <f t="shared" ref="C6:C8" ca="1" si="0">ROUND(B6*10000/$B$1,0)</f>
        <v>27041</v>
      </c>
      <c r="D6" s="2499" t="e">
        <f t="shared" ref="D6:D8" ca="1" si="1">ROUND(B6*10000/$B$2,0)</f>
        <v>#DIV/0!</v>
      </c>
      <c r="E6" s="1562"/>
      <c r="F6" s="2500"/>
      <c r="G6" s="2500"/>
    </row>
    <row r="7" spans="1:9" ht="15.6">
      <c r="A7" s="2499" t="s">
        <v>982</v>
      </c>
      <c r="B7" s="2499">
        <f>SUM(H14:H23)</f>
        <v>0</v>
      </c>
      <c r="C7" s="2499">
        <f>ROUND(B7*10000/$B$1,0)</f>
        <v>0</v>
      </c>
      <c r="D7" s="2499" t="e">
        <f t="shared" si="1"/>
        <v>#DIV/0!</v>
      </c>
      <c r="E7" s="1562"/>
      <c r="F7" s="2500"/>
      <c r="G7" s="2500"/>
    </row>
    <row r="8" spans="1:9" ht="15.6">
      <c r="A8" s="2499" t="s">
        <v>983</v>
      </c>
      <c r="B8" s="2499">
        <f>SUM(I14:I23)</f>
        <v>0</v>
      </c>
      <c r="C8" s="2499">
        <f t="shared" si="0"/>
        <v>0</v>
      </c>
      <c r="D8" s="2499" t="e">
        <f t="shared" si="1"/>
        <v>#DIV/0!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306.2</v>
      </c>
      <c r="C14" s="2835">
        <f>项目基本情况!C13</f>
        <v>0</v>
      </c>
      <c r="D14" s="2835">
        <f ca="1">结果表!I102</f>
        <v>828</v>
      </c>
      <c r="E14" s="2835">
        <f ca="1">结果表!I103</f>
        <v>27028</v>
      </c>
      <c r="F14" s="2835" t="e">
        <f ca="1">ROUND(D14*10000/C14,0)</f>
        <v>#DIV/0!</v>
      </c>
      <c r="G14" s="2835">
        <f ca="1">IF('数据-取费表'!B3="万元",IF(A14="估价对象1（结果表）",结果表!D125,'结果表 (1修多)'!D129),IF(A14="估价对象1（结果表）",结果表!D125,'结果表 (1修多)'!D129)/10000)</f>
        <v>828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8" zoomScale="80" zoomScaleNormal="100" zoomScaleSheetLayoutView="80" zoomScalePageLayoutView="80" workbookViewId="0">
      <selection activeCell="O25" sqref="O25"/>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97" t="str">
        <f>项目基本情况!B1</f>
        <v>北京市房地产抵押价值预评估</v>
      </c>
      <c r="B2" s="3497"/>
      <c r="C2" s="3497"/>
      <c r="D2" s="3497"/>
      <c r="E2" s="3497"/>
      <c r="F2" s="3497"/>
      <c r="G2" s="3497"/>
      <c r="H2" s="3497"/>
      <c r="I2" s="3497"/>
      <c r="J2" s="2762"/>
    </row>
    <row r="3" spans="1:15" ht="13.2">
      <c r="A3" s="3502" t="s">
        <v>1471</v>
      </c>
      <c r="B3" s="3503"/>
      <c r="C3" s="3503"/>
      <c r="D3" s="3503"/>
      <c r="E3" s="3503"/>
      <c r="F3" s="3503"/>
      <c r="G3" s="3503"/>
      <c r="H3" s="3503"/>
      <c r="I3" s="3503"/>
      <c r="J3" s="2763"/>
    </row>
    <row r="4" spans="1:15" ht="14.4">
      <c r="A4" s="2631" t="s">
        <v>1472</v>
      </c>
      <c r="B4" s="2631" t="s">
        <v>1473</v>
      </c>
      <c r="C4" s="2632" t="s">
        <v>3063</v>
      </c>
      <c r="D4" s="2632" t="s">
        <v>3064</v>
      </c>
      <c r="E4" s="3499" t="s">
        <v>1474</v>
      </c>
      <c r="F4" s="3487"/>
      <c r="G4" s="3487"/>
      <c r="H4" s="3487"/>
      <c r="I4" s="348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98" t="s">
        <v>1475</v>
      </c>
      <c r="B5" s="3498">
        <v>25</v>
      </c>
      <c r="C5" s="3504"/>
      <c r="D5" s="3501"/>
      <c r="E5" s="12" t="s">
        <v>1476</v>
      </c>
      <c r="F5" s="2017"/>
      <c r="G5" s="2017"/>
      <c r="H5" s="2017"/>
      <c r="I5" s="2012"/>
      <c r="J5" s="2764"/>
    </row>
    <row r="6" spans="1:15" ht="13.2">
      <c r="A6" s="3498"/>
      <c r="B6" s="3498"/>
      <c r="C6" s="3505"/>
      <c r="D6" s="3501"/>
      <c r="E6" s="12" t="s">
        <v>1477</v>
      </c>
      <c r="F6" s="2017"/>
      <c r="G6" s="2017"/>
      <c r="H6" s="2017"/>
      <c r="I6" s="2012"/>
      <c r="J6" s="2764"/>
    </row>
    <row r="7" spans="1:15" ht="13.2">
      <c r="A7" s="3498"/>
      <c r="B7" s="3498"/>
      <c r="C7" s="3506"/>
      <c r="D7" s="3501"/>
      <c r="E7" s="12" t="s">
        <v>1478</v>
      </c>
      <c r="F7" s="2017"/>
      <c r="G7" s="2017"/>
      <c r="H7" s="2017"/>
      <c r="I7" s="2012"/>
      <c r="J7" s="2764"/>
    </row>
    <row r="8" spans="1:15" ht="13.2">
      <c r="A8" s="3498" t="s">
        <v>1479</v>
      </c>
      <c r="B8" s="3498">
        <v>15</v>
      </c>
      <c r="C8" s="3504"/>
      <c r="D8" s="3501"/>
      <c r="E8" s="12" t="s">
        <v>1480</v>
      </c>
      <c r="F8" s="2017"/>
      <c r="G8" s="2017"/>
      <c r="H8" s="2017"/>
      <c r="I8" s="2012"/>
      <c r="J8" s="2764"/>
    </row>
    <row r="9" spans="1:15" ht="13.2">
      <c r="A9" s="3498"/>
      <c r="B9" s="3498"/>
      <c r="C9" s="3506"/>
      <c r="D9" s="3501"/>
      <c r="E9" s="12" t="s">
        <v>1481</v>
      </c>
      <c r="F9" s="2017"/>
      <c r="G9" s="2017"/>
      <c r="H9" s="2017"/>
      <c r="I9" s="2012"/>
      <c r="J9" s="2764"/>
    </row>
    <row r="10" spans="1:15" ht="13.2">
      <c r="A10" s="3498" t="s">
        <v>1482</v>
      </c>
      <c r="B10" s="3498">
        <v>15</v>
      </c>
      <c r="C10" s="3504"/>
      <c r="D10" s="3501"/>
      <c r="E10" s="12" t="s">
        <v>1483</v>
      </c>
      <c r="F10" s="2017"/>
      <c r="G10" s="2017"/>
      <c r="H10" s="2017"/>
      <c r="I10" s="2012"/>
      <c r="J10" s="2764"/>
    </row>
    <row r="11" spans="1:15" ht="13.2">
      <c r="A11" s="3498"/>
      <c r="B11" s="3498"/>
      <c r="C11" s="3506"/>
      <c r="D11" s="3501"/>
      <c r="E11" s="12" t="s">
        <v>1484</v>
      </c>
      <c r="F11" s="2017"/>
      <c r="G11" s="2017"/>
      <c r="H11" s="2017"/>
      <c r="I11" s="2012"/>
      <c r="J11" s="2764"/>
    </row>
    <row r="12" spans="1:15" ht="13.2">
      <c r="A12" s="3498" t="s">
        <v>1485</v>
      </c>
      <c r="B12" s="3498">
        <v>15</v>
      </c>
      <c r="C12" s="3504"/>
      <c r="D12" s="3501"/>
      <c r="E12" s="12" t="s">
        <v>1486</v>
      </c>
      <c r="F12" s="2017"/>
      <c r="G12" s="2017"/>
      <c r="H12" s="2017"/>
      <c r="I12" s="2012"/>
      <c r="J12" s="2764"/>
    </row>
    <row r="13" spans="1:15" ht="13.2">
      <c r="A13" s="3498"/>
      <c r="B13" s="3498"/>
      <c r="C13" s="3506"/>
      <c r="D13" s="3501"/>
      <c r="E13" s="12" t="s">
        <v>1487</v>
      </c>
      <c r="F13" s="2017"/>
      <c r="G13" s="2017"/>
      <c r="H13" s="2017"/>
      <c r="I13" s="2012"/>
      <c r="J13" s="2764"/>
    </row>
    <row r="14" spans="1:15" ht="13.2">
      <c r="A14" s="3498" t="s">
        <v>1488</v>
      </c>
      <c r="B14" s="3498">
        <v>30</v>
      </c>
      <c r="C14" s="3504">
        <v>5</v>
      </c>
      <c r="D14" s="3501">
        <v>5</v>
      </c>
      <c r="E14" s="12" t="s">
        <v>1489</v>
      </c>
      <c r="F14" s="2017"/>
      <c r="G14" s="2017"/>
      <c r="H14" s="2017"/>
      <c r="I14" s="2012"/>
      <c r="J14" s="2764"/>
    </row>
    <row r="15" spans="1:15" ht="13.2">
      <c r="A15" s="3498"/>
      <c r="B15" s="3498"/>
      <c r="C15" s="3505"/>
      <c r="D15" s="3501"/>
      <c r="E15" s="12" t="s">
        <v>1490</v>
      </c>
      <c r="F15" s="2017"/>
      <c r="G15" s="2017"/>
      <c r="H15" s="2017"/>
      <c r="I15" s="2012"/>
      <c r="J15" s="2764"/>
    </row>
    <row r="16" spans="1:15" ht="13.2">
      <c r="A16" s="3498"/>
      <c r="B16" s="3498"/>
      <c r="C16" s="3506"/>
      <c r="D16" s="3501"/>
      <c r="E16" s="12" t="s">
        <v>1491</v>
      </c>
      <c r="F16" s="2017"/>
      <c r="G16" s="2017"/>
      <c r="H16" s="2017"/>
      <c r="I16" s="2012"/>
      <c r="J16" s="2764"/>
    </row>
    <row r="17" spans="1:36" ht="14.4">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8" t="s">
        <v>2576</v>
      </c>
      <c r="F18" s="3519"/>
      <c r="G18" s="3519"/>
      <c r="H18" s="3519"/>
      <c r="I18" s="3519"/>
      <c r="J18" s="2765"/>
    </row>
    <row r="19" spans="1:36" ht="14.4">
      <c r="A19" s="2638" t="s">
        <v>1494</v>
      </c>
      <c r="B19" s="2639" t="s">
        <v>1495</v>
      </c>
      <c r="C19" s="2640">
        <f ca="1">SUMIF(INDIRECT("'"&amp;C4&amp;"'"&amp;"!A:A"),结果表!B19,INDIRECT("'"&amp;C4&amp;"'"&amp;"!B:B"))</f>
        <v>907</v>
      </c>
      <c r="D19" s="2641">
        <f ca="1">SUMIF(INDIRECT("'"&amp;D4&amp;"'"&amp;"!A:A"),结果表!B19,INDIRECT("'"&amp;D4&amp;"'"&amp;"!B:B"))</f>
        <v>748</v>
      </c>
      <c r="E19" s="2638" t="s">
        <v>1496</v>
      </c>
      <c r="F19" s="2639" t="s">
        <v>1495</v>
      </c>
      <c r="G19" s="2642">
        <f ca="1">ROUND(C19*$C$18+D19*$D$18,0)</f>
        <v>828</v>
      </c>
      <c r="H19" s="2643" t="str">
        <f>'数据-取费表'!B3</f>
        <v>万元</v>
      </c>
      <c r="I19" s="2691"/>
      <c r="J19" s="2766"/>
    </row>
    <row r="20" spans="1:36" ht="14.4">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0.21256684491978617</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27028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c r="E33" s="2664" t="s">
        <v>1508</v>
      </c>
      <c r="F33" s="2665" t="str">
        <f>IF(B32="楼面单价","取值（单价）","取值（总价）")</f>
        <v>取值（单价）</v>
      </c>
      <c r="G33" s="905"/>
      <c r="H33" s="905"/>
      <c r="I33" s="905"/>
      <c r="J33" s="2765"/>
    </row>
    <row r="34" spans="1:17" ht="14.4">
      <c r="A34" s="1394"/>
      <c r="B34" s="2666" t="s">
        <v>1509</v>
      </c>
      <c r="C34" s="2667">
        <f ca="1">IF(D33="自定义",F34,C32-C35)</f>
        <v>22379</v>
      </c>
      <c r="D34" s="2668">
        <f ca="1">IF(D33="自定义",ROUND(C34/C32,3),1-D35)</f>
        <v>0.82800000000000007</v>
      </c>
      <c r="E34" s="1363" t="s">
        <v>1510</v>
      </c>
      <c r="F34" s="2669">
        <v>2000</v>
      </c>
      <c r="G34" s="905"/>
      <c r="H34" s="905"/>
      <c r="I34" s="905"/>
      <c r="J34" s="2765"/>
    </row>
    <row r="35" spans="1:17" ht="15" thickBot="1">
      <c r="A35" s="1395"/>
      <c r="B35" s="2670" t="s">
        <v>1511</v>
      </c>
      <c r="C35" s="2671">
        <f ca="1">IF(D33="自定义",F35,ROUND(C32*D35,0))</f>
        <v>4649</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 thickBot="1">
      <c r="A36" s="3507" t="s">
        <v>1513</v>
      </c>
      <c r="B36" s="1396" t="s">
        <v>1514</v>
      </c>
      <c r="C36" s="2675">
        <v>0</v>
      </c>
      <c r="D36" s="2676"/>
      <c r="E36" s="1608"/>
      <c r="F36" s="1608"/>
      <c r="G36" s="905"/>
      <c r="H36" s="905"/>
      <c r="I36" s="905"/>
      <c r="J36" s="2765"/>
    </row>
    <row r="37" spans="1:17" ht="15" thickBot="1">
      <c r="A37" s="3512"/>
      <c r="B37" s="2022" t="s">
        <v>1515</v>
      </c>
      <c r="C37" s="2677">
        <v>0</v>
      </c>
      <c r="D37" s="1239"/>
      <c r="E37" s="1239"/>
      <c r="F37" s="1608"/>
      <c r="G37" s="1239"/>
      <c r="H37" s="1239"/>
      <c r="I37" s="1239"/>
      <c r="J37" s="2769"/>
    </row>
    <row r="38" spans="1:17" ht="15" thickBot="1">
      <c r="A38" s="3513"/>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2" t="s">
        <v>1524</v>
      </c>
      <c r="B45" s="3433"/>
      <c r="C45" s="3443"/>
      <c r="D45" s="246">
        <f ca="1">ROUND(I102*F45,0)</f>
        <v>828</v>
      </c>
      <c r="E45" s="1470" t="s">
        <v>1525</v>
      </c>
      <c r="F45" s="2479">
        <v>1</v>
      </c>
      <c r="G45" s="2480" t="s">
        <v>1526</v>
      </c>
      <c r="H45" s="905"/>
      <c r="I45" s="905"/>
      <c r="J45" s="2765"/>
      <c r="K45" s="3438" t="s">
        <v>2505</v>
      </c>
      <c r="L45" s="3438"/>
      <c r="M45" s="3438"/>
      <c r="N45" s="3438"/>
      <c r="O45" s="3438"/>
      <c r="P45" s="3438"/>
      <c r="Q45" s="1236"/>
    </row>
    <row r="46" spans="1:17" ht="14.25" customHeight="1">
      <c r="A46" s="3509" t="s">
        <v>1528</v>
      </c>
      <c r="B46" s="3510"/>
      <c r="C46" s="3510"/>
      <c r="D46" s="3510"/>
      <c r="E46" s="3510"/>
      <c r="F46" s="3510"/>
      <c r="G46" s="3511"/>
      <c r="H46" s="2897"/>
      <c r="I46" s="905"/>
      <c r="J46" s="2765"/>
      <c r="K46" s="2454">
        <v>1</v>
      </c>
      <c r="L46" s="3439" t="s">
        <v>2506</v>
      </c>
      <c r="M46" s="3439"/>
      <c r="N46" s="3440" t="str">
        <f>项目基本情况!B1</f>
        <v>北京市房地产抵押价值预评估</v>
      </c>
      <c r="O46" s="3440"/>
      <c r="P46" s="3440"/>
      <c r="Q46" s="1236"/>
    </row>
    <row r="47" spans="1:17" ht="12" customHeight="1">
      <c r="A47" s="38" t="s">
        <v>1530</v>
      </c>
      <c r="B47" s="39"/>
      <c r="C47" s="40"/>
      <c r="D47" s="1028" t="s">
        <v>1531</v>
      </c>
      <c r="E47" s="235" t="s">
        <v>1532</v>
      </c>
      <c r="F47" s="41" t="s">
        <v>1533</v>
      </c>
      <c r="G47" s="2482" t="s">
        <v>1534</v>
      </c>
      <c r="H47" s="2897"/>
      <c r="I47" s="905"/>
      <c r="J47" s="2765"/>
      <c r="K47" s="2454">
        <v>2</v>
      </c>
      <c r="L47" s="3439" t="s">
        <v>2507</v>
      </c>
      <c r="M47" s="3439"/>
      <c r="N47" s="3441">
        <f>'数据-取费表'!B2</f>
        <v>44691</v>
      </c>
      <c r="O47" s="3441"/>
      <c r="P47" s="3441"/>
      <c r="Q47" s="1236"/>
    </row>
    <row r="48" spans="1:17" ht="26.4">
      <c r="A48" s="3514" t="s">
        <v>1536</v>
      </c>
      <c r="B48" s="3448"/>
      <c r="C48" s="3448"/>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9" t="s">
        <v>2508</v>
      </c>
      <c r="M48" s="3439"/>
      <c r="N48" s="3440">
        <f ca="1">I102</f>
        <v>828</v>
      </c>
      <c r="O48" s="3440"/>
      <c r="P48" s="3440"/>
      <c r="Q48" s="1236"/>
    </row>
    <row r="49" spans="1:17" ht="25.5" customHeight="1">
      <c r="A49" s="2019" t="s">
        <v>1540</v>
      </c>
      <c r="B49" s="3487" t="s">
        <v>1541</v>
      </c>
      <c r="C49" s="3487"/>
      <c r="D49" s="2486">
        <v>0</v>
      </c>
      <c r="E49" s="261" t="s">
        <v>1542</v>
      </c>
      <c r="F49" s="2487" t="s">
        <v>48</v>
      </c>
      <c r="G49" s="3429"/>
      <c r="H49" s="2488" t="s">
        <v>2582</v>
      </c>
      <c r="I49" s="2489"/>
      <c r="J49" s="2773"/>
      <c r="K49" s="2454">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1236"/>
    </row>
    <row r="50" spans="1:17" ht="25.5" customHeight="1">
      <c r="A50" s="2009"/>
      <c r="B50" s="3487" t="s">
        <v>1543</v>
      </c>
      <c r="C50" s="3487"/>
      <c r="D50" s="2490"/>
      <c r="E50" s="269"/>
      <c r="F50" s="2487"/>
      <c r="G50" s="3430"/>
      <c r="H50" s="2491" t="s">
        <v>2501</v>
      </c>
      <c r="I50" s="2489"/>
      <c r="J50" s="2773"/>
      <c r="K50" s="3439" t="s">
        <v>2509</v>
      </c>
      <c r="L50" s="3439"/>
      <c r="M50" s="3439"/>
      <c r="N50" s="3439"/>
      <c r="O50" s="3439"/>
      <c r="P50" s="3439"/>
      <c r="Q50" s="1236"/>
    </row>
    <row r="51" spans="1:17" ht="20.399999999999999" customHeight="1">
      <c r="A51" s="2492"/>
      <c r="B51" s="3487" t="s">
        <v>1545</v>
      </c>
      <c r="C51" s="3487"/>
      <c r="D51" s="1028"/>
      <c r="E51" s="264"/>
      <c r="F51" s="2487"/>
      <c r="G51" s="3431"/>
      <c r="H51" s="2491" t="s">
        <v>2502</v>
      </c>
      <c r="I51" s="2489"/>
      <c r="J51" s="2773"/>
      <c r="K51" s="2455" t="s">
        <v>2510</v>
      </c>
      <c r="L51" s="3439" t="s">
        <v>2511</v>
      </c>
      <c r="M51" s="3439"/>
      <c r="N51" s="2455" t="s">
        <v>2512</v>
      </c>
      <c r="O51" s="2455" t="s">
        <v>2513</v>
      </c>
      <c r="P51" s="2455" t="s">
        <v>2514</v>
      </c>
      <c r="Q51" s="1236"/>
    </row>
    <row r="52" spans="1:17" ht="24" customHeight="1">
      <c r="A52" s="2010" t="s">
        <v>1551</v>
      </c>
      <c r="B52" s="3487" t="s">
        <v>1552</v>
      </c>
      <c r="C52" s="3487"/>
      <c r="D52" s="1028">
        <f ca="1">ROUND(D45*'数据-取费表'!E29/(1+'数据-取费表'!F30),0)</f>
        <v>44</v>
      </c>
      <c r="E52" s="2020" t="s">
        <v>1553</v>
      </c>
      <c r="F52" s="2493">
        <f>'数据-取费表'!E29</f>
        <v>5.6000000000000001E-2</v>
      </c>
      <c r="G52" s="2494"/>
      <c r="H52" s="905"/>
      <c r="I52" s="2898"/>
      <c r="J52" s="2773"/>
      <c r="K52" s="2454">
        <v>1</v>
      </c>
      <c r="L52" s="3428" t="s">
        <v>2515</v>
      </c>
      <c r="M52" s="3428"/>
      <c r="N52" s="2456">
        <f ca="1">D48</f>
        <v>44</v>
      </c>
      <c r="O52" s="2454" t="str">
        <f>E48</f>
        <v>销售额×税（费）率</v>
      </c>
      <c r="P52" s="2457">
        <f>F48</f>
        <v>5.6000000000000001E-2</v>
      </c>
      <c r="Q52" s="1236"/>
    </row>
    <row r="53" spans="1:17" ht="12" customHeight="1">
      <c r="A53" s="2010" t="s">
        <v>1555</v>
      </c>
      <c r="B53" s="3499" t="s">
        <v>2593</v>
      </c>
      <c r="C53" s="3488"/>
      <c r="D53" s="1028">
        <f ca="1">ROUND(D45*'数据-取费表'!E29/(1+'数据-取费表'!F30),0)</f>
        <v>44</v>
      </c>
      <c r="E53" s="2020" t="s">
        <v>1553</v>
      </c>
      <c r="F53" s="2493">
        <f>'数据-取费表'!E29</f>
        <v>5.6000000000000001E-2</v>
      </c>
      <c r="G53" s="2494"/>
      <c r="H53" s="905"/>
      <c r="I53" s="2898"/>
      <c r="J53" s="2773"/>
      <c r="K53" s="2454">
        <v>2</v>
      </c>
      <c r="L53" s="3428" t="s">
        <v>2516</v>
      </c>
      <c r="M53" s="3428"/>
      <c r="N53" s="2456">
        <f t="shared" ref="N53:P54" si="1">D55</f>
        <v>0</v>
      </c>
      <c r="O53" s="2454" t="str">
        <f t="shared" si="1"/>
        <v>销售额×税（费）率</v>
      </c>
      <c r="P53" s="2457" t="str">
        <f t="shared" si="1"/>
        <v>免征</v>
      </c>
      <c r="Q53" s="1236"/>
    </row>
    <row r="54" spans="1:17" ht="12" customHeight="1">
      <c r="A54" s="2010" t="s">
        <v>1557</v>
      </c>
      <c r="B54" s="3499" t="s">
        <v>2594</v>
      </c>
      <c r="C54" s="3488"/>
      <c r="D54" s="1028">
        <f ca="1">C68</f>
        <v>44</v>
      </c>
      <c r="E54" s="264" t="s">
        <v>1558</v>
      </c>
      <c r="F54" s="2493">
        <f>'数据-取费表'!E29</f>
        <v>5.6000000000000001E-2</v>
      </c>
      <c r="G54" s="2494"/>
      <c r="H54" s="2899"/>
      <c r="I54" s="2898"/>
      <c r="J54" s="2773"/>
      <c r="K54" s="2454">
        <v>3</v>
      </c>
      <c r="L54" s="3428" t="s">
        <v>2517</v>
      </c>
      <c r="M54" s="3428"/>
      <c r="N54" s="2456">
        <f t="shared" si="1"/>
        <v>0</v>
      </c>
      <c r="O54" s="2454" t="str">
        <f t="shared" si="1"/>
        <v>增值额×税（费）率</v>
      </c>
      <c r="P54" s="2458" t="str">
        <f t="shared" si="1"/>
        <v>免征</v>
      </c>
      <c r="Q54" s="1236"/>
    </row>
    <row r="55" spans="1:17" ht="24" customHeight="1">
      <c r="A55" s="3452" t="s">
        <v>1560</v>
      </c>
      <c r="B55" s="3448"/>
      <c r="C55" s="344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8" t="str">
        <f>IF(H59="非个人房产","——","个人所得税")</f>
        <v>——</v>
      </c>
      <c r="M55" s="3428"/>
      <c r="N55" s="2459" t="str">
        <f>D59</f>
        <v>——</v>
      </c>
      <c r="O55" s="2460" t="str">
        <f>E59</f>
        <v>——</v>
      </c>
      <c r="P55" s="2461" t="str">
        <f>F59</f>
        <v>——</v>
      </c>
      <c r="Q55" s="1236"/>
    </row>
    <row r="56" spans="1:17" ht="25.2">
      <c r="A56" s="3452" t="s">
        <v>1563</v>
      </c>
      <c r="B56" s="3448"/>
      <c r="C56" s="3448"/>
      <c r="D56" s="12">
        <f>IF(H56="个人住宅",D57,D58)</f>
        <v>0</v>
      </c>
      <c r="E56" s="2020" t="s">
        <v>1564</v>
      </c>
      <c r="F56" s="2493" t="str">
        <f>IF(H56="正常",F58,"免征")</f>
        <v>免征</v>
      </c>
      <c r="G56" s="2495" t="s">
        <v>1565</v>
      </c>
      <c r="H56" s="2496" t="s">
        <v>2498</v>
      </c>
      <c r="I56" s="2900"/>
      <c r="J56" s="2773"/>
      <c r="K56" s="2454" t="str">
        <f>IF(项目基本情况!I6="上海银行",IF(K55="",4,K55+1),"")</f>
        <v/>
      </c>
      <c r="L56" s="3426" t="str">
        <f>IF(项目基本情况!I6="上海银行","其他处置费用","")</f>
        <v/>
      </c>
      <c r="M56" s="3446"/>
      <c r="N56" s="2456" t="str">
        <f>IF(项目基本情况!I6="上海银行",N69,"")</f>
        <v/>
      </c>
      <c r="O56" s="3426" t="str">
        <f>IF(项目基本情况!I6="上海银行","包含处置中涉及的律师、诉讼、拍卖、评估等费用","")</f>
        <v/>
      </c>
      <c r="P56" s="3427"/>
      <c r="Q56" s="1236"/>
    </row>
    <row r="57" spans="1:17" ht="13.2">
      <c r="A57" s="2010" t="s">
        <v>1540</v>
      </c>
      <c r="B57" s="3499" t="s">
        <v>1566</v>
      </c>
      <c r="C57" s="3488"/>
      <c r="D57" s="2486">
        <v>0</v>
      </c>
      <c r="E57" s="261" t="s">
        <v>1542</v>
      </c>
      <c r="F57" s="235"/>
      <c r="G57" s="2494"/>
      <c r="H57" s="2900"/>
      <c r="I57" s="2900"/>
      <c r="J57" s="2773"/>
      <c r="K57" s="3428">
        <f>IF(AND(K55="",K56=""),4,IF(项目基本情况!I6="上海银行",K56+1,K55+1))</f>
        <v>4</v>
      </c>
      <c r="L57" s="3428" t="s">
        <v>2518</v>
      </c>
      <c r="M57" s="2462" t="s">
        <v>2519</v>
      </c>
      <c r="N57" s="2463"/>
      <c r="O57" s="2464">
        <f ca="1">SUMIF(N52:N56,"&lt;9e307")</f>
        <v>44</v>
      </c>
      <c r="P57" s="2465"/>
      <c r="Q57" s="1234" t="e">
        <f ca="1">O57/N49</f>
        <v>#VALUE!</v>
      </c>
    </row>
    <row r="58" spans="1:17" ht="25.2">
      <c r="A58" s="2010" t="s">
        <v>1551</v>
      </c>
      <c r="B58" s="3499" t="s">
        <v>1569</v>
      </c>
      <c r="C58" s="3487"/>
      <c r="D58" s="12">
        <f ca="1">IF(H58="转让取得",C81,C97)</f>
        <v>469</v>
      </c>
      <c r="E58" s="2020" t="s">
        <v>1564</v>
      </c>
      <c r="F58" s="235" t="s">
        <v>48</v>
      </c>
      <c r="G58" s="2494"/>
      <c r="H58" s="2496" t="s">
        <v>1570</v>
      </c>
      <c r="I58" s="2900"/>
      <c r="J58" s="2773"/>
      <c r="K58" s="3428"/>
      <c r="L58" s="3428"/>
      <c r="M58" s="2462" t="s">
        <v>2520</v>
      </c>
      <c r="N58" s="2466"/>
      <c r="O58" s="2467" t="str">
        <f ca="1">IF(H19="元",NUMBERSTRING(INT(O57),2)&amp;"元整",NUMBERSTRING(INT(O57*10000),2)&amp;"元整")</f>
        <v>肆拾肆万元整</v>
      </c>
      <c r="P58" s="2468"/>
      <c r="Q58" s="1236"/>
    </row>
    <row r="59" spans="1:17" ht="24.6" thickBot="1">
      <c r="A59" s="3515" t="s">
        <v>1572</v>
      </c>
      <c r="B59" s="3516"/>
      <c r="C59" s="351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1">
        <f>K57+1</f>
        <v>5</v>
      </c>
      <c r="L59" s="342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2"/>
      <c r="L60" s="3428"/>
      <c r="M60" s="2462" t="s">
        <v>2520</v>
      </c>
      <c r="N60" s="2466"/>
      <c r="O60" s="2467" t="e">
        <f ca="1">IF(H19="元",NUMBERSTRING(INT(O59),2)&amp;"元整",NUMBERSTRING(INT(O59*10000),2)&amp;"元整")</f>
        <v>#VALUE!</v>
      </c>
      <c r="P60" s="2468"/>
      <c r="Q60" s="1236"/>
    </row>
    <row r="61" spans="1:17" ht="13.8" thickBot="1">
      <c r="A61" s="3517" t="s">
        <v>1574</v>
      </c>
      <c r="B61" s="3517"/>
      <c r="C61" s="3517"/>
      <c r="D61" s="3517"/>
      <c r="E61" s="3517"/>
      <c r="F61" s="2901"/>
      <c r="G61" s="2901"/>
      <c r="H61" s="2903"/>
      <c r="I61" s="31"/>
      <c r="K61" s="2454">
        <f>K59+1</f>
        <v>6</v>
      </c>
      <c r="L61" s="3428" t="s">
        <v>2522</v>
      </c>
      <c r="M61" s="3428"/>
      <c r="N61" s="2472"/>
      <c r="O61" s="2473" t="e">
        <f ca="1">IF(H19="元",ROUND(O59/项目基本情况!C12,0),ROUND(O59*10000/项目基本情况!C12,0))</f>
        <v>#VALUE!</v>
      </c>
      <c r="P61" s="2474"/>
      <c r="Q61" s="1236"/>
    </row>
    <row r="62" spans="1:17" ht="13.2">
      <c r="A62" s="3466" t="s">
        <v>1576</v>
      </c>
      <c r="B62" s="3467"/>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789</v>
      </c>
      <c r="D63" s="47"/>
      <c r="E63" s="48"/>
      <c r="F63" s="2901"/>
      <c r="G63" s="2901"/>
      <c r="H63" s="2903"/>
      <c r="I63" s="31"/>
      <c r="K63" s="3447" t="s">
        <v>2523</v>
      </c>
      <c r="L63" s="2476" t="s">
        <v>2524</v>
      </c>
      <c r="M63" s="2476" t="e">
        <f>IF(N49&gt;10000,N49*0.5%,IF(AND(N49&gt;1000,N49&lt;=10000),N49*1%,IF(AND(N49&gt;100,N49&lt;=1000),N49*3%,IF(AND(N49&gt;10,N49&lt;=100),N49*5%,N49*8%))))</f>
        <v>#VALUE!</v>
      </c>
      <c r="N63" s="2477" t="e">
        <f>ROUND(M63,1)</f>
        <v>#VALUE!</v>
      </c>
      <c r="O63" s="2475"/>
      <c r="P63" s="2475"/>
      <c r="Q63" s="1236"/>
    </row>
    <row r="64" spans="1:17" ht="13.2">
      <c r="A64" s="49" t="s">
        <v>71</v>
      </c>
      <c r="B64" s="50" t="s">
        <v>1582</v>
      </c>
      <c r="C64" s="2705">
        <f ca="1">D45</f>
        <v>828</v>
      </c>
      <c r="D64" s="50" t="s">
        <v>41</v>
      </c>
      <c r="E64" s="52"/>
      <c r="F64" s="2901"/>
      <c r="G64" s="2901"/>
      <c r="H64" s="2903"/>
      <c r="I64" s="31"/>
      <c r="K64" s="344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3.2">
      <c r="A65" s="49" t="s">
        <v>72</v>
      </c>
      <c r="B65" s="50" t="s">
        <v>1585</v>
      </c>
      <c r="C65" s="2706"/>
      <c r="D65" s="50"/>
      <c r="E65" s="52"/>
      <c r="F65" s="2901"/>
      <c r="G65" s="2901"/>
      <c r="H65" s="2903"/>
      <c r="I65" s="31"/>
      <c r="K65" s="3447"/>
      <c r="L65" s="2476" t="s">
        <v>2527</v>
      </c>
      <c r="M65" s="2476" t="e">
        <f>IF(N49&gt;1000,N49*0.1%,IF(AND(N49&gt;500,N49&lt;=1000),N49*0.5%,IF(AND(N49&gt;50,N49&lt;=500),N49*1%,IF(AND(N49&gt;1,N49&lt;=50),N49*1.5%))))</f>
        <v>#VALUE!</v>
      </c>
      <c r="N65" s="2477" t="e">
        <f t="shared" si="2"/>
        <v>#VALUE!</v>
      </c>
      <c r="O65" s="2475" t="s">
        <v>2526</v>
      </c>
      <c r="P65" s="2475"/>
      <c r="Q65" s="1236"/>
    </row>
    <row r="66" spans="1:36" ht="25.2">
      <c r="A66" s="53" t="s">
        <v>47</v>
      </c>
      <c r="B66" s="54" t="s">
        <v>1587</v>
      </c>
      <c r="C66" s="2707"/>
      <c r="D66" s="54" t="s">
        <v>41</v>
      </c>
      <c r="E66" s="1244" t="s">
        <v>1588</v>
      </c>
      <c r="F66" s="2901"/>
      <c r="G66" s="2901"/>
      <c r="H66" s="2903"/>
      <c r="I66" s="31"/>
      <c r="K66" s="3447"/>
      <c r="L66" s="2476" t="s">
        <v>2528</v>
      </c>
      <c r="M66" s="2476" t="e">
        <f>N49*0.5%</f>
        <v>#VALUE!</v>
      </c>
      <c r="N66" s="2477" t="e">
        <f>IF(M66&gt;0.5,0.5,ROUND(M66,0))</f>
        <v>#VALUE!</v>
      </c>
      <c r="O66" s="2475" t="s">
        <v>2529</v>
      </c>
      <c r="P66" s="2475"/>
      <c r="Q66" s="1236"/>
    </row>
    <row r="67" spans="1:36" ht="13.2">
      <c r="A67" s="53" t="s">
        <v>42</v>
      </c>
      <c r="B67" s="54" t="s">
        <v>1591</v>
      </c>
      <c r="C67" s="2708">
        <f ca="1">C63-C66</f>
        <v>789</v>
      </c>
      <c r="D67" s="50" t="s">
        <v>41</v>
      </c>
      <c r="E67" s="52"/>
      <c r="F67" s="2901"/>
      <c r="G67" s="2901"/>
      <c r="H67" s="2903"/>
      <c r="I67" s="31"/>
      <c r="K67" s="344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8" thickBot="1">
      <c r="A68" s="55" t="s">
        <v>46</v>
      </c>
      <c r="B68" s="56" t="s">
        <v>1593</v>
      </c>
      <c r="C68" s="2709">
        <f ca="1">IF(C67&lt;=0,0,ROUND(C67*D68,0))</f>
        <v>44</v>
      </c>
      <c r="D68" s="2170">
        <f>'数据-取费表'!E29</f>
        <v>5.6000000000000001E-2</v>
      </c>
      <c r="E68" s="57"/>
      <c r="F68" s="2901"/>
      <c r="G68" s="2901"/>
      <c r="H68" s="2903"/>
      <c r="I68" s="31"/>
      <c r="K68" s="344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68" t="s">
        <v>1596</v>
      </c>
      <c r="B70" s="3469"/>
      <c r="C70" s="3469"/>
      <c r="D70" s="3469"/>
      <c r="E70" s="3469"/>
      <c r="F70" s="3469"/>
      <c r="G70" s="3469"/>
      <c r="H70" s="346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66" t="s">
        <v>1576</v>
      </c>
      <c r="B71" s="346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789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9" t="s">
        <v>1606</v>
      </c>
      <c r="F76" s="3487"/>
      <c r="G76" s="3487"/>
      <c r="H76" s="350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35" t="s">
        <v>1611</v>
      </c>
      <c r="F78" s="3436"/>
      <c r="G78" s="3436"/>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784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469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68" t="s">
        <v>1615</v>
      </c>
      <c r="B83" s="3469"/>
      <c r="C83" s="3469"/>
      <c r="D83" s="3469"/>
      <c r="E83" s="3469"/>
      <c r="F83" s="3469"/>
      <c r="G83" s="3469"/>
      <c r="H83" s="346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66" t="s">
        <v>1576</v>
      </c>
      <c r="B84" s="346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5" t="s">
        <v>2493</v>
      </c>
      <c r="H90" s="347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5" t="s">
        <v>1623</v>
      </c>
      <c r="F91" s="3436"/>
      <c r="G91" s="343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5" t="s">
        <v>1626</v>
      </c>
      <c r="F92" s="3436"/>
      <c r="G92" s="3436"/>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35" t="s">
        <v>1611</v>
      </c>
      <c r="F93" s="3436"/>
      <c r="G93" s="3436"/>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5" t="s">
        <v>1628</v>
      </c>
      <c r="F94" s="3436"/>
      <c r="G94" s="3436"/>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784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469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453" t="s">
        <v>1630</v>
      </c>
      <c r="B99" s="3454"/>
      <c r="C99" s="3454"/>
      <c r="D99" s="3455"/>
      <c r="E99" s="1389"/>
      <c r="F99" s="3463" t="s">
        <v>1631</v>
      </c>
      <c r="G99" s="3464"/>
      <c r="H99" s="3464"/>
      <c r="I99" s="3465"/>
      <c r="J99" s="2779"/>
    </row>
    <row r="100" spans="1:36" ht="15">
      <c r="A100" s="3470" t="s">
        <v>1632</v>
      </c>
      <c r="B100" s="3471"/>
      <c r="C100" s="1235" t="str">
        <f>C4</f>
        <v>比较法-办公</v>
      </c>
      <c r="D100" s="2727" t="str">
        <f>D4</f>
        <v>收益法</v>
      </c>
      <c r="E100" s="1389"/>
      <c r="F100" s="3472" t="s">
        <v>2537</v>
      </c>
      <c r="G100" s="3474"/>
      <c r="H100" s="3472" t="s">
        <v>2538</v>
      </c>
      <c r="I100" s="3473"/>
      <c r="J100" s="2780"/>
    </row>
    <row r="101" spans="1:36" ht="13.2">
      <c r="A101" s="3489" t="s">
        <v>2570</v>
      </c>
      <c r="B101" s="2235" t="str">
        <f>IF(H19="元","总价（元）","总价（万元）")</f>
        <v>总价（万元）</v>
      </c>
      <c r="C101" s="1235">
        <f ca="1">C19</f>
        <v>907</v>
      </c>
      <c r="D101" s="2727">
        <f ca="1">D19</f>
        <v>748</v>
      </c>
      <c r="E101" s="1389"/>
      <c r="F101" s="3472" t="str">
        <f>项目基本情况!I1</f>
        <v>北京市房地产</v>
      </c>
      <c r="G101" s="3474"/>
      <c r="H101" s="3476">
        <f>项目基本情况!C12</f>
        <v>306.2</v>
      </c>
      <c r="I101" s="3473"/>
      <c r="J101" s="2780"/>
    </row>
    <row r="102" spans="1:36" ht="13.2">
      <c r="A102" s="3489"/>
      <c r="B102" s="2235" t="s">
        <v>2571</v>
      </c>
      <c r="C102" s="2728">
        <f ca="1">C20</f>
        <v>29621</v>
      </c>
      <c r="D102" s="2729">
        <f ca="1">D20</f>
        <v>24434</v>
      </c>
      <c r="E102" s="1389"/>
      <c r="F102" s="3459" t="s">
        <v>2567</v>
      </c>
      <c r="G102" s="3460"/>
      <c r="H102" s="2737" t="str">
        <f>C106</f>
        <v>总价（万元）</v>
      </c>
      <c r="I102" s="2738">
        <f ca="1">H121</f>
        <v>828</v>
      </c>
      <c r="J102" s="2780"/>
    </row>
    <row r="103" spans="1:36" ht="13.2">
      <c r="A103" s="3489" t="s">
        <v>2572</v>
      </c>
      <c r="B103" s="2173" t="str">
        <f>B101</f>
        <v>总价（万元）</v>
      </c>
      <c r="C103" s="2732">
        <f ca="1">H121</f>
        <v>828</v>
      </c>
      <c r="D103" s="2730"/>
      <c r="E103" s="1389"/>
      <c r="F103" s="3459"/>
      <c r="G103" s="3460"/>
      <c r="H103" s="2737" t="s">
        <v>2540</v>
      </c>
      <c r="I103" s="52">
        <f ca="1">I121</f>
        <v>27028</v>
      </c>
      <c r="J103" s="2764"/>
    </row>
    <row r="104" spans="1:36" ht="13.8" thickBot="1">
      <c r="A104" s="3490"/>
      <c r="B104" s="2734" t="s">
        <v>2571</v>
      </c>
      <c r="C104" s="2735">
        <f ca="1">I121</f>
        <v>27028</v>
      </c>
      <c r="D104" s="2736"/>
      <c r="E104" s="1389"/>
      <c r="F104" s="3459"/>
      <c r="G104" s="3460"/>
      <c r="H104" s="3491"/>
      <c r="I104" s="3492"/>
      <c r="J104" s="2781"/>
    </row>
    <row r="105" spans="1:36" ht="13.8">
      <c r="A105" s="3453" t="s">
        <v>1633</v>
      </c>
      <c r="B105" s="3454"/>
      <c r="C105" s="3454"/>
      <c r="D105" s="3455"/>
      <c r="E105" s="1389"/>
      <c r="F105" s="3495" t="s">
        <v>2541</v>
      </c>
      <c r="G105" s="3496"/>
      <c r="H105" s="2739" t="str">
        <f>C108</f>
        <v>总额（万元）</v>
      </c>
      <c r="I105" s="2738">
        <f>SUMIF(I106:I108,"&lt;9E307")</f>
        <v>0</v>
      </c>
      <c r="J105" s="2780"/>
    </row>
    <row r="106" spans="1:36" ht="13.8">
      <c r="A106" s="3459" t="s">
        <v>2564</v>
      </c>
      <c r="B106" s="3460"/>
      <c r="C106" s="2737" t="str">
        <f>B101</f>
        <v>总价（万元）</v>
      </c>
      <c r="D106" s="2738">
        <f ca="1">H121</f>
        <v>828</v>
      </c>
      <c r="E106" s="1389"/>
      <c r="F106" s="3461" t="s">
        <v>2542</v>
      </c>
      <c r="G106" s="346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59"/>
      <c r="B107" s="3460"/>
      <c r="C107" s="2737" t="s">
        <v>2565</v>
      </c>
      <c r="D107" s="52">
        <f ca="1">I121</f>
        <v>27028</v>
      </c>
      <c r="E107" s="1389"/>
      <c r="F107" s="3461" t="s">
        <v>2543</v>
      </c>
      <c r="G107" s="3462"/>
      <c r="H107" s="2739" t="str">
        <f>C110</f>
        <v>总额（万元）</v>
      </c>
      <c r="I107" s="52">
        <f>C37</f>
        <v>0</v>
      </c>
      <c r="J107" s="2764"/>
    </row>
    <row r="108" spans="1:36" ht="13.2">
      <c r="A108" s="3530" t="s">
        <v>2541</v>
      </c>
      <c r="B108" s="3531"/>
      <c r="C108" s="2739" t="str">
        <f>IF(H19="元","总额（元）","总额（万元）")</f>
        <v>总额（万元）</v>
      </c>
      <c r="D108" s="2738">
        <f>IF(D36="正常操作",I106+I107+I108,I107+I108)</f>
        <v>0</v>
      </c>
      <c r="E108" s="1389"/>
      <c r="F108" s="3461" t="s">
        <v>2568</v>
      </c>
      <c r="G108" s="3462"/>
      <c r="H108" s="2739" t="str">
        <f>C111</f>
        <v>总额（万元）</v>
      </c>
      <c r="I108" s="52">
        <f>C38</f>
        <v>0</v>
      </c>
      <c r="J108" s="2764"/>
    </row>
    <row r="109" spans="1:36" ht="13.2">
      <c r="A109" s="3461" t="s">
        <v>2542</v>
      </c>
      <c r="B109" s="3462"/>
      <c r="C109" s="2739" t="str">
        <f>C108</f>
        <v>总额（万元）</v>
      </c>
      <c r="D109" s="52">
        <f>IF(D36="同一抵押权人同一抵押物续贷",C36&amp;"（未扣减，详见特别提示）",C36)</f>
        <v>0</v>
      </c>
      <c r="E109" s="1389"/>
      <c r="F109" s="3459"/>
      <c r="G109" s="3460"/>
      <c r="H109" s="3493"/>
      <c r="I109" s="3494"/>
      <c r="J109" s="2782"/>
    </row>
    <row r="110" spans="1:36" ht="28.5" customHeight="1">
      <c r="A110" s="3461" t="s">
        <v>2566</v>
      </c>
      <c r="B110" s="3462"/>
      <c r="C110" s="2739" t="str">
        <f>C108</f>
        <v>总额（万元）</v>
      </c>
      <c r="D110" s="52">
        <f>C37</f>
        <v>0</v>
      </c>
      <c r="E110" s="1389"/>
      <c r="F110" s="3442" t="str">
        <f>IF(项目基本情况!F5="已注销","——","3.房地产抵押价值")</f>
        <v>3.房地产抵押价值</v>
      </c>
      <c r="G110" s="3443"/>
      <c r="H110" s="2725" t="str">
        <f>C112</f>
        <v>总价（万元）</v>
      </c>
      <c r="I110" s="2738">
        <f ca="1">IF(F110="——","——",I102-I105)</f>
        <v>828</v>
      </c>
      <c r="J110" s="2780"/>
    </row>
    <row r="111" spans="1:36" ht="13.2">
      <c r="A111" s="3461" t="s">
        <v>2545</v>
      </c>
      <c r="B111" s="3462"/>
      <c r="C111" s="2739" t="str">
        <f>C108</f>
        <v>总额（万元）</v>
      </c>
      <c r="D111" s="52">
        <f>C38</f>
        <v>0</v>
      </c>
      <c r="E111" s="1389"/>
      <c r="F111" s="3444"/>
      <c r="G111" s="3445"/>
      <c r="H111" s="2737" t="s">
        <v>2540</v>
      </c>
      <c r="I111" s="2741">
        <f ca="1">D113</f>
        <v>27028</v>
      </c>
      <c r="J111" s="2783"/>
    </row>
    <row r="112" spans="1:36" ht="26.25" customHeight="1">
      <c r="A112" s="3459" t="str">
        <f>IF(项目基本情况!F5="已注销","——","3.房地产抵押价值")</f>
        <v>3.房地产抵押价值</v>
      </c>
      <c r="B112" s="3460"/>
      <c r="C112" s="2737" t="str">
        <f>B101</f>
        <v>总价（万元）</v>
      </c>
      <c r="D112" s="2738">
        <f ca="1">IF(A112="——","——",D106-D108)</f>
        <v>828</v>
      </c>
      <c r="E112" s="1389"/>
      <c r="F112" s="3442" t="str">
        <f>IF(项目基本情况!F5="已注销及未注销","4.抵押担保权已注销时的房地产抵押价值",IF(项目基本情况!F5="已注销","3.抵押担保权已注销时的房地产抵押价值","——"))</f>
        <v>——</v>
      </c>
      <c r="G112" s="3443"/>
      <c r="H112" s="2725" t="str">
        <f>C114</f>
        <v>总价（万元）</v>
      </c>
      <c r="I112" s="2738" t="str">
        <f>IF(F112="——","——",I102-I107-I108)</f>
        <v>——</v>
      </c>
      <c r="J112" s="2780"/>
    </row>
    <row r="113" spans="1:16" ht="13.2">
      <c r="A113" s="3459"/>
      <c r="B113" s="3460"/>
      <c r="C113" s="2737" t="s">
        <v>2533</v>
      </c>
      <c r="D113" s="52">
        <f ca="1">ROUND(IF(D112=D106,D107,IF(H19="元",D112/项目基本情况!C12,D112*10000/项目基本情况!C12)),0)</f>
        <v>27028</v>
      </c>
      <c r="E113" s="1389"/>
      <c r="F113" s="3444"/>
      <c r="G113" s="3445"/>
      <c r="H113" s="2737" t="s">
        <v>2569</v>
      </c>
      <c r="I113" s="52" t="str">
        <f>D115</f>
        <v>——</v>
      </c>
      <c r="J113" s="2764"/>
    </row>
    <row r="114" spans="1:16" ht="13.2">
      <c r="A114" s="3459" t="str">
        <f>IF(项目基本情况!F5="已注销及未注销","4.抵押担保权已注销时的房地产抵押价值",IF(项目基本情况!F5="已注销","3.抵押担保权已注销时的房地产抵押价值","——"))</f>
        <v>——</v>
      </c>
      <c r="B114" s="3460"/>
      <c r="C114" s="2737" t="str">
        <f>B101</f>
        <v>总价（万元）</v>
      </c>
      <c r="D114" s="2738" t="str">
        <f>IF(A114="——","——",D106-D110-D111)</f>
        <v>——</v>
      </c>
      <c r="E114" s="1389"/>
      <c r="F114" s="3442" t="str">
        <f>IF(项目基本情况!G5="抵押净值",IF(OR(项目基本情况!F5="已注销",项目基本情况!F5="房地产抵押价值"),"4.抵押净值","5.抵押净值"),"——")</f>
        <v>——</v>
      </c>
      <c r="G114" s="3443"/>
      <c r="H114" s="2737" t="str">
        <f>C116</f>
        <v>总价（万元）</v>
      </c>
      <c r="I114" s="2738" t="str">
        <f>IF(F114="——","——",O59)</f>
        <v>——</v>
      </c>
      <c r="J114" s="2780"/>
    </row>
    <row r="115" spans="1:16" ht="13.8" thickBot="1">
      <c r="A115" s="3459"/>
      <c r="B115" s="3460"/>
      <c r="C115" s="2737" t="s">
        <v>2533</v>
      </c>
      <c r="D115" s="52" t="str">
        <f>IF(A114="——","——",ROUND(IF(D114=D106,D107,IF(H19="元",D114/项目基本情况!C12,D114*10000/项目基本情况!C12)),0))</f>
        <v>——</v>
      </c>
      <c r="E115" s="1389"/>
      <c r="F115" s="3522"/>
      <c r="G115" s="3523"/>
      <c r="H115" s="2742" t="s">
        <v>2533</v>
      </c>
      <c r="I115" s="2726" t="str">
        <f ca="1">D117</f>
        <v>——</v>
      </c>
      <c r="J115" s="2764"/>
    </row>
    <row r="116" spans="1:16" ht="15.6">
      <c r="A116" s="3459" t="str">
        <f>IF(项目基本情况!G5="抵押净值",IF(OR(项目基本情况!F5="已注销",项目基本情况!F5="房地产抵押价值"),"4.抵押净值","5.抵押净值"),"——")</f>
        <v>——</v>
      </c>
      <c r="B116" s="3460"/>
      <c r="C116" s="2737" t="str">
        <f>B101</f>
        <v>总价（万元）</v>
      </c>
      <c r="D116" s="2738" t="str">
        <f>IF(A116="——","——",O59)</f>
        <v>——</v>
      </c>
      <c r="E116" s="1389"/>
      <c r="F116" s="3437"/>
      <c r="G116" s="3437"/>
      <c r="H116" s="3478"/>
      <c r="I116" s="3478"/>
      <c r="J116" s="2784"/>
      <c r="O116" s="32"/>
      <c r="P116" s="32"/>
    </row>
    <row r="117" spans="1:16" ht="13.8" thickBot="1">
      <c r="A117" s="3528"/>
      <c r="B117" s="3529"/>
      <c r="C117" s="2742" t="s">
        <v>2533</v>
      </c>
      <c r="D117" s="2726" t="str">
        <f ca="1">IF(D116=D112,D113,IF(A116="——","——",O61))</f>
        <v>——</v>
      </c>
      <c r="E117" s="1389"/>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5"/>
      <c r="O117" s="32"/>
      <c r="P117" s="32"/>
    </row>
    <row r="118" spans="1:16" ht="14.4">
      <c r="A118" s="3479" t="s">
        <v>1634</v>
      </c>
      <c r="B118" s="3480"/>
      <c r="C118" s="3480"/>
      <c r="D118" s="3480"/>
      <c r="E118" s="3480"/>
      <c r="F118" s="3480"/>
      <c r="G118" s="3480"/>
      <c r="H118" s="3480"/>
      <c r="I118" s="3480"/>
      <c r="J118" s="2786"/>
    </row>
    <row r="119" spans="1:16" ht="13.2">
      <c r="A119" s="3452" t="s">
        <v>2551</v>
      </c>
      <c r="B119" s="3450" t="s">
        <v>2561</v>
      </c>
      <c r="C119" s="3450" t="s">
        <v>2562</v>
      </c>
      <c r="D119" s="3457" t="s">
        <v>2553</v>
      </c>
      <c r="E119" s="3458"/>
      <c r="F119" s="3448" t="s">
        <v>2563</v>
      </c>
      <c r="G119" s="3448"/>
      <c r="H119" s="3448" t="s">
        <v>2554</v>
      </c>
      <c r="I119" s="3449"/>
      <c r="J119" s="2764"/>
    </row>
    <row r="120" spans="1:16" ht="13.2">
      <c r="A120" s="3452"/>
      <c r="B120" s="3451"/>
      <c r="C120" s="3451"/>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306.2</v>
      </c>
      <c r="C121" s="2020">
        <f>项目基本情况!C13</f>
        <v>0</v>
      </c>
      <c r="D121" s="2020">
        <f ca="1">ROUND(IF(B32="总价",C34,IF('数据-取费表'!B3="万元",E121*B121/10000,E121*B121)),0)</f>
        <v>685</v>
      </c>
      <c r="E121" s="2020">
        <f ca="1">ROUND(IF(B32="楼面单价",C34,IF(H19="元",D121/B121,D121*10000/B121)),0)</f>
        <v>22379</v>
      </c>
      <c r="F121" s="2020">
        <f ca="1">ROUND(IF(B32="总价",C35,IF('数据-取费表'!B3="万元",G121*B121/10000,G121*B121)),0)</f>
        <v>142</v>
      </c>
      <c r="G121" s="2020">
        <f ca="1">ROUND(IF(B32="楼面单价",C35,IF(H19="元",F121/B121,F121*10000/B121)),0)</f>
        <v>4649</v>
      </c>
      <c r="H121" s="2020">
        <f ca="1">ROUND(IF(B32="总价",C32,IF('数据-取费表'!B3="万元",I121*B121/10000,I121*B121)),0)</f>
        <v>828</v>
      </c>
      <c r="I121" s="52">
        <f ca="1">ROUND(IF(B32="楼面单价",C32,IF(H19="元",H121/B121,H121*10000/B121)),0)</f>
        <v>27028</v>
      </c>
      <c r="J121" s="2764"/>
    </row>
    <row r="122" spans="1:16" ht="13.2">
      <c r="A122" s="3452" t="s">
        <v>2557</v>
      </c>
      <c r="B122" s="3448"/>
      <c r="C122" s="3448"/>
      <c r="D122" s="3483" t="str">
        <f ca="1">IF(H19="元",NUMBERSTRING(INT(D121),2)&amp;"元整",NUMBERSTRING(INT(D121*10000),2)&amp;"元整")</f>
        <v>陆佰捌拾伍万元整</v>
      </c>
      <c r="E122" s="3484"/>
      <c r="F122" s="3483" t="str">
        <f ca="1">IF(H19="元",NUMBERSTRING(INT(F121),2)&amp;"元整",NUMBERSTRING(INT(F121*10000),2)&amp;"元整")</f>
        <v>壹佰肆拾贰万元整</v>
      </c>
      <c r="G122" s="3484"/>
      <c r="H122" s="3483" t="str">
        <f ca="1">IF(H19="元",NUMBERSTRING(INT(H121),2)&amp;"元整",NUMBERSTRING(INT(H121*10000),2)&amp;"元整")</f>
        <v>捌佰贰拾捌万元整</v>
      </c>
      <c r="I122" s="3532"/>
      <c r="J122" s="2787"/>
    </row>
    <row r="123" spans="1:16" ht="13.2">
      <c r="A123" s="3472" t="str">
        <f>IF(项目基本情况!D5="房地产市场价值","——",MID(A108,3,LEN(A108)-2))</f>
        <v>估价师所知悉的法定优先受偿款</v>
      </c>
      <c r="B123" s="3485"/>
      <c r="C123" s="3474"/>
      <c r="D123" s="3476">
        <f>I105</f>
        <v>0</v>
      </c>
      <c r="E123" s="3485"/>
      <c r="F123" s="3485"/>
      <c r="G123" s="3485"/>
      <c r="H123" s="3485"/>
      <c r="I123" s="3473"/>
      <c r="J123" s="2780"/>
    </row>
    <row r="124" spans="1:16" ht="13.2">
      <c r="A124" s="3486" t="s">
        <v>2557</v>
      </c>
      <c r="B124" s="3487"/>
      <c r="C124" s="3488"/>
      <c r="D124" s="3524">
        <f>H109</f>
        <v>0</v>
      </c>
      <c r="E124" s="3525"/>
      <c r="F124" s="3525"/>
      <c r="G124" s="3525"/>
      <c r="H124" s="3525"/>
      <c r="I124" s="3526"/>
      <c r="J124" s="2788"/>
    </row>
    <row r="125" spans="1:16" ht="13.2">
      <c r="A125" s="3459" t="str">
        <f>IF(项目基本情况!D5="房地产市场价值","——",MID(A112,3,LEN(A112)-2))</f>
        <v>房地产抵押价值</v>
      </c>
      <c r="B125" s="3460"/>
      <c r="C125" s="3460"/>
      <c r="D125" s="3476">
        <f ca="1">I110</f>
        <v>828</v>
      </c>
      <c r="E125" s="3485"/>
      <c r="F125" s="3485"/>
      <c r="G125" s="3485"/>
      <c r="H125" s="3485"/>
      <c r="I125" s="3473"/>
      <c r="J125" s="2780"/>
    </row>
    <row r="126" spans="1:16" ht="13.2">
      <c r="A126" s="3452" t="s">
        <v>2557</v>
      </c>
      <c r="B126" s="3448"/>
      <c r="C126" s="3448"/>
      <c r="D126" s="3524">
        <f ca="1">I111</f>
        <v>27028</v>
      </c>
      <c r="E126" s="3525"/>
      <c r="F126" s="3525"/>
      <c r="G126" s="3525"/>
      <c r="H126" s="3525"/>
      <c r="I126" s="3526"/>
      <c r="J126" s="2788"/>
    </row>
    <row r="127" spans="1:16" ht="13.8" thickBot="1">
      <c r="A127" s="3459" t="str">
        <f>IF(项目基本情况!D5="房地产市场价值","——",MID(A114,3,LEN(A114)-2))</f>
        <v/>
      </c>
      <c r="B127" s="3460"/>
      <c r="C127" s="3460"/>
      <c r="D127" s="3432" t="str">
        <f>I112</f>
        <v>——</v>
      </c>
      <c r="E127" s="3433"/>
      <c r="F127" s="3433"/>
      <c r="G127" s="3433"/>
      <c r="H127" s="3433"/>
      <c r="I127" s="3434"/>
      <c r="J127" s="2780"/>
    </row>
    <row r="128" spans="1:16" ht="14.4" thickTop="1" thickBot="1">
      <c r="A128" s="3452" t="s">
        <v>2557</v>
      </c>
      <c r="B128" s="3448"/>
      <c r="C128" s="3499"/>
      <c r="D128" s="3477" t="str">
        <f>I113</f>
        <v>——</v>
      </c>
      <c r="E128" s="3477"/>
      <c r="F128" s="3477"/>
      <c r="G128" s="3477"/>
      <c r="H128" s="3477"/>
      <c r="I128" s="3477"/>
      <c r="J128" s="2788"/>
    </row>
    <row r="129" spans="1:10" ht="14.4" thickTop="1" thickBot="1">
      <c r="A129" s="3459" t="str">
        <f>IF(项目基本情况!D5="房地产市场价值","——",MID(F114,3,LEN(F114)-2))</f>
        <v/>
      </c>
      <c r="B129" s="3460"/>
      <c r="C129" s="3476"/>
      <c r="D129" s="3527" t="str">
        <f>I114</f>
        <v>——</v>
      </c>
      <c r="E129" s="3527"/>
      <c r="F129" s="3527"/>
      <c r="G129" s="3527"/>
      <c r="H129" s="3527"/>
      <c r="I129" s="3527"/>
      <c r="J129" s="2780"/>
    </row>
    <row r="130" spans="1:10" ht="14.4" thickTop="1" thickBot="1">
      <c r="A130" s="3515" t="s">
        <v>2557</v>
      </c>
      <c r="B130" s="3516"/>
      <c r="C130" s="3516"/>
      <c r="D130" s="3533">
        <f>H116</f>
        <v>0</v>
      </c>
      <c r="E130" s="3534"/>
      <c r="F130" s="3534"/>
      <c r="G130" s="3534"/>
      <c r="H130" s="3534"/>
      <c r="I130" s="3535"/>
      <c r="J130" s="2788"/>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8"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42" t="s">
        <v>1643</v>
      </c>
      <c r="B2" s="3542"/>
      <c r="C2" s="3542"/>
      <c r="D2" s="3542"/>
      <c r="E2" s="3542"/>
      <c r="F2" s="3542"/>
      <c r="G2" s="3542"/>
      <c r="H2" s="3542"/>
      <c r="I2" s="3542"/>
      <c r="J2" s="2793"/>
    </row>
    <row r="3" spans="1:15" ht="13.2">
      <c r="A3" s="3502" t="s">
        <v>1471</v>
      </c>
      <c r="B3" s="3503"/>
      <c r="C3" s="3503"/>
      <c r="D3" s="3503"/>
      <c r="E3" s="3503"/>
      <c r="F3" s="3503"/>
      <c r="G3" s="3503"/>
      <c r="H3" s="3503"/>
      <c r="I3" s="3503"/>
      <c r="J3" s="2763"/>
    </row>
    <row r="4" spans="1:15" ht="14.4">
      <c r="A4" s="2631" t="s">
        <v>1472</v>
      </c>
      <c r="B4" s="2631" t="s">
        <v>1473</v>
      </c>
      <c r="C4" s="2632"/>
      <c r="D4" s="2632"/>
      <c r="E4" s="3499" t="s">
        <v>1644</v>
      </c>
      <c r="F4" s="3487"/>
      <c r="G4" s="3487"/>
      <c r="H4" s="3487"/>
      <c r="I4" s="348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98" t="s">
        <v>1475</v>
      </c>
      <c r="B5" s="3498">
        <v>25</v>
      </c>
      <c r="C5" s="3504"/>
      <c r="D5" s="3501"/>
      <c r="E5" s="12" t="s">
        <v>1476</v>
      </c>
      <c r="F5" s="2017"/>
      <c r="G5" s="2017"/>
      <c r="H5" s="2017"/>
      <c r="I5" s="2012"/>
      <c r="J5" s="2764"/>
    </row>
    <row r="6" spans="1:15" ht="13.2">
      <c r="A6" s="3498"/>
      <c r="B6" s="3498"/>
      <c r="C6" s="3505"/>
      <c r="D6" s="3501"/>
      <c r="E6" s="12" t="s">
        <v>1477</v>
      </c>
      <c r="F6" s="2017"/>
      <c r="G6" s="2017"/>
      <c r="H6" s="2017"/>
      <c r="I6" s="2012"/>
      <c r="J6" s="2764"/>
    </row>
    <row r="7" spans="1:15" ht="13.2">
      <c r="A7" s="3498"/>
      <c r="B7" s="3498"/>
      <c r="C7" s="3506"/>
      <c r="D7" s="3501"/>
      <c r="E7" s="12" t="s">
        <v>1478</v>
      </c>
      <c r="F7" s="2017"/>
      <c r="G7" s="2017"/>
      <c r="H7" s="2017"/>
      <c r="I7" s="2012"/>
      <c r="J7" s="2764"/>
    </row>
    <row r="8" spans="1:15" ht="13.2">
      <c r="A8" s="3498" t="s">
        <v>1479</v>
      </c>
      <c r="B8" s="3498">
        <v>15</v>
      </c>
      <c r="C8" s="3504"/>
      <c r="D8" s="3501"/>
      <c r="E8" s="12" t="s">
        <v>1480</v>
      </c>
      <c r="F8" s="2017"/>
      <c r="G8" s="2017"/>
      <c r="H8" s="2017"/>
      <c r="I8" s="2012"/>
      <c r="J8" s="2764"/>
    </row>
    <row r="9" spans="1:15" ht="13.2">
      <c r="A9" s="3498"/>
      <c r="B9" s="3498"/>
      <c r="C9" s="3506"/>
      <c r="D9" s="3501"/>
      <c r="E9" s="12" t="s">
        <v>1481</v>
      </c>
      <c r="F9" s="2017"/>
      <c r="G9" s="2017"/>
      <c r="H9" s="2017"/>
      <c r="I9" s="2012"/>
      <c r="J9" s="2764"/>
    </row>
    <row r="10" spans="1:15" ht="13.2">
      <c r="A10" s="3498" t="s">
        <v>1482</v>
      </c>
      <c r="B10" s="3498">
        <v>15</v>
      </c>
      <c r="C10" s="3504"/>
      <c r="D10" s="3501"/>
      <c r="E10" s="12" t="s">
        <v>1483</v>
      </c>
      <c r="F10" s="2017"/>
      <c r="G10" s="2017"/>
      <c r="H10" s="2017"/>
      <c r="I10" s="2012"/>
      <c r="J10" s="2764"/>
    </row>
    <row r="11" spans="1:15" ht="13.2">
      <c r="A11" s="3498"/>
      <c r="B11" s="3498"/>
      <c r="C11" s="3506"/>
      <c r="D11" s="3501"/>
      <c r="E11" s="12" t="s">
        <v>1484</v>
      </c>
      <c r="F11" s="2017"/>
      <c r="G11" s="2017"/>
      <c r="H11" s="2017"/>
      <c r="I11" s="2012"/>
      <c r="J11" s="2764"/>
    </row>
    <row r="12" spans="1:15" ht="13.2">
      <c r="A12" s="3498" t="s">
        <v>1485</v>
      </c>
      <c r="B12" s="3498">
        <v>15</v>
      </c>
      <c r="C12" s="3504"/>
      <c r="D12" s="3501"/>
      <c r="E12" s="12" t="s">
        <v>1486</v>
      </c>
      <c r="F12" s="2017"/>
      <c r="G12" s="2017"/>
      <c r="H12" s="2017"/>
      <c r="I12" s="2012"/>
      <c r="J12" s="2764"/>
    </row>
    <row r="13" spans="1:15" ht="13.2">
      <c r="A13" s="3498"/>
      <c r="B13" s="3498"/>
      <c r="C13" s="3506"/>
      <c r="D13" s="3501"/>
      <c r="E13" s="12" t="s">
        <v>1487</v>
      </c>
      <c r="F13" s="2017"/>
      <c r="G13" s="2017"/>
      <c r="H13" s="2017"/>
      <c r="I13" s="2012"/>
      <c r="J13" s="2764"/>
    </row>
    <row r="14" spans="1:15" ht="13.2">
      <c r="A14" s="3498" t="s">
        <v>1488</v>
      </c>
      <c r="B14" s="3498">
        <v>30</v>
      </c>
      <c r="C14" s="3504"/>
      <c r="D14" s="3501"/>
      <c r="E14" s="12" t="s">
        <v>1489</v>
      </c>
      <c r="F14" s="2017"/>
      <c r="G14" s="2017"/>
      <c r="H14" s="2017"/>
      <c r="I14" s="2012"/>
      <c r="J14" s="2764"/>
    </row>
    <row r="15" spans="1:15" ht="13.2">
      <c r="A15" s="3498"/>
      <c r="B15" s="3498"/>
      <c r="C15" s="3505"/>
      <c r="D15" s="3501"/>
      <c r="E15" s="12" t="s">
        <v>1490</v>
      </c>
      <c r="F15" s="2017"/>
      <c r="G15" s="2017"/>
      <c r="H15" s="2017"/>
      <c r="I15" s="2012"/>
      <c r="J15" s="2764"/>
    </row>
    <row r="16" spans="1:15" ht="13.2">
      <c r="A16" s="3498"/>
      <c r="B16" s="3498"/>
      <c r="C16" s="3506"/>
      <c r="D16" s="3501"/>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518" t="s">
        <v>2576</v>
      </c>
      <c r="F18" s="3519"/>
      <c r="G18" s="3519"/>
      <c r="H18" s="3519"/>
      <c r="I18" s="3519"/>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64" t="s">
        <v>1647</v>
      </c>
      <c r="B32" s="3564"/>
      <c r="C32" s="3564"/>
      <c r="D32" s="3564"/>
      <c r="E32" s="3564"/>
      <c r="F32" s="3564"/>
      <c r="G32" s="3564"/>
      <c r="H32" s="3564"/>
      <c r="I32" s="356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万元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万元</v>
      </c>
      <c r="E36" s="905"/>
      <c r="F36" s="905"/>
      <c r="G36" s="905"/>
      <c r="H36" s="905"/>
      <c r="I36" s="905"/>
      <c r="J36" s="2765"/>
    </row>
    <row r="37" spans="1:16" ht="15" thickBot="1">
      <c r="A37" s="1395"/>
      <c r="B37" s="1397" t="s">
        <v>1655</v>
      </c>
      <c r="C37" s="2701">
        <f>IF('数据-取费表'!B3="万元",典型户型修正!Y25,典型户型修正!X25)</f>
        <v>0</v>
      </c>
      <c r="D37" s="2481" t="str">
        <f>D34</f>
        <v>万元</v>
      </c>
      <c r="E37" s="905"/>
      <c r="F37" s="905"/>
      <c r="G37" s="905"/>
      <c r="H37" s="905"/>
      <c r="I37" s="905"/>
      <c r="J37" s="2765"/>
    </row>
    <row r="38" spans="1:16" ht="15" thickBot="1">
      <c r="A38" s="3507" t="s">
        <v>1656</v>
      </c>
      <c r="B38" s="1396" t="s">
        <v>1657</v>
      </c>
      <c r="C38" s="2675"/>
      <c r="D38" s="2676"/>
      <c r="E38" s="1608"/>
      <c r="F38" s="1608"/>
      <c r="G38" s="905"/>
      <c r="H38" s="905"/>
      <c r="I38" s="905"/>
      <c r="J38" s="2765"/>
    </row>
    <row r="39" spans="1:16" ht="15" thickBot="1">
      <c r="A39" s="3512"/>
      <c r="B39" s="2022" t="s">
        <v>1658</v>
      </c>
      <c r="C39" s="2677"/>
      <c r="D39" s="1239"/>
      <c r="E39" s="1239"/>
      <c r="F39" s="1608"/>
      <c r="G39" s="1239"/>
      <c r="H39" s="1239"/>
      <c r="I39" s="1239"/>
      <c r="J39" s="2769"/>
    </row>
    <row r="40" spans="1:16" ht="15" thickBot="1">
      <c r="A40" s="3513"/>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2" t="s">
        <v>1669</v>
      </c>
      <c r="B47" s="3433"/>
      <c r="C47" s="3443"/>
      <c r="D47" s="246">
        <f>ROUND(I104*F47,0)</f>
        <v>0</v>
      </c>
      <c r="E47" s="1470" t="s">
        <v>1670</v>
      </c>
      <c r="F47" s="2479">
        <v>1</v>
      </c>
      <c r="G47" s="2480" t="s">
        <v>1671</v>
      </c>
      <c r="H47" s="905"/>
      <c r="I47" s="905"/>
      <c r="J47" s="2765"/>
      <c r="K47" s="3537" t="s">
        <v>1527</v>
      </c>
      <c r="L47" s="3537"/>
      <c r="M47" s="3537"/>
      <c r="N47" s="3537"/>
      <c r="O47" s="3537"/>
      <c r="P47" s="3537"/>
    </row>
    <row r="48" spans="1:16" ht="14.25" customHeight="1">
      <c r="A48" s="3509" t="s">
        <v>1528</v>
      </c>
      <c r="B48" s="3510"/>
      <c r="C48" s="3510"/>
      <c r="D48" s="3510"/>
      <c r="E48" s="3510"/>
      <c r="F48" s="3510"/>
      <c r="G48" s="3511"/>
      <c r="H48" s="2897"/>
      <c r="I48" s="905"/>
      <c r="J48" s="2765"/>
      <c r="K48" s="2431">
        <v>1</v>
      </c>
      <c r="L48" s="3538" t="s">
        <v>1529</v>
      </c>
      <c r="M48" s="3538"/>
      <c r="N48" s="3539"/>
      <c r="O48" s="3539"/>
      <c r="P48" s="3539"/>
    </row>
    <row r="49" spans="1:17" ht="12" customHeight="1">
      <c r="A49" s="38" t="s">
        <v>1530</v>
      </c>
      <c r="B49" s="39"/>
      <c r="C49" s="40"/>
      <c r="D49" s="1028" t="s">
        <v>1531</v>
      </c>
      <c r="E49" s="235" t="s">
        <v>1532</v>
      </c>
      <c r="F49" s="41" t="s">
        <v>1533</v>
      </c>
      <c r="G49" s="2482" t="s">
        <v>1534</v>
      </c>
      <c r="H49" s="2897"/>
      <c r="I49" s="905"/>
      <c r="J49" s="2765"/>
      <c r="K49" s="2431">
        <v>2</v>
      </c>
      <c r="L49" s="3538" t="s">
        <v>1535</v>
      </c>
      <c r="M49" s="3538"/>
      <c r="N49" s="3541">
        <f>'数据-取费表'!B2</f>
        <v>44691</v>
      </c>
      <c r="O49" s="3541"/>
      <c r="P49" s="3541"/>
    </row>
    <row r="50" spans="1:17" ht="26.4">
      <c r="A50" s="3514" t="s">
        <v>1536</v>
      </c>
      <c r="B50" s="3448"/>
      <c r="C50" s="344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8" t="s">
        <v>1539</v>
      </c>
      <c r="M50" s="3538"/>
      <c r="N50" s="3543">
        <f>I104</f>
        <v>0</v>
      </c>
      <c r="O50" s="3543"/>
      <c r="P50" s="3543"/>
    </row>
    <row r="51" spans="1:17" ht="25.5" customHeight="1">
      <c r="A51" s="2019" t="s">
        <v>1540</v>
      </c>
      <c r="B51" s="3487" t="s">
        <v>1541</v>
      </c>
      <c r="C51" s="3487"/>
      <c r="D51" s="2486">
        <v>0</v>
      </c>
      <c r="E51" s="261" t="s">
        <v>1542</v>
      </c>
      <c r="F51" s="2487" t="s">
        <v>48</v>
      </c>
      <c r="G51" s="3429"/>
      <c r="H51" s="2488" t="s">
        <v>2500</v>
      </c>
      <c r="I51" s="2489"/>
      <c r="J51" s="2773"/>
      <c r="K51" s="2431">
        <v>4</v>
      </c>
      <c r="L51" s="3538" t="str">
        <f>IF(项目基本情况!F5="房地产抵押价值","房地产抵押价值","抵押担保权已注销时的房地产抵押价值")</f>
        <v>抵押担保权已注销时的房地产抵押价值</v>
      </c>
      <c r="M51" s="3538"/>
      <c r="N51" s="3543" t="str">
        <f>IF(项目基本情况!F5="房地产抵押价值",I112,I114)</f>
        <v>——</v>
      </c>
      <c r="O51" s="3543"/>
      <c r="P51" s="3543"/>
    </row>
    <row r="52" spans="1:17" ht="25.5" customHeight="1">
      <c r="A52" s="2009"/>
      <c r="B52" s="3487" t="s">
        <v>1543</v>
      </c>
      <c r="C52" s="3487"/>
      <c r="D52" s="2490"/>
      <c r="E52" s="269"/>
      <c r="F52" s="2487"/>
      <c r="G52" s="3430"/>
      <c r="H52" s="2491" t="s">
        <v>2501</v>
      </c>
      <c r="I52" s="2489"/>
      <c r="J52" s="2773"/>
      <c r="K52" s="3538" t="s">
        <v>1544</v>
      </c>
      <c r="L52" s="3538"/>
      <c r="M52" s="3538"/>
      <c r="N52" s="3538"/>
      <c r="O52" s="3538"/>
      <c r="P52" s="3538"/>
    </row>
    <row r="53" spans="1:17" ht="20.399999999999999" customHeight="1">
      <c r="A53" s="2492"/>
      <c r="B53" s="3487" t="s">
        <v>1545</v>
      </c>
      <c r="C53" s="3487"/>
      <c r="D53" s="1028"/>
      <c r="E53" s="264"/>
      <c r="F53" s="2487"/>
      <c r="G53" s="3431"/>
      <c r="H53" s="2491" t="s">
        <v>2502</v>
      </c>
      <c r="I53" s="2489"/>
      <c r="J53" s="2773"/>
      <c r="K53" s="2432" t="s">
        <v>1546</v>
      </c>
      <c r="L53" s="3538" t="s">
        <v>1547</v>
      </c>
      <c r="M53" s="3538"/>
      <c r="N53" s="2432" t="s">
        <v>1548</v>
      </c>
      <c r="O53" s="2432" t="s">
        <v>1549</v>
      </c>
      <c r="P53" s="2432" t="s">
        <v>1550</v>
      </c>
    </row>
    <row r="54" spans="1:17" ht="24" customHeight="1">
      <c r="A54" s="2010" t="s">
        <v>1551</v>
      </c>
      <c r="B54" s="3487" t="s">
        <v>1552</v>
      </c>
      <c r="C54" s="3487"/>
      <c r="D54" s="1028">
        <f>ROUND(D47*'数据-取费表'!E29/(1+'数据-取费表'!F30),0)</f>
        <v>0</v>
      </c>
      <c r="E54" s="2020" t="s">
        <v>1553</v>
      </c>
      <c r="F54" s="2493">
        <f>'数据-取费表'!E29</f>
        <v>5.6000000000000001E-2</v>
      </c>
      <c r="G54" s="2494"/>
      <c r="H54" s="905"/>
      <c r="I54" s="2898"/>
      <c r="J54" s="2773"/>
      <c r="K54" s="2431">
        <v>1</v>
      </c>
      <c r="L54" s="3540" t="s">
        <v>1554</v>
      </c>
      <c r="M54" s="3540"/>
      <c r="N54" s="2433">
        <f>D50</f>
        <v>0</v>
      </c>
      <c r="O54" s="2431" t="str">
        <f>E50</f>
        <v>销售额×税（费）率</v>
      </c>
      <c r="P54" s="2434">
        <f>F50</f>
        <v>5.6000000000000001E-2</v>
      </c>
    </row>
    <row r="55" spans="1:17" ht="12" customHeight="1">
      <c r="A55" s="2010" t="s">
        <v>1555</v>
      </c>
      <c r="B55" s="3499" t="s">
        <v>2593</v>
      </c>
      <c r="C55" s="3488"/>
      <c r="D55" s="1028">
        <f>ROUND(D47*'数据-取费表'!E29/(1+'数据-取费表'!F30),0)</f>
        <v>0</v>
      </c>
      <c r="E55" s="2020" t="s">
        <v>1553</v>
      </c>
      <c r="F55" s="2493">
        <f>'数据-取费表'!E29</f>
        <v>5.6000000000000001E-2</v>
      </c>
      <c r="G55" s="2494"/>
      <c r="H55" s="905"/>
      <c r="I55" s="2898"/>
      <c r="J55" s="2773"/>
      <c r="K55" s="2431">
        <v>2</v>
      </c>
      <c r="L55" s="3540" t="s">
        <v>1556</v>
      </c>
      <c r="M55" s="3540"/>
      <c r="N55" s="2433">
        <f t="shared" ref="N55:P56" si="1">D57</f>
        <v>0</v>
      </c>
      <c r="O55" s="2431" t="str">
        <f t="shared" si="1"/>
        <v>销售额×税（费）率</v>
      </c>
      <c r="P55" s="2434">
        <f t="shared" si="1"/>
        <v>5.0000000000000001E-4</v>
      </c>
    </row>
    <row r="56" spans="1:17" ht="12" customHeight="1">
      <c r="A56" s="2010" t="s">
        <v>1557</v>
      </c>
      <c r="B56" s="3499" t="s">
        <v>2594</v>
      </c>
      <c r="C56" s="3488"/>
      <c r="D56" s="1028">
        <f>C70</f>
        <v>0</v>
      </c>
      <c r="E56" s="264" t="s">
        <v>1558</v>
      </c>
      <c r="F56" s="2493">
        <f>'数据-取费表'!E29</f>
        <v>5.6000000000000001E-2</v>
      </c>
      <c r="G56" s="2494"/>
      <c r="H56" s="2899"/>
      <c r="I56" s="2898"/>
      <c r="J56" s="2773"/>
      <c r="K56" s="2431">
        <v>3</v>
      </c>
      <c r="L56" s="3540" t="s">
        <v>1559</v>
      </c>
      <c r="M56" s="3540"/>
      <c r="N56" s="2433">
        <f t="shared" si="1"/>
        <v>0</v>
      </c>
      <c r="O56" s="2431" t="str">
        <f t="shared" si="1"/>
        <v>增值额×税（费）率</v>
      </c>
      <c r="P56" s="2435" t="str">
        <f t="shared" si="1"/>
        <v>——</v>
      </c>
    </row>
    <row r="57" spans="1:17" ht="24" customHeight="1">
      <c r="A57" s="3452" t="s">
        <v>1560</v>
      </c>
      <c r="B57" s="3448"/>
      <c r="C57" s="344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0" t="str">
        <f>IF(H61="非个人房产","——","个人所得税")</f>
        <v>个人所得税</v>
      </c>
      <c r="M57" s="3540"/>
      <c r="N57" s="2436">
        <f>D61</f>
        <v>0</v>
      </c>
      <c r="O57" s="2437" t="str">
        <f>E61</f>
        <v>销售额×税（费）率</v>
      </c>
      <c r="P57" s="2438">
        <f>F61</f>
        <v>0.01</v>
      </c>
    </row>
    <row r="58" spans="1:17" ht="25.2">
      <c r="A58" s="3452" t="s">
        <v>1563</v>
      </c>
      <c r="B58" s="3448"/>
      <c r="C58" s="344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9"/>
      <c r="N58" s="2433" t="str">
        <f>IF(项目基本情况!I6="上海银行",N71,"")</f>
        <v/>
      </c>
      <c r="O58" s="3544" t="str">
        <f>IF(项目基本情况!I6="上海银行","包含处置中涉及的律师、诉讼、拍卖、评估等费用","")</f>
        <v/>
      </c>
      <c r="P58" s="3545"/>
    </row>
    <row r="59" spans="1:17" ht="13.2">
      <c r="A59" s="2010" t="s">
        <v>1540</v>
      </c>
      <c r="B59" s="3499" t="s">
        <v>1566</v>
      </c>
      <c r="C59" s="3488"/>
      <c r="D59" s="2486">
        <v>0</v>
      </c>
      <c r="E59" s="261" t="s">
        <v>1542</v>
      </c>
      <c r="F59" s="235"/>
      <c r="G59" s="2494"/>
      <c r="H59" s="2900"/>
      <c r="I59" s="2900"/>
      <c r="J59" s="2773"/>
      <c r="K59" s="3540">
        <f>IF(AND(K57="",K58=""),4,IF(项目基本情况!I6="上海银行",K58+1,K57+1))</f>
        <v>5</v>
      </c>
      <c r="L59" s="3540" t="s">
        <v>1567</v>
      </c>
      <c r="M59" s="2439" t="s">
        <v>1568</v>
      </c>
      <c r="N59" s="2440"/>
      <c r="O59" s="2441">
        <f>SUMIF(N54:N58,"&lt;9e307")</f>
        <v>0</v>
      </c>
      <c r="P59" s="2442"/>
      <c r="Q59" s="1234" t="e">
        <f>O59/N51</f>
        <v>#VALUE!</v>
      </c>
    </row>
    <row r="60" spans="1:17" ht="25.2">
      <c r="A60" s="2010" t="s">
        <v>1551</v>
      </c>
      <c r="B60" s="3499" t="s">
        <v>1569</v>
      </c>
      <c r="C60" s="3487"/>
      <c r="D60" s="12">
        <f>IF(H60="转让取得",C83,C99)</f>
        <v>0</v>
      </c>
      <c r="E60" s="2020" t="s">
        <v>1564</v>
      </c>
      <c r="F60" s="235" t="s">
        <v>48</v>
      </c>
      <c r="G60" s="2494"/>
      <c r="H60" s="2496" t="s">
        <v>1570</v>
      </c>
      <c r="I60" s="2900"/>
      <c r="J60" s="2773"/>
      <c r="K60" s="3540"/>
      <c r="L60" s="3540"/>
      <c r="M60" s="2439" t="s">
        <v>1571</v>
      </c>
      <c r="N60" s="2443"/>
      <c r="O60" s="2444" t="str">
        <f>IF(H19="元",NUMBERSTRING(INT(O59),2)&amp;"元整",NUMBERSTRING(INT(O59*10000),2)&amp;"元整")</f>
        <v>零元整</v>
      </c>
      <c r="P60" s="2445"/>
    </row>
    <row r="61" spans="1:17" ht="27" thickBot="1">
      <c r="A61" s="3515" t="s">
        <v>1572</v>
      </c>
      <c r="B61" s="3516"/>
      <c r="C61" s="351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6">
        <f>K59+1</f>
        <v>6</v>
      </c>
      <c r="L61" s="3540"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0"/>
      <c r="M62" s="2439" t="s">
        <v>1571</v>
      </c>
      <c r="N62" s="2443"/>
      <c r="O62" s="2444" t="e">
        <f>IF(H19="元",NUMBERSTRING(INT(O61),2)&amp;"元整",NUMBERSTRING(INT(O61*10000),2)&amp;"元整")</f>
        <v>#VALUE!</v>
      </c>
      <c r="P62" s="2445"/>
    </row>
    <row r="63" spans="1:17" ht="13.8" thickBot="1">
      <c r="A63" s="3548" t="s">
        <v>1574</v>
      </c>
      <c r="B63" s="3548"/>
      <c r="C63" s="3548"/>
      <c r="D63" s="3548"/>
      <c r="E63" s="3548"/>
      <c r="F63" s="2900"/>
      <c r="G63" s="2900"/>
      <c r="H63" s="2895"/>
      <c r="I63" s="905"/>
      <c r="J63" s="2765"/>
      <c r="K63" s="2431">
        <f>K61+1</f>
        <v>7</v>
      </c>
      <c r="L63" s="3540" t="s">
        <v>1575</v>
      </c>
      <c r="M63" s="3540"/>
      <c r="N63" s="2449"/>
      <c r="O63" s="2450" t="e">
        <f>IF(H19="元",ROUND(O61/项目基本情况!C12,0),ROUND(O61*10000/项目基本情况!C12,0))</f>
        <v>#VALUE!</v>
      </c>
      <c r="P63" s="2451"/>
    </row>
    <row r="64" spans="1:17" ht="13.2">
      <c r="A64" s="3466" t="s">
        <v>1576</v>
      </c>
      <c r="B64" s="3467"/>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36" t="s">
        <v>1580</v>
      </c>
      <c r="L65" s="1235" t="s">
        <v>1581</v>
      </c>
      <c r="M65" s="1235" t="e">
        <f>IF(N51&gt;10000,N51*0.5%,IF(AND(N51&gt;1000,N51&lt;=10000),N51*1%,IF(AND(N51&gt;100,N51&lt;=1000),N51*3%,IF(AND(N51&gt;10,N51&lt;=100),N51*5%,N51*8%))))</f>
        <v>#VALUE!</v>
      </c>
      <c r="N65" s="235" t="e">
        <f>ROUND(M65,1)</f>
        <v>#VALUE!</v>
      </c>
      <c r="O65" s="2452"/>
    </row>
    <row r="66" spans="1:36" ht="13.2">
      <c r="A66" s="49" t="s">
        <v>71</v>
      </c>
      <c r="B66" s="50" t="s">
        <v>1582</v>
      </c>
      <c r="C66" s="2705">
        <f>D47</f>
        <v>0</v>
      </c>
      <c r="D66" s="50" t="s">
        <v>41</v>
      </c>
      <c r="E66" s="52"/>
      <c r="F66" s="2900"/>
      <c r="G66" s="2900"/>
      <c r="H66" s="2895"/>
      <c r="I66" s="905"/>
      <c r="J66" s="2765"/>
      <c r="K66" s="353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2">
      <c r="A67" s="49" t="s">
        <v>72</v>
      </c>
      <c r="B67" s="50" t="s">
        <v>1585</v>
      </c>
      <c r="C67" s="2706"/>
      <c r="D67" s="50"/>
      <c r="E67" s="52"/>
      <c r="F67" s="2900"/>
      <c r="G67" s="2900"/>
      <c r="H67" s="2895"/>
      <c r="I67" s="905"/>
      <c r="J67" s="2765"/>
      <c r="K67" s="3536"/>
      <c r="L67" s="1235" t="s">
        <v>1586</v>
      </c>
      <c r="M67" s="1235" t="e">
        <f>IF(N51&gt;1000,N51*0.1%,IF(AND(N51&gt;500,N51&lt;=1000),N51*0.5%,IF(AND(N51&gt;50,N51&lt;=500),N51*1%,IF(AND(N51&gt;1,N51&lt;=50),N51*1.5%))))</f>
        <v>#VALUE!</v>
      </c>
      <c r="N67" s="235" t="e">
        <f t="shared" si="2"/>
        <v>#VALUE!</v>
      </c>
      <c r="O67" s="2452" t="s">
        <v>1584</v>
      </c>
    </row>
    <row r="68" spans="1:36" ht="13.2">
      <c r="A68" s="53" t="s">
        <v>47</v>
      </c>
      <c r="B68" s="54" t="s">
        <v>1587</v>
      </c>
      <c r="C68" s="2707"/>
      <c r="D68" s="54" t="s">
        <v>41</v>
      </c>
      <c r="E68" s="1244" t="s">
        <v>1588</v>
      </c>
      <c r="F68" s="2900"/>
      <c r="G68" s="2900"/>
      <c r="H68" s="2895"/>
      <c r="I68" s="905"/>
      <c r="J68" s="2765"/>
      <c r="K68" s="3536"/>
      <c r="L68" s="1235" t="s">
        <v>1589</v>
      </c>
      <c r="M68" s="1235" t="e">
        <f>N51*0.5%</f>
        <v>#VALUE!</v>
      </c>
      <c r="N68" s="235" t="e">
        <f>IF(M68&gt;0.5,0.5,ROUND(M68,0))</f>
        <v>#VALUE!</v>
      </c>
      <c r="O68" s="2452" t="s">
        <v>1590</v>
      </c>
    </row>
    <row r="69" spans="1:36" ht="13.2">
      <c r="A69" s="53" t="s">
        <v>42</v>
      </c>
      <c r="B69" s="54" t="s">
        <v>1591</v>
      </c>
      <c r="C69" s="2708">
        <f>C65-C68</f>
        <v>0</v>
      </c>
      <c r="D69" s="50" t="s">
        <v>41</v>
      </c>
      <c r="E69" s="52"/>
      <c r="F69" s="2900"/>
      <c r="G69" s="2900"/>
      <c r="H69" s="2895"/>
      <c r="I69" s="905"/>
      <c r="J69" s="2765"/>
      <c r="K69" s="353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8" thickBot="1">
      <c r="A70" s="55" t="s">
        <v>46</v>
      </c>
      <c r="B70" s="56" t="s">
        <v>1593</v>
      </c>
      <c r="C70" s="2709">
        <f>IF(C69&lt;=0,0,ROUND(C69*D70,0))</f>
        <v>0</v>
      </c>
      <c r="D70" s="2170">
        <f>'数据-取费表'!E29</f>
        <v>5.6000000000000001E-2</v>
      </c>
      <c r="E70" s="57"/>
      <c r="F70" s="2900"/>
      <c r="G70" s="2900"/>
      <c r="H70" s="2895"/>
      <c r="I70" s="905"/>
      <c r="J70" s="2765"/>
      <c r="K70" s="353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53" t="s">
        <v>1596</v>
      </c>
      <c r="B72" s="3554"/>
      <c r="C72" s="3554"/>
      <c r="D72" s="3554"/>
      <c r="E72" s="3554"/>
      <c r="F72" s="3554"/>
      <c r="G72" s="3554"/>
      <c r="H72" s="355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66" t="s">
        <v>1576</v>
      </c>
      <c r="B73" s="346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9" t="s">
        <v>1606</v>
      </c>
      <c r="F78" s="3487"/>
      <c r="G78" s="3487"/>
      <c r="H78" s="350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5" t="s">
        <v>1611</v>
      </c>
      <c r="F80" s="3436"/>
      <c r="G80" s="3436"/>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53" t="s">
        <v>1615</v>
      </c>
      <c r="B85" s="3554"/>
      <c r="C85" s="3554"/>
      <c r="D85" s="3554"/>
      <c r="E85" s="3554"/>
      <c r="F85" s="3554"/>
      <c r="G85" s="3554"/>
      <c r="H85" s="355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66" t="s">
        <v>1576</v>
      </c>
      <c r="B86" s="346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475" t="s">
        <v>2494</v>
      </c>
      <c r="H92" s="355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5" t="s">
        <v>1623</v>
      </c>
      <c r="F93" s="3436"/>
      <c r="G93" s="343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5" t="s">
        <v>1626</v>
      </c>
      <c r="F94" s="3436"/>
      <c r="G94" s="3436"/>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5" t="s">
        <v>1611</v>
      </c>
      <c r="F95" s="3436"/>
      <c r="G95" s="3436"/>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5" t="s">
        <v>1628</v>
      </c>
      <c r="F96" s="3436"/>
      <c r="G96" s="3436"/>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453" t="s">
        <v>1630</v>
      </c>
      <c r="B101" s="3454"/>
      <c r="C101" s="3454"/>
      <c r="D101" s="3455"/>
      <c r="E101" s="1389"/>
      <c r="F101" s="3550" t="s">
        <v>2536</v>
      </c>
      <c r="G101" s="3551"/>
      <c r="H101" s="3551"/>
      <c r="I101" s="3552"/>
      <c r="J101" s="2800"/>
    </row>
    <row r="102" spans="1:36" ht="15">
      <c r="A102" s="3470" t="s">
        <v>1632</v>
      </c>
      <c r="B102" s="3471"/>
      <c r="C102" s="2723">
        <f>C4</f>
        <v>0</v>
      </c>
      <c r="D102" s="2724">
        <f>D4</f>
        <v>0</v>
      </c>
      <c r="E102" s="1389"/>
      <c r="F102" s="3472" t="s">
        <v>2537</v>
      </c>
      <c r="G102" s="3474"/>
      <c r="H102" s="3485" t="s">
        <v>2538</v>
      </c>
      <c r="I102" s="3473"/>
      <c r="J102" s="2780"/>
    </row>
    <row r="103" spans="1:36" ht="13.2">
      <c r="A103" s="3556" t="s">
        <v>2532</v>
      </c>
      <c r="B103" s="2235" t="str">
        <f>IF(H19="元","总价（元）","总价（万元）")</f>
        <v>总价（万元）</v>
      </c>
      <c r="C103" s="1235" t="e">
        <f ca="1">C19</f>
        <v>#REF!</v>
      </c>
      <c r="D103" s="2727" t="e">
        <f ca="1">D19</f>
        <v>#REF!</v>
      </c>
      <c r="E103" s="1389"/>
      <c r="F103" s="3557"/>
      <c r="G103" s="3558"/>
      <c r="H103" s="3476">
        <f>典型户型修正!B25</f>
        <v>0</v>
      </c>
      <c r="I103" s="3473"/>
      <c r="J103" s="2780"/>
    </row>
    <row r="104" spans="1:36" ht="13.2">
      <c r="A104" s="3556"/>
      <c r="B104" s="2235" t="s">
        <v>2533</v>
      </c>
      <c r="C104" s="2728" t="e">
        <f ca="1">C20</f>
        <v>#REF!</v>
      </c>
      <c r="D104" s="2729" t="e">
        <f ca="1">D20</f>
        <v>#REF!</v>
      </c>
      <c r="E104" s="1389"/>
      <c r="F104" s="3459" t="s">
        <v>2539</v>
      </c>
      <c r="G104" s="3460"/>
      <c r="H104" s="2737" t="str">
        <f>C110</f>
        <v>总价（万元）</v>
      </c>
      <c r="I104" s="2738">
        <f>H125</f>
        <v>0</v>
      </c>
      <c r="J104" s="2780"/>
    </row>
    <row r="105" spans="1:36" ht="13.2">
      <c r="A105" s="3556" t="s">
        <v>2534</v>
      </c>
      <c r="B105" s="2173" t="str">
        <f>B103</f>
        <v>总价（万元）</v>
      </c>
      <c r="C105" s="12" t="e">
        <f ca="1">ROUND(IF('数据-取费表'!B4="总价",G19,IF(H19="元",G20*'数据-取费表'!E5,G20*'数据-取费表'!E5/10000)),0)</f>
        <v>#REF!</v>
      </c>
      <c r="D105" s="2730"/>
      <c r="E105" s="1389"/>
      <c r="F105" s="3459"/>
      <c r="G105" s="3460"/>
      <c r="H105" s="2737" t="s">
        <v>2540</v>
      </c>
      <c r="I105" s="52" t="e">
        <f>I125</f>
        <v>#DIV/0!</v>
      </c>
      <c r="J105" s="2764"/>
    </row>
    <row r="106" spans="1:36" ht="13.2">
      <c r="A106" s="3556"/>
      <c r="B106" s="2235" t="s">
        <v>2533</v>
      </c>
      <c r="C106" s="1409" t="e">
        <f ca="1">ROUND(IF('数据-取费表'!B4="楼面单价",G20,IF(H19="元",G19/'数据-取费表'!E5,G19*10000/'数据-取费表'!E5)),0)</f>
        <v>#REF!</v>
      </c>
      <c r="D106" s="2730"/>
      <c r="E106" s="1389"/>
      <c r="F106" s="3459"/>
      <c r="G106" s="3460"/>
      <c r="H106" s="3491"/>
      <c r="I106" s="3492"/>
      <c r="J106" s="2781"/>
    </row>
    <row r="107" spans="1:36" ht="13.2">
      <c r="A107" s="3563" t="s">
        <v>2535</v>
      </c>
      <c r="B107" s="2731" t="str">
        <f>B103</f>
        <v>总价（万元）</v>
      </c>
      <c r="C107" s="2732">
        <f>H125</f>
        <v>0</v>
      </c>
      <c r="D107" s="2733"/>
      <c r="E107" s="1389"/>
      <c r="F107" s="3495" t="s">
        <v>2541</v>
      </c>
      <c r="G107" s="3496"/>
      <c r="H107" s="2739" t="str">
        <f>C112</f>
        <v>总额（万元）</v>
      </c>
      <c r="I107" s="2738">
        <f>SUMIF(I108:I110,"&lt;9E307")</f>
        <v>0</v>
      </c>
      <c r="J107" s="2780"/>
    </row>
    <row r="108" spans="1:36" ht="14.4" thickBot="1">
      <c r="A108" s="3490"/>
      <c r="B108" s="2734" t="s">
        <v>2533</v>
      </c>
      <c r="C108" s="2735" t="e">
        <f>I125</f>
        <v>#DIV/0!</v>
      </c>
      <c r="D108" s="2736"/>
      <c r="E108" s="1389"/>
      <c r="F108" s="3461" t="s">
        <v>2542</v>
      </c>
      <c r="G108" s="346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59" t="s">
        <v>1633</v>
      </c>
      <c r="B109" s="3560"/>
      <c r="C109" s="3560"/>
      <c r="D109" s="3561"/>
      <c r="E109" s="1389"/>
      <c r="F109" s="3461" t="s">
        <v>2543</v>
      </c>
      <c r="G109" s="3462"/>
      <c r="H109" s="2739" t="str">
        <f>C114</f>
        <v>总额（万元）</v>
      </c>
      <c r="I109" s="52">
        <f>C39</f>
        <v>0</v>
      </c>
      <c r="J109" s="2764"/>
    </row>
    <row r="110" spans="1:36" ht="13.2">
      <c r="A110" s="3459" t="s">
        <v>2546</v>
      </c>
      <c r="B110" s="3460"/>
      <c r="C110" s="2737" t="str">
        <f>B103</f>
        <v>总价（万元）</v>
      </c>
      <c r="D110" s="2738">
        <f>H125</f>
        <v>0</v>
      </c>
      <c r="E110" s="1389"/>
      <c r="F110" s="3461" t="s">
        <v>2544</v>
      </c>
      <c r="G110" s="3462"/>
      <c r="H110" s="2739" t="str">
        <f>C115</f>
        <v>总额（万元）</v>
      </c>
      <c r="I110" s="52">
        <f>C40</f>
        <v>0</v>
      </c>
      <c r="J110" s="2764"/>
    </row>
    <row r="111" spans="1:36" ht="13.2">
      <c r="A111" s="3459"/>
      <c r="B111" s="3460"/>
      <c r="C111" s="2737" t="s">
        <v>2547</v>
      </c>
      <c r="D111" s="52" t="e">
        <f>I125</f>
        <v>#DIV/0!</v>
      </c>
      <c r="E111" s="1389"/>
      <c r="F111" s="3459"/>
      <c r="G111" s="3460"/>
      <c r="H111" s="3493"/>
      <c r="I111" s="3494"/>
      <c r="J111" s="2782"/>
    </row>
    <row r="112" spans="1:36" ht="28.5" customHeight="1">
      <c r="A112" s="3530" t="s">
        <v>2541</v>
      </c>
      <c r="B112" s="3531"/>
      <c r="C112" s="2739" t="str">
        <f>IF(H19="元","总额（元）","总额（万元）")</f>
        <v>总额（万元）</v>
      </c>
      <c r="D112" s="2738">
        <f>IF(D38="正常操作",I108+I109+I110,I109+I110)</f>
        <v>0</v>
      </c>
      <c r="E112" s="1389"/>
      <c r="F112" s="3442" t="str">
        <f>IF(项目基本情况!F5="已注销","——","3.房地产抵押价值")</f>
        <v>3.房地产抵押价值</v>
      </c>
      <c r="G112" s="3443"/>
      <c r="H112" s="1409" t="str">
        <f>C116</f>
        <v>总价（万元）</v>
      </c>
      <c r="I112" s="2738">
        <f>IF(F112="——","——",I104-I107)</f>
        <v>0</v>
      </c>
      <c r="J112" s="2780"/>
    </row>
    <row r="113" spans="1:27" ht="13.2">
      <c r="A113" s="3461" t="s">
        <v>2548</v>
      </c>
      <c r="B113" s="3462"/>
      <c r="C113" s="2739" t="str">
        <f>C112</f>
        <v>总额（万元）</v>
      </c>
      <c r="D113" s="52">
        <f>IF(D38="同一抵押权人同一抵押物续贷",C38&amp;"（未扣减，详见特别提示）",C38)</f>
        <v>0</v>
      </c>
      <c r="E113" s="1389"/>
      <c r="F113" s="3444"/>
      <c r="G113" s="3445"/>
      <c r="H113" s="2737" t="s">
        <v>2540</v>
      </c>
      <c r="I113" s="2741" t="e">
        <f>D117</f>
        <v>#DIV/0!</v>
      </c>
      <c r="J113" s="2783"/>
    </row>
    <row r="114" spans="1:27" ht="13.2">
      <c r="A114" s="3461" t="s">
        <v>2549</v>
      </c>
      <c r="B114" s="3462"/>
      <c r="C114" s="2739" t="str">
        <f>C112</f>
        <v>总额（万元）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总价（万元）</v>
      </c>
      <c r="I114" s="2738" t="str">
        <f>IF(F114="——","——",I104-I109-I110)</f>
        <v>——</v>
      </c>
      <c r="J114" s="2780"/>
    </row>
    <row r="115" spans="1:27" ht="13.2">
      <c r="A115" s="3461" t="s">
        <v>2550</v>
      </c>
      <c r="B115" s="3462"/>
      <c r="C115" s="2739" t="str">
        <f>C112</f>
        <v>总额（万元）</v>
      </c>
      <c r="D115" s="52">
        <f>C40</f>
        <v>0</v>
      </c>
      <c r="E115" s="1389"/>
      <c r="F115" s="3444"/>
      <c r="G115" s="3445"/>
      <c r="H115" s="2737" t="s">
        <v>2540</v>
      </c>
      <c r="I115" s="52" t="str">
        <f>D119</f>
        <v>——</v>
      </c>
      <c r="J115" s="2764"/>
    </row>
    <row r="116" spans="1:27" ht="13.2">
      <c r="A116" s="3459" t="str">
        <f>IF(项目基本情况!F5="已注销","——","3.房地产抵押价值")</f>
        <v>3.房地产抵押价值</v>
      </c>
      <c r="B116" s="3460"/>
      <c r="C116" s="2737" t="str">
        <f>B103</f>
        <v>总价（万元）</v>
      </c>
      <c r="D116" s="2738">
        <f>IF(A116="——","——",D110-D112)</f>
        <v>0</v>
      </c>
      <c r="E116" s="1389"/>
      <c r="F116" s="3442" t="str">
        <f>IF(项目基本情况!G5="抵押净值",IF(OR(项目基本情况!F5="已注销",项目基本情况!F5="房地产抵押价值"),"4.抵押净值","5.抵押净值"),"——")</f>
        <v>——</v>
      </c>
      <c r="G116" s="3443"/>
      <c r="H116" s="2737" t="str">
        <f>C120</f>
        <v>总价（万元）</v>
      </c>
      <c r="I116" s="2738" t="str">
        <f>IF(F116="——","——",O61)</f>
        <v>——</v>
      </c>
      <c r="J116" s="2780"/>
    </row>
    <row r="117" spans="1:27" ht="13.8" thickBot="1">
      <c r="A117" s="3459"/>
      <c r="B117" s="3460"/>
      <c r="C117" s="2737" t="s">
        <v>2547</v>
      </c>
      <c r="D117" s="52" t="e">
        <f>ROUND(IF(D116=D110,D111,IF(H19="元",D116/B125,D116*10000/B125)),0)</f>
        <v>#DIV/0!</v>
      </c>
      <c r="E117" s="1389"/>
      <c r="F117" s="3522"/>
      <c r="G117" s="3523"/>
      <c r="H117" s="2742" t="s">
        <v>2540</v>
      </c>
      <c r="I117" s="2726" t="str">
        <f>D121</f>
        <v>——</v>
      </c>
      <c r="J117" s="2764"/>
    </row>
    <row r="118" spans="1:27" ht="15.6">
      <c r="A118" s="3459" t="str">
        <f>IF(项目基本情况!F5="已注销及未注销","4.抵押担保权已注销时的房地产抵押价值",IF(项目基本情况!F5="已注销","3.抵押担保权已注销时的房地产抵押价值","——"))</f>
        <v>——</v>
      </c>
      <c r="B118" s="3460"/>
      <c r="C118" s="2737" t="str">
        <f>B103</f>
        <v>总价（万元）</v>
      </c>
      <c r="D118" s="2738" t="str">
        <f>IF(A118="——","——",D110-D114-D115)</f>
        <v>——</v>
      </c>
      <c r="E118" s="1389"/>
      <c r="F118" s="3437"/>
      <c r="G118" s="3437"/>
      <c r="H118" s="3478"/>
      <c r="I118" s="3478"/>
      <c r="J118" s="2784"/>
      <c r="O118" s="32"/>
      <c r="P118" s="32"/>
    </row>
    <row r="119" spans="1:27" s="1236" customFormat="1" ht="13.2">
      <c r="A119" s="3459"/>
      <c r="B119" s="3460"/>
      <c r="C119" s="2737" t="s">
        <v>2547</v>
      </c>
      <c r="D119" s="52" t="str">
        <f>IF(A118="——","——",IF(H19="元",ROUND(D118/B125,0),ROUND(D118*10000/B125,0)))</f>
        <v>——</v>
      </c>
      <c r="E119" s="1389"/>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59" t="str">
        <f>IF(项目基本情况!G5="抵押净值",IF(OR(项目基本情况!F5="已注销",项目基本情况!F5="房地产抵押价值"),"4.抵押净值","5.抵押净值"),"——")</f>
        <v>——</v>
      </c>
      <c r="B120" s="346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28"/>
      <c r="B121" s="352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79" t="s">
        <v>1672</v>
      </c>
      <c r="B122" s="3480"/>
      <c r="C122" s="3480"/>
      <c r="D122" s="3480"/>
      <c r="E122" s="3480"/>
      <c r="F122" s="3480"/>
      <c r="G122" s="3480"/>
      <c r="H122" s="3480"/>
      <c r="I122" s="348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52" t="s">
        <v>2551</v>
      </c>
      <c r="B123" s="3450" t="s">
        <v>2552</v>
      </c>
      <c r="C123" s="3450" t="s">
        <v>2558</v>
      </c>
      <c r="D123" s="3457" t="s">
        <v>2553</v>
      </c>
      <c r="E123" s="3458"/>
      <c r="F123" s="3448" t="s">
        <v>2559</v>
      </c>
      <c r="G123" s="3448"/>
      <c r="H123" s="3448" t="s">
        <v>2554</v>
      </c>
      <c r="I123" s="344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52"/>
      <c r="B124" s="3451"/>
      <c r="C124" s="345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52" t="s">
        <v>2557</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IF(H19="元",NUMBERSTRING(INT(H125),2)&amp;"元整",NUMBERSTRING(INT(H125*10000),2)&amp;"元整")</f>
        <v>零元整</v>
      </c>
      <c r="I126" s="353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72" t="str">
        <f>IF(项目基本情况!D5="房地产市场价值","——",MID(A112,3,LEN(A112)-2))</f>
        <v>估价师所知悉的法定优先受偿款</v>
      </c>
      <c r="B127" s="3485"/>
      <c r="C127" s="3474"/>
      <c r="D127" s="3476">
        <f>I107</f>
        <v>0</v>
      </c>
      <c r="E127" s="3485"/>
      <c r="F127" s="3485"/>
      <c r="G127" s="3485"/>
      <c r="H127" s="3485"/>
      <c r="I127" s="347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86" t="s">
        <v>2557</v>
      </c>
      <c r="B128" s="3487"/>
      <c r="C128" s="3488"/>
      <c r="D128" s="3524">
        <f>H111</f>
        <v>0</v>
      </c>
      <c r="E128" s="3525"/>
      <c r="F128" s="3525"/>
      <c r="G128" s="3525"/>
      <c r="H128" s="3525"/>
      <c r="I128" s="352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59" t="str">
        <f>IF(项目基本情况!D5="房地产市场价值","——",MID(A116,3,LEN(A116)-2))</f>
        <v>房地产抵押价值</v>
      </c>
      <c r="B129" s="3460"/>
      <c r="C129" s="3460"/>
      <c r="D129" s="3476">
        <f>I112</f>
        <v>0</v>
      </c>
      <c r="E129" s="3485"/>
      <c r="F129" s="3485"/>
      <c r="G129" s="3485"/>
      <c r="H129" s="3485"/>
      <c r="I129" s="347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52" t="s">
        <v>2557</v>
      </c>
      <c r="B130" s="3448"/>
      <c r="C130" s="3448"/>
      <c r="D130" s="3524" t="e">
        <f>I113</f>
        <v>#DIV/0!</v>
      </c>
      <c r="E130" s="3525"/>
      <c r="F130" s="3525"/>
      <c r="G130" s="3525"/>
      <c r="H130" s="3525"/>
      <c r="I130" s="352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59" t="str">
        <f>IF(项目基本情况!D5="房地产市场价值","——",MID(A118,3,LEN(A118)-2))</f>
        <v/>
      </c>
      <c r="B131" s="3460"/>
      <c r="C131" s="3460"/>
      <c r="D131" s="3432" t="str">
        <f>I114</f>
        <v>——</v>
      </c>
      <c r="E131" s="3433"/>
      <c r="F131" s="3433"/>
      <c r="G131" s="3433"/>
      <c r="H131" s="3433"/>
      <c r="I131" s="343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52" t="s">
        <v>2557</v>
      </c>
      <c r="B132" s="3448"/>
      <c r="C132" s="3499"/>
      <c r="D132" s="3477" t="str">
        <f>I115</f>
        <v>——</v>
      </c>
      <c r="E132" s="3477"/>
      <c r="F132" s="3477"/>
      <c r="G132" s="3477"/>
      <c r="H132" s="3477"/>
      <c r="I132" s="347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59" t="str">
        <f>IF(项目基本情况!D5="房地产市场价值","——",MID(F116,3,LEN(F116)-2))</f>
        <v/>
      </c>
      <c r="B133" s="3460"/>
      <c r="C133" s="3476"/>
      <c r="D133" s="3527" t="str">
        <f>I116</f>
        <v>——</v>
      </c>
      <c r="E133" s="3527"/>
      <c r="F133" s="3527"/>
      <c r="G133" s="3527"/>
      <c r="H133" s="3527"/>
      <c r="I133" s="352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15" t="s">
        <v>2557</v>
      </c>
      <c r="B134" s="3516"/>
      <c r="C134" s="3516"/>
      <c r="D134" s="3533">
        <f>H118</f>
        <v>0</v>
      </c>
      <c r="E134" s="3534"/>
      <c r="F134" s="3534"/>
      <c r="G134" s="3534"/>
      <c r="H134" s="3534"/>
      <c r="I134" s="353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61240</v>
      </c>
      <c r="D10" s="1101">
        <f>IF('数据-取费表'!B10&lt;&gt;"住宅",IF(B1="仅计算典型户型",'数据-取费表'!E5,'数据-取费表'!B5),0)</f>
        <v>306.2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61240</v>
      </c>
      <c r="D19" s="1104">
        <f>IF(B1="仅计算典型户型",'数据-取费表'!E5,'数据-取费表'!B5)</f>
        <v>306.2</v>
      </c>
      <c r="E19" s="111">
        <f>'数据-取费表'!E15</f>
        <v>200</v>
      </c>
      <c r="F19" s="112"/>
      <c r="G19" s="1446"/>
    </row>
    <row r="20" spans="1:123" s="91" customFormat="1" ht="13.5" customHeight="1">
      <c r="A20" s="120" t="s">
        <v>1702</v>
      </c>
      <c r="B20" s="89" t="s">
        <v>1703</v>
      </c>
      <c r="C20" s="99">
        <f>ROUND((C5+C19)*F20,0)</f>
        <v>21835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94549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5252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167036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1490042</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1181167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1071700</v>
      </c>
      <c r="D34" s="1096"/>
      <c r="E34" s="115"/>
      <c r="F34" s="1107" t="str">
        <f>IF('数据-取费表'!B26=0,"",'数据-取费表'!E20)</f>
        <v/>
      </c>
      <c r="G34" s="95"/>
    </row>
    <row r="35" spans="1:123" ht="13.5" customHeight="1">
      <c r="A35" s="92" t="s">
        <v>1685</v>
      </c>
      <c r="B35" s="93" t="s">
        <v>1734</v>
      </c>
      <c r="C35" s="115">
        <f>ROUND(C34*F35,0)</f>
        <v>32151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61240</v>
      </c>
      <c r="D37" s="1096">
        <f>IF(B1="仅计算典型户型",'数据-取费表'!E5,'数据-取费表'!B5)</f>
        <v>306.2</v>
      </c>
      <c r="E37" s="115">
        <f>'数据-取费表'!E23</f>
        <v>200</v>
      </c>
      <c r="F37" s="1108"/>
      <c r="G37" s="124" t="s">
        <v>1739</v>
      </c>
    </row>
    <row r="38" spans="1:123" ht="13.5" customHeight="1">
      <c r="A38" s="92" t="s">
        <v>1740</v>
      </c>
      <c r="B38" s="93" t="s">
        <v>1741</v>
      </c>
      <c r="C38" s="115">
        <f>ROUND(C34*F38,0)</f>
        <v>16076</v>
      </c>
      <c r="D38" s="115"/>
      <c r="E38" s="115"/>
      <c r="F38" s="1108">
        <f>'数据-取费表'!E24</f>
        <v>1.4999999999999999E-2</v>
      </c>
      <c r="G38" s="95" t="s">
        <v>1735</v>
      </c>
    </row>
    <row r="39" spans="1:123" s="91" customFormat="1" ht="13.5" customHeight="1">
      <c r="A39" s="120" t="s">
        <v>1700</v>
      </c>
      <c r="B39" s="89" t="s">
        <v>1703</v>
      </c>
      <c r="C39" s="99">
        <f>ROUND(C33*F20,0)</f>
        <v>23623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50601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49609</v>
      </c>
      <c r="D42" s="104"/>
      <c r="E42" s="104"/>
      <c r="F42" s="105"/>
      <c r="G42" s="3565" t="s">
        <v>1745</v>
      </c>
    </row>
    <row r="43" spans="1:123" ht="13.5" customHeight="1">
      <c r="A43" s="92" t="s">
        <v>1685</v>
      </c>
      <c r="B43" s="93" t="s">
        <v>1714</v>
      </c>
      <c r="C43" s="104">
        <f ca="1">ROUND(IF('数据-取费表'!B24&lt;=1,C39*F22*'数据-取费表'!B23/2,C39*(POWER((1+F22),'数据-取费表'!B23/2)-1)),0)</f>
        <v>992</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180719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180719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1556084</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1275989</v>
      </c>
      <c r="D51" s="99"/>
      <c r="E51" s="99"/>
      <c r="F51" s="126"/>
      <c r="G51" s="100" t="s">
        <v>1759</v>
      </c>
    </row>
    <row r="52" spans="1:123" s="88" customFormat="1" ht="16.8" thickBot="1">
      <c r="A52" s="127" t="s">
        <v>1760</v>
      </c>
      <c r="B52" s="128"/>
      <c r="C52" s="129">
        <f ca="1">C31+C51</f>
        <v>2766031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0.46100000000000002</v>
      </c>
    </row>
    <row r="57" spans="1:123">
      <c r="B57" s="135" t="s">
        <v>1763</v>
      </c>
      <c r="C57" s="137">
        <f ca="1">1-C56</f>
        <v>0.53899999999999992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K27" sqref="K27"/>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306.2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77" t="s">
        <v>2009</v>
      </c>
      <c r="AC4" s="3577" t="s">
        <v>2010</v>
      </c>
    </row>
    <row r="5" spans="1:29">
      <c r="A5" s="1596"/>
      <c r="B5" s="1597"/>
      <c r="C5" s="3599" t="s">
        <v>2013</v>
      </c>
      <c r="D5" s="3574"/>
      <c r="E5" s="3597" t="s">
        <v>3045</v>
      </c>
      <c r="F5" s="3598"/>
      <c r="G5" s="3573" t="s">
        <v>3046</v>
      </c>
      <c r="H5" s="3574"/>
      <c r="I5" s="3573" t="s">
        <v>3047</v>
      </c>
      <c r="J5" s="3574"/>
      <c r="K5" s="1894"/>
      <c r="L5" s="2915"/>
      <c r="M5" s="2916"/>
      <c r="N5" s="2916"/>
      <c r="O5" s="2916"/>
      <c r="P5" s="3586"/>
      <c r="Q5" s="3587"/>
      <c r="R5" s="3592"/>
      <c r="S5" s="3593"/>
      <c r="T5" s="3592"/>
      <c r="U5" s="3593"/>
      <c r="V5" s="3596"/>
      <c r="W5" s="3596"/>
      <c r="X5" s="2003"/>
      <c r="Y5" s="3592"/>
      <c r="Z5" s="3593"/>
      <c r="AA5" s="3578"/>
      <c r="AB5" s="3578"/>
      <c r="AC5" s="3578"/>
    </row>
    <row r="6" spans="1:29" ht="1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79"/>
      <c r="AC6" s="3579"/>
    </row>
    <row r="7" spans="1:29" s="1613" customFormat="1" ht="1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5" t="s">
        <v>2020</v>
      </c>
      <c r="Q7" s="3600"/>
      <c r="R7" s="1609" t="s">
        <v>25</v>
      </c>
      <c r="S7" s="1610">
        <f t="shared" ref="S7:S15" si="0">F7</f>
        <v>100</v>
      </c>
      <c r="T7" s="1609" t="s">
        <v>25</v>
      </c>
      <c r="U7" s="1610">
        <f t="shared" ref="U7:U15" si="1">H7</f>
        <v>100</v>
      </c>
      <c r="V7" s="1609" t="s">
        <v>25</v>
      </c>
      <c r="W7" s="1610">
        <f t="shared" ref="W7:W15" si="2">J7</f>
        <v>100</v>
      </c>
      <c r="X7" s="1611"/>
      <c r="Y7" s="3575" t="s">
        <v>2020</v>
      </c>
      <c r="Z7" s="3576"/>
      <c r="AA7" s="1612">
        <f>D7/F7</f>
        <v>1</v>
      </c>
      <c r="AB7" s="1612">
        <f>D7/H7</f>
        <v>1</v>
      </c>
      <c r="AC7" s="1612">
        <f>D7/J7</f>
        <v>1</v>
      </c>
    </row>
    <row r="8" spans="1:29" s="1613" customFormat="1" ht="15" thickBot="1">
      <c r="A8" s="1601" t="s">
        <v>2021</v>
      </c>
      <c r="B8" s="1602"/>
      <c r="C8" s="1614" t="s">
        <v>2022</v>
      </c>
      <c r="D8" s="1604">
        <v>100</v>
      </c>
      <c r="E8" s="3325" t="s">
        <v>3042</v>
      </c>
      <c r="F8" s="1606">
        <f>SUMIF(62:62,E8,63:63)-SUMIF(62:62,C8,63:63)+100</f>
        <v>100</v>
      </c>
      <c r="G8" s="3325" t="s">
        <v>3042</v>
      </c>
      <c r="H8" s="1604">
        <f>SUMIF(62:62,G8,63:63)-SUMIF(62:62,C8,63:63)+100</f>
        <v>100</v>
      </c>
      <c r="I8" s="3325" t="s">
        <v>3042</v>
      </c>
      <c r="J8" s="1604">
        <f>SUMIF(62:62,I8,63:63)-SUMIF(62:62,C8,63:63)+100</f>
        <v>100</v>
      </c>
      <c r="K8" s="1896"/>
      <c r="L8" s="2915"/>
      <c r="M8" s="2888"/>
      <c r="N8" s="2888"/>
      <c r="O8" s="2888"/>
      <c r="P8" s="3575" t="s">
        <v>2023</v>
      </c>
      <c r="Q8" s="3576"/>
      <c r="R8" s="1609" t="s">
        <v>25</v>
      </c>
      <c r="S8" s="1610">
        <f t="shared" si="0"/>
        <v>100</v>
      </c>
      <c r="T8" s="1609" t="s">
        <v>25</v>
      </c>
      <c r="U8" s="1610">
        <f t="shared" si="1"/>
        <v>100</v>
      </c>
      <c r="V8" s="1609" t="s">
        <v>25</v>
      </c>
      <c r="W8" s="1610">
        <f t="shared" si="2"/>
        <v>100</v>
      </c>
      <c r="X8" s="1611"/>
      <c r="Y8" s="3575" t="s">
        <v>2023</v>
      </c>
      <c r="Z8" s="3576"/>
      <c r="AA8" s="1612">
        <f t="shared" ref="AA8:AA47" si="3">D8/F8</f>
        <v>1</v>
      </c>
      <c r="AB8" s="1612">
        <f t="shared" ref="AB8:AB47" si="4">D8/H8</f>
        <v>1</v>
      </c>
      <c r="AC8" s="1612">
        <f t="shared" ref="AC8:AC47" si="5">D8/J8</f>
        <v>1</v>
      </c>
    </row>
    <row r="9" spans="1:29" s="1613" customFormat="1" ht="14.4">
      <c r="A9" s="1995" t="s">
        <v>2024</v>
      </c>
      <c r="B9" s="1616" t="s">
        <v>2025</v>
      </c>
      <c r="C9" s="3327" t="s">
        <v>3048</v>
      </c>
      <c r="D9" s="1618">
        <v>100</v>
      </c>
      <c r="E9" s="3328" t="s">
        <v>3049</v>
      </c>
      <c r="F9" s="1618">
        <f>SUMIF(64:64,E9,65:65)-SUMIF(64:64,C9,65:65)+100</f>
        <v>95</v>
      </c>
      <c r="G9" s="3328" t="s">
        <v>3049</v>
      </c>
      <c r="H9" s="1618">
        <f>SUMIF(64:64,G9,65:65)-SUMIF(64:64,C9,65:65)+100</f>
        <v>95</v>
      </c>
      <c r="I9" s="3329" t="s">
        <v>3048</v>
      </c>
      <c r="J9" s="1618">
        <f>SUMIF(64:64,I9,65:65)-SUMIF(64:64,C9,65:65)+100</f>
        <v>100</v>
      </c>
      <c r="K9" s="1896"/>
      <c r="L9" s="2915"/>
      <c r="M9" s="2888"/>
      <c r="N9" s="2888"/>
      <c r="O9" s="2888"/>
      <c r="P9" s="3572" t="s">
        <v>2026</v>
      </c>
      <c r="Q9" s="2833" t="str">
        <f t="shared" ref="Q9:Q15" si="6">B9</f>
        <v>用途</v>
      </c>
      <c r="R9" s="1609" t="s">
        <v>25</v>
      </c>
      <c r="S9" s="1610">
        <f t="shared" si="0"/>
        <v>95</v>
      </c>
      <c r="T9" s="1609" t="s">
        <v>25</v>
      </c>
      <c r="U9" s="1610">
        <f t="shared" si="1"/>
        <v>95</v>
      </c>
      <c r="V9" s="1609" t="s">
        <v>25</v>
      </c>
      <c r="W9" s="1610">
        <f t="shared" si="2"/>
        <v>100</v>
      </c>
      <c r="X9" s="1611"/>
      <c r="Y9" s="3498" t="s">
        <v>2027</v>
      </c>
      <c r="Z9" s="1622" t="str">
        <f t="shared" ref="Z9:Z15" si="7">Q9</f>
        <v>用途</v>
      </c>
      <c r="AA9" s="1612">
        <f t="shared" si="3"/>
        <v>1.0526315789473684</v>
      </c>
      <c r="AB9" s="1612">
        <f t="shared" si="4"/>
        <v>1.0526315789473684</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2"/>
      <c r="Q10" s="283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2"/>
      <c r="Q11" s="2833" t="str">
        <f t="shared" si="6"/>
        <v>容积率</v>
      </c>
      <c r="R11" s="1609" t="s">
        <v>25</v>
      </c>
      <c r="S11" s="1610">
        <f t="shared" si="0"/>
        <v>100</v>
      </c>
      <c r="T11" s="1609" t="s">
        <v>25</v>
      </c>
      <c r="U11" s="1610">
        <f t="shared" si="1"/>
        <v>100</v>
      </c>
      <c r="V11" s="1609" t="s">
        <v>25</v>
      </c>
      <c r="W11" s="1610">
        <f t="shared" si="2"/>
        <v>100</v>
      </c>
      <c r="X11" s="1611"/>
      <c r="Y11" s="349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2"/>
      <c r="Q12" s="2833">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2"/>
      <c r="Q13" s="2833">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2"/>
      <c r="Q14" s="2833">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5" t="s">
        <v>3061</v>
      </c>
      <c r="D27" s="1640">
        <v>100</v>
      </c>
      <c r="E27" s="3334" t="s">
        <v>3059</v>
      </c>
      <c r="F27" s="1640">
        <f>SUMIF(89:89,E27,90:90)-SUMIF(89:89,C27,90:90)+100</f>
        <v>98</v>
      </c>
      <c r="G27" s="3335" t="s">
        <v>3059</v>
      </c>
      <c r="H27" s="1640">
        <f>SUMIF(89:89,G27,90:90)-SUMIF(89:89,C27,90:90)+100</f>
        <v>98</v>
      </c>
      <c r="I27" s="3334" t="s">
        <v>3060</v>
      </c>
      <c r="J27" s="1640">
        <f>SUMIF(89:89,I27,90:90)-SUMIF(89:89,C27,90:90)+100</f>
        <v>100</v>
      </c>
      <c r="K27" s="1921">
        <v>2</v>
      </c>
      <c r="L27" s="2920"/>
      <c r="M27" s="2916"/>
      <c r="N27" s="2916"/>
      <c r="O27" s="2916"/>
      <c r="P27" s="3602"/>
      <c r="Q27" s="2834" t="str">
        <f t="shared" ref="Q27:Q47" si="11">B27</f>
        <v>楼层</v>
      </c>
      <c r="R27" s="1654" t="s">
        <v>25</v>
      </c>
      <c r="S27" s="1655">
        <f>F27</f>
        <v>98</v>
      </c>
      <c r="T27" s="1654" t="s">
        <v>25</v>
      </c>
      <c r="U27" s="1655">
        <f>H27</f>
        <v>98</v>
      </c>
      <c r="V27" s="1654" t="s">
        <v>25</v>
      </c>
      <c r="W27" s="1655">
        <f>J27</f>
        <v>100</v>
      </c>
      <c r="X27" s="2003"/>
      <c r="Y27" s="3602"/>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306.2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97</v>
      </c>
      <c r="V34" s="1696" t="s">
        <v>25</v>
      </c>
      <c r="W34" s="1697">
        <f t="shared" si="14"/>
        <v>100</v>
      </c>
      <c r="X34" s="1698"/>
      <c r="Y34" s="3604"/>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98</v>
      </c>
      <c r="X37" s="2003"/>
      <c r="Y37" s="3604"/>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3331" t="s">
        <v>3051</v>
      </c>
      <c r="D39" s="1640">
        <v>100</v>
      </c>
      <c r="E39" s="3331" t="s">
        <v>3053</v>
      </c>
      <c r="F39" s="1683">
        <f>SUMIF(115:115,E39,116:116)-SUMIF(115:115,C39,116:116)+100</f>
        <v>98</v>
      </c>
      <c r="G39" s="3331" t="s">
        <v>3053</v>
      </c>
      <c r="H39" s="1640">
        <f>SUMIF(115:115,G39,116:116)-SUMIF(115:115,C39,116:116)+100</f>
        <v>98</v>
      </c>
      <c r="I39" s="3331" t="s">
        <v>3051</v>
      </c>
      <c r="J39" s="1640">
        <f>SUMIF(115:115,I39,116:116)-SUMIF(115:115,C39,116:116)+100</f>
        <v>100</v>
      </c>
      <c r="K39" s="1921">
        <v>2</v>
      </c>
      <c r="L39" s="2920"/>
      <c r="M39" s="2916"/>
      <c r="N39" s="2916"/>
      <c r="O39" s="2916"/>
      <c r="P39" s="3604" t="s">
        <v>2037</v>
      </c>
      <c r="Q39" s="2834" t="str">
        <f t="shared" si="11"/>
        <v>物业管理</v>
      </c>
      <c r="R39" s="1654" t="s">
        <v>25</v>
      </c>
      <c r="S39" s="1655">
        <f t="shared" si="12"/>
        <v>98</v>
      </c>
      <c r="T39" s="1654" t="s">
        <v>25</v>
      </c>
      <c r="U39" s="1655">
        <f t="shared" si="13"/>
        <v>98</v>
      </c>
      <c r="V39" s="1654" t="s">
        <v>25</v>
      </c>
      <c r="W39" s="1655">
        <f t="shared" si="14"/>
        <v>100</v>
      </c>
      <c r="X39" s="2003"/>
      <c r="Y39" s="3604" t="s">
        <v>2037</v>
      </c>
      <c r="Z39" s="2007" t="str">
        <f t="shared" si="15"/>
        <v>物业管理</v>
      </c>
      <c r="AA39" s="1998">
        <f t="shared" si="3"/>
        <v>1.0204081632653061</v>
      </c>
      <c r="AB39" s="1998">
        <f t="shared" si="4"/>
        <v>1.0204081632653061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1" t="s">
        <v>3054</v>
      </c>
      <c r="D43" s="1640">
        <v>100</v>
      </c>
      <c r="E43" s="3331" t="s">
        <v>3055</v>
      </c>
      <c r="F43" s="1683">
        <f>SUMIF(123:123,E43,124:124)-SUMIF(123:123,C43,124:124)+100</f>
        <v>100</v>
      </c>
      <c r="G43" s="3331" t="s">
        <v>3055</v>
      </c>
      <c r="H43" s="1640">
        <f>SUMIF(123:123,G43,124:124)-SUMIF(123:123,C43,124:124)+100</f>
        <v>100</v>
      </c>
      <c r="I43" s="3331" t="s">
        <v>3054</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28.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4.4">
      <c r="A48" s="1710" t="s">
        <v>2049</v>
      </c>
      <c r="B48" s="1711"/>
      <c r="C48" s="1712" t="s">
        <v>1</v>
      </c>
      <c r="D48" s="1713"/>
      <c r="E48" s="1714">
        <v>28000</v>
      </c>
      <c r="F48" s="1715"/>
      <c r="G48" s="1716">
        <v>27000</v>
      </c>
      <c r="H48" s="1717"/>
      <c r="I48" s="1714">
        <v>26500</v>
      </c>
      <c r="J48" s="1717"/>
      <c r="K48" s="1942"/>
      <c r="L48" s="2921"/>
      <c r="M48" s="2916"/>
      <c r="N48" s="2916"/>
      <c r="O48" s="2916"/>
      <c r="P48" s="3572" t="str">
        <f>A48</f>
        <v>成交单价（元/平方米）</v>
      </c>
      <c r="Q48" s="3572"/>
      <c r="R48" s="3606">
        <f>E48</f>
        <v>28000</v>
      </c>
      <c r="S48" s="3606"/>
      <c r="T48" s="3606">
        <f>G48</f>
        <v>27000</v>
      </c>
      <c r="U48" s="3606"/>
      <c r="V48" s="3606">
        <f>I48</f>
        <v>26500</v>
      </c>
      <c r="W48" s="3606"/>
      <c r="X48" s="1720"/>
      <c r="Y48" s="2002"/>
      <c r="Z48" s="1720"/>
      <c r="AA48" s="1720"/>
      <c r="AB48" s="1720"/>
      <c r="AC48" s="1720"/>
    </row>
    <row r="49" spans="1:29" ht="1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72" t="str">
        <f>A49</f>
        <v>比较价值（元/平方米）</v>
      </c>
      <c r="Q49" s="3572"/>
      <c r="R49" s="3606">
        <f>IF(E1="售价",ROUND(PRODUCT(R48,AA7:AA47),0),ROUND(PRODUCT(R48,AA7:AA47),1))</f>
        <v>31315</v>
      </c>
      <c r="S49" s="3606"/>
      <c r="T49" s="3606">
        <f>IF(E1="售价",ROUND(PRODUCT(T48,AB7:AB47),0),ROUND(PRODUCT(T48,AB7:AB47),1))</f>
        <v>30508</v>
      </c>
      <c r="U49" s="3606"/>
      <c r="V49" s="3606">
        <f>IF(E1="售价",ROUND(PRODUCT(V48,AC7:AC47),0),ROUND(PRODUCT(V48,AC7:AC47),1))</f>
        <v>27041</v>
      </c>
      <c r="W49" s="3606"/>
      <c r="X49" s="1720"/>
      <c r="Y49" s="1720"/>
      <c r="Z49" s="1720"/>
      <c r="AA49" s="1720"/>
      <c r="AB49" s="1720"/>
      <c r="AC49" s="1720"/>
    </row>
    <row r="50" spans="1:29" ht="15" thickBot="1">
      <c r="A50" s="1728" t="s">
        <v>2155</v>
      </c>
      <c r="B50" s="1729"/>
      <c r="C50" s="1731">
        <f>R50</f>
        <v>29621</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29621</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28.8">
      <c r="A64" s="1775" t="s">
        <v>2060</v>
      </c>
      <c r="B64" s="1776" t="s">
        <v>2025</v>
      </c>
      <c r="C64" s="1777" t="str">
        <f>C9</f>
        <v>办公</v>
      </c>
      <c r="D64" s="3330" t="s">
        <v>3050</v>
      </c>
      <c r="E64" s="1778"/>
      <c r="F64" s="1778"/>
      <c r="G64" s="1778"/>
      <c r="H64" s="1778"/>
      <c r="I64" s="1778"/>
      <c r="J64" s="1778"/>
      <c r="K64" s="417"/>
      <c r="L64" s="417"/>
      <c r="M64" s="1779"/>
      <c r="N64" s="2934"/>
      <c r="O64" s="2934"/>
      <c r="P64" s="1986"/>
      <c r="Q64" s="1750"/>
    </row>
    <row r="65" spans="1:17" ht="14.4" thickBot="1">
      <c r="A65" s="1782"/>
      <c r="B65" s="1783"/>
      <c r="C65" s="1784">
        <v>100</v>
      </c>
      <c r="D65" s="1784">
        <v>95</v>
      </c>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v>0</v>
      </c>
      <c r="D69" s="1796">
        <v>1</v>
      </c>
      <c r="E69" s="1796">
        <v>2</v>
      </c>
      <c r="F69" s="1796">
        <v>3</v>
      </c>
      <c r="G69" s="1796">
        <v>4</v>
      </c>
      <c r="H69" s="1796"/>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 thickTop="1">
      <c r="A89" s="1818"/>
      <c r="B89" s="1787" t="str">
        <f>B27</f>
        <v>楼层</v>
      </c>
      <c r="C89" s="3332" t="s">
        <v>3060</v>
      </c>
      <c r="D89" s="3332" t="s">
        <v>3059</v>
      </c>
      <c r="E89" s="3332" t="s">
        <v>3062</v>
      </c>
      <c r="F89" s="1821"/>
      <c r="G89" s="468"/>
      <c r="H89" s="468"/>
      <c r="I89" s="468"/>
      <c r="J89" s="468"/>
      <c r="K89" s="468"/>
      <c r="L89" s="468"/>
      <c r="M89" s="1819"/>
      <c r="N89" s="2933"/>
      <c r="O89" s="2933"/>
      <c r="P89" s="1986"/>
      <c r="Q89" s="1750"/>
    </row>
    <row r="90" spans="1:17" s="1613" customFormat="1" ht="14.4"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8.2"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4.4"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3051</v>
      </c>
      <c r="D115" s="3332" t="s">
        <v>3052</v>
      </c>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3057</v>
      </c>
      <c r="D123" s="3332" t="s">
        <v>3054</v>
      </c>
      <c r="E123" s="3332" t="s">
        <v>3058</v>
      </c>
      <c r="F123" s="3333" t="s">
        <v>3056</v>
      </c>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0" sqref="K4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362565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362112</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306.2</v>
      </c>
      <c r="G7" s="909"/>
      <c r="H7" s="237"/>
      <c r="I7" s="238"/>
      <c r="J7" s="239"/>
      <c r="K7" s="240"/>
      <c r="L7" s="235" t="s">
        <v>1777</v>
      </c>
      <c r="M7" s="236">
        <f>IF('数据-取费表'!B42="",IF(D1="仅计算典型户型",'数据-取费表'!E5,'数据-取费表'!B5),'数据-取费表'!B42)</f>
        <v>306.2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1275989</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1071700</v>
      </c>
      <c r="D14" s="1256" t="s">
        <v>1795</v>
      </c>
      <c r="E14" s="1257"/>
      <c r="F14" s="757"/>
      <c r="G14" s="910"/>
      <c r="H14" s="253" t="s">
        <v>1774</v>
      </c>
      <c r="I14" s="235" t="s">
        <v>1796</v>
      </c>
      <c r="J14" s="13">
        <f ca="1">C29</f>
        <v>1556084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32151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15561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61240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16076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1181167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23623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15561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50601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-15561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180719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1556084</v>
      </c>
      <c r="D29" s="1034"/>
      <c r="E29" s="1032"/>
      <c r="F29" s="1035"/>
      <c r="G29" s="652"/>
      <c r="H29" s="271" t="s">
        <v>24</v>
      </c>
      <c r="I29" s="272" t="s">
        <v>1869</v>
      </c>
      <c r="J29" s="273">
        <f ca="1">ROUND(J26/(1+F40)^F41,0)</f>
        <v>0</v>
      </c>
      <c r="K29" s="274" t="s">
        <v>1870</v>
      </c>
      <c r="L29" s="275"/>
      <c r="M29" s="276">
        <f>IF(D1="仅计算典型户型",'数据-取费表'!E5,'数据-取费表'!B5)</f>
        <v>306.2</v>
      </c>
    </row>
    <row r="30" spans="1:37" ht="18" customHeight="1" thickTop="1">
      <c r="A30" s="1021" t="s">
        <v>14</v>
      </c>
      <c r="B30" s="1022" t="s">
        <v>1871</v>
      </c>
      <c r="C30" s="243">
        <f ca="1">ROUND(C31+C36+C37+C38,0)</f>
        <v>46416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24141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89319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15561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5438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316149</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7438954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306.2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7438954</v>
      </c>
      <c r="R45" s="1008" t="s">
        <v>1900</v>
      </c>
    </row>
    <row r="46" spans="1:18" s="652" customFormat="1" ht="18" customHeight="1" thickBot="1">
      <c r="A46" s="649"/>
      <c r="D46" s="649"/>
      <c r="E46" s="649"/>
      <c r="F46" s="649"/>
      <c r="K46" s="653"/>
      <c r="O46" s="1005" t="s">
        <v>768</v>
      </c>
      <c r="P46" s="1006" t="s">
        <v>1901</v>
      </c>
      <c r="Q46" s="1007">
        <f ca="1">J61</f>
        <v>42853</v>
      </c>
      <c r="R46" s="1008" t="s">
        <v>1902</v>
      </c>
    </row>
    <row r="47" spans="1:18" s="652" customFormat="1" ht="22.2" thickBot="1">
      <c r="A47" s="1455" t="s">
        <v>1903</v>
      </c>
      <c r="C47" s="950">
        <f ca="1">IF(C2="元",C69-C40,ROUND((C69-C40)/10000,0))</f>
        <v>-770</v>
      </c>
      <c r="D47" s="1456" t="str">
        <f>C2</f>
        <v>万元</v>
      </c>
      <c r="E47" s="649"/>
      <c r="F47" s="649"/>
      <c r="I47" s="1457" t="s">
        <v>1904</v>
      </c>
      <c r="J47" s="981"/>
      <c r="K47" s="982"/>
      <c r="L47" s="995">
        <f ca="1">IF(M48="住宅",0,IF(L49&gt;J52,L61,J61))</f>
        <v>42853</v>
      </c>
      <c r="O47" s="1009" t="s">
        <v>769</v>
      </c>
      <c r="P47" s="1006" t="s">
        <v>1905</v>
      </c>
      <c r="Q47" s="1007">
        <f ca="1">C29</f>
        <v>1556084</v>
      </c>
      <c r="R47" s="1008" t="s">
        <v>1900</v>
      </c>
    </row>
    <row r="48" spans="1:18" s="652" customFormat="1" ht="16.2"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6.2" thickBot="1">
      <c r="A51" s="237"/>
      <c r="B51" s="238"/>
      <c r="C51" s="239"/>
      <c r="D51" s="240"/>
      <c r="E51" s="255" t="s">
        <v>1777</v>
      </c>
      <c r="F51" s="943">
        <f>F7</f>
        <v>306.2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748</v>
      </c>
      <c r="R51" s="1008" t="s">
        <v>774</v>
      </c>
    </row>
    <row r="52" spans="1:18" s="652" customFormat="1" ht="16.2" thickBot="1">
      <c r="A52" s="237"/>
      <c r="B52" s="238"/>
      <c r="C52" s="239"/>
      <c r="D52" s="240"/>
      <c r="E52" s="235" t="s">
        <v>1779</v>
      </c>
      <c r="F52" s="236">
        <f>F8</f>
        <v>365</v>
      </c>
      <c r="I52" s="1466" t="s">
        <v>1926</v>
      </c>
      <c r="J52" s="986">
        <f>IF(J50="",J51,J50+J51-YEAR('数据-取费表'!B2))</f>
        <v>49</v>
      </c>
      <c r="K52" s="1467" t="s">
        <v>1927</v>
      </c>
      <c r="L52" s="987">
        <f ca="1">ROUND(-PV('数据-取费表'!B15,J52,(C40-C13*J35)),0)</f>
        <v>133533469</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7438954</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1275989</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31.8" thickBot="1">
      <c r="A58" s="948"/>
      <c r="B58" s="235" t="s">
        <v>1868</v>
      </c>
      <c r="C58" s="104">
        <f ca="1">C29</f>
        <v>1556084</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16837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622434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744</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42853</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7438954</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15561</v>
      </c>
      <c r="D65" s="1259" t="s">
        <v>1881</v>
      </c>
      <c r="E65" s="235" t="s">
        <v>1825</v>
      </c>
      <c r="F65" s="265">
        <f t="shared" si="0"/>
        <v>0.01</v>
      </c>
      <c r="I65" s="1479" t="s">
        <v>1961</v>
      </c>
      <c r="J65" s="1251">
        <v>50</v>
      </c>
      <c r="K65" s="1251">
        <v>35</v>
      </c>
      <c r="L65" s="1251">
        <v>60</v>
      </c>
      <c r="M65" s="1250">
        <v>0</v>
      </c>
      <c r="O65" s="1009" t="s">
        <v>769</v>
      </c>
      <c r="P65" s="1006" t="s">
        <v>1935</v>
      </c>
      <c r="Q65" s="1011">
        <f ca="1">L52</f>
        <v>133533469</v>
      </c>
      <c r="R65" s="1012" t="s">
        <v>1962</v>
      </c>
    </row>
    <row r="66" spans="1:18" s="652" customFormat="1" ht="19.2" thickBot="1">
      <c r="A66" s="253" t="s">
        <v>20</v>
      </c>
      <c r="B66" s="235" t="s">
        <v>1840</v>
      </c>
      <c r="C66" s="13">
        <f ca="1">ROUND(C57*F66,0)</f>
        <v>1276</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226830</v>
      </c>
      <c r="R66" s="1008"/>
    </row>
    <row r="67" spans="1:18" s="652" customFormat="1" ht="16.2" thickBot="1">
      <c r="A67" s="253" t="s">
        <v>21</v>
      </c>
      <c r="B67" s="235" t="s">
        <v>1823</v>
      </c>
      <c r="C67" s="13">
        <f ca="1">ROUND(C49*F67,0)</f>
        <v>0</v>
      </c>
      <c r="D67" s="1259" t="s">
        <v>1846</v>
      </c>
      <c r="E67" s="235" t="s">
        <v>1842</v>
      </c>
      <c r="F67" s="245">
        <f t="shared" si="0"/>
        <v>1.4999999999999999E-2</v>
      </c>
      <c r="O67" s="1009" t="s">
        <v>775</v>
      </c>
      <c r="P67" s="1013" t="s">
        <v>1965</v>
      </c>
      <c r="Q67" s="1007">
        <f ca="1">C39</f>
        <v>316149</v>
      </c>
      <c r="R67" s="1008" t="s">
        <v>1900</v>
      </c>
    </row>
    <row r="68" spans="1:18" ht="24.6" thickBot="1">
      <c r="A68" s="248" t="s">
        <v>22</v>
      </c>
      <c r="B68" s="41" t="s">
        <v>1850</v>
      </c>
      <c r="C68" s="250">
        <f ca="1">C49-C59</f>
        <v>-16837</v>
      </c>
      <c r="D68" s="1256" t="s">
        <v>1851</v>
      </c>
      <c r="E68" s="1258"/>
      <c r="F68" s="268"/>
      <c r="H68" s="652"/>
      <c r="I68" s="652"/>
      <c r="J68" s="652"/>
      <c r="K68" s="652"/>
      <c r="L68" s="652"/>
      <c r="M68" s="652"/>
      <c r="O68" s="1009" t="s">
        <v>776</v>
      </c>
      <c r="P68" s="1013" t="s">
        <v>1966</v>
      </c>
      <c r="Q68" s="1007">
        <f ca="1">C13</f>
        <v>1275989</v>
      </c>
      <c r="R68" s="1008" t="s">
        <v>1900</v>
      </c>
    </row>
    <row r="69" spans="1:18" ht="16.2" thickBot="1">
      <c r="A69" s="232" t="s">
        <v>23</v>
      </c>
      <c r="B69" s="233" t="s">
        <v>1888</v>
      </c>
      <c r="C69" s="234">
        <f ca="1">ROUND(C68*(1-((1+F71)/(1+F69))^F70)/(F69-F71),0)</f>
        <v>-263903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-862</v>
      </c>
      <c r="D72" s="274" t="s">
        <v>1892</v>
      </c>
      <c r="E72" s="275" t="s">
        <v>1893</v>
      </c>
      <c r="F72" s="276">
        <f>F43</f>
        <v>306.2</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744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2"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306.2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80" t="s">
        <v>2007</v>
      </c>
      <c r="D4" s="3581"/>
      <c r="E4" s="3582" t="s">
        <v>2008</v>
      </c>
      <c r="F4" s="3583"/>
      <c r="G4" s="3580" t="s">
        <v>2009</v>
      </c>
      <c r="H4" s="3581"/>
      <c r="I4" s="3580" t="s">
        <v>2010</v>
      </c>
      <c r="J4" s="3581"/>
      <c r="K4" s="1593"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7" t="s">
        <v>2009</v>
      </c>
      <c r="AC4" s="3577" t="s">
        <v>2010</v>
      </c>
    </row>
    <row r="5" spans="1:29">
      <c r="A5" s="1596"/>
      <c r="B5" s="1597"/>
      <c r="C5" s="3599" t="s">
        <v>2013</v>
      </c>
      <c r="D5" s="3574"/>
      <c r="E5" s="3637" t="s">
        <v>2014</v>
      </c>
      <c r="F5" s="3598"/>
      <c r="G5" s="3599" t="s">
        <v>2015</v>
      </c>
      <c r="H5" s="3574"/>
      <c r="I5" s="3599" t="s">
        <v>2016</v>
      </c>
      <c r="J5" s="3574"/>
      <c r="K5" s="1598"/>
      <c r="L5" s="2915"/>
      <c r="M5" s="2916"/>
      <c r="N5" s="2916"/>
      <c r="O5" s="2916"/>
      <c r="P5" s="3586"/>
      <c r="Q5" s="3587"/>
      <c r="R5" s="3592"/>
      <c r="S5" s="3593"/>
      <c r="T5" s="3592"/>
      <c r="U5" s="3593"/>
      <c r="V5" s="3596"/>
      <c r="W5" s="3596"/>
      <c r="X5" s="1594"/>
      <c r="Y5" s="3592"/>
      <c r="Z5" s="3593"/>
      <c r="AA5" s="3578"/>
      <c r="AB5" s="3578"/>
      <c r="AC5" s="3578"/>
    </row>
    <row r="6" spans="1:29" ht="15" thickBot="1">
      <c r="A6" s="1599"/>
      <c r="B6" s="1600"/>
      <c r="C6" s="3570" t="s">
        <v>2017</v>
      </c>
      <c r="D6" s="3571"/>
      <c r="E6" s="3568" t="s">
        <v>2017</v>
      </c>
      <c r="F6" s="3569"/>
      <c r="G6" s="3570" t="s">
        <v>2017</v>
      </c>
      <c r="H6" s="3571"/>
      <c r="I6" s="3570" t="s">
        <v>2017</v>
      </c>
      <c r="J6" s="3571"/>
      <c r="K6" s="1598" t="s">
        <v>2018</v>
      </c>
      <c r="L6" s="2915"/>
      <c r="M6" s="2916"/>
      <c r="N6" s="2916"/>
      <c r="O6" s="2916"/>
      <c r="P6" s="3588"/>
      <c r="Q6" s="3589"/>
      <c r="R6" s="3592"/>
      <c r="S6" s="3593"/>
      <c r="T6" s="3594"/>
      <c r="U6" s="3595"/>
      <c r="V6" s="3596"/>
      <c r="W6" s="3596"/>
      <c r="X6" s="1594"/>
      <c r="Y6" s="3594"/>
      <c r="Z6" s="3595"/>
      <c r="AA6" s="3579"/>
      <c r="AB6" s="3579"/>
      <c r="AC6" s="3579"/>
    </row>
    <row r="7" spans="1:29" s="1613" customFormat="1" ht="1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5" t="s">
        <v>2020</v>
      </c>
      <c r="Q7" s="3600"/>
      <c r="R7" s="1609" t="s">
        <v>34</v>
      </c>
      <c r="S7" s="1610">
        <f t="shared" ref="S7:S15" si="0">F7</f>
        <v>0</v>
      </c>
      <c r="T7" s="1609" t="s">
        <v>34</v>
      </c>
      <c r="U7" s="1610">
        <f t="shared" ref="U7:U15" si="1">H7</f>
        <v>0</v>
      </c>
      <c r="V7" s="1609" t="s">
        <v>34</v>
      </c>
      <c r="W7" s="1610">
        <f t="shared" ref="W7:W15" si="2">J7</f>
        <v>0</v>
      </c>
      <c r="X7" s="1611"/>
      <c r="Y7" s="3575" t="s">
        <v>2020</v>
      </c>
      <c r="Z7" s="3576"/>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5" t="s">
        <v>2023</v>
      </c>
      <c r="Q8" s="3576"/>
      <c r="R8" s="1609" t="s">
        <v>34</v>
      </c>
      <c r="S8" s="1610">
        <f t="shared" si="0"/>
        <v>0</v>
      </c>
      <c r="T8" s="1609" t="s">
        <v>34</v>
      </c>
      <c r="U8" s="1610">
        <f t="shared" si="1"/>
        <v>0</v>
      </c>
      <c r="V8" s="1609" t="s">
        <v>34</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1"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1"/>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1"/>
      <c r="Q11" s="1563" t="str">
        <f t="shared" si="6"/>
        <v>容积率</v>
      </c>
      <c r="R11" s="1609" t="s">
        <v>28</v>
      </c>
      <c r="S11" s="1610" t="e">
        <f t="shared" si="0"/>
        <v>#N/A</v>
      </c>
      <c r="T11" s="1609" t="s">
        <v>28</v>
      </c>
      <c r="U11" s="1610" t="e">
        <f t="shared" si="1"/>
        <v>#N/A</v>
      </c>
      <c r="V11" s="1609" t="s">
        <v>28</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1"/>
      <c r="Q12" s="1563">
        <f t="shared" si="6"/>
        <v>111</v>
      </c>
      <c r="R12" s="1609" t="s">
        <v>28</v>
      </c>
      <c r="S12" s="1610">
        <f t="shared" si="0"/>
        <v>100</v>
      </c>
      <c r="T12" s="1609" t="s">
        <v>28</v>
      </c>
      <c r="U12" s="1610">
        <f t="shared" si="1"/>
        <v>100</v>
      </c>
      <c r="V12" s="1609" t="s">
        <v>28</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1"/>
      <c r="Q13" s="1563">
        <f t="shared" si="6"/>
        <v>111</v>
      </c>
      <c r="R13" s="1609" t="s">
        <v>28</v>
      </c>
      <c r="S13" s="1610">
        <f t="shared" si="0"/>
        <v>100</v>
      </c>
      <c r="T13" s="1609" t="s">
        <v>28</v>
      </c>
      <c r="U13" s="1610">
        <f t="shared" si="1"/>
        <v>100</v>
      </c>
      <c r="V13" s="1609" t="s">
        <v>28</v>
      </c>
      <c r="W13" s="1610">
        <f t="shared" si="2"/>
        <v>100</v>
      </c>
      <c r="X13" s="1611"/>
      <c r="Y13" s="3498"/>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1"/>
      <c r="Q14" s="1563">
        <f t="shared" si="6"/>
        <v>111</v>
      </c>
      <c r="R14" s="1609" t="s">
        <v>28</v>
      </c>
      <c r="S14" s="1610">
        <f t="shared" si="0"/>
        <v>100</v>
      </c>
      <c r="T14" s="1609" t="s">
        <v>28</v>
      </c>
      <c r="U14" s="1610">
        <f t="shared" si="1"/>
        <v>100</v>
      </c>
      <c r="V14" s="1609" t="s">
        <v>28</v>
      </c>
      <c r="W14" s="1610">
        <f t="shared" si="2"/>
        <v>100</v>
      </c>
      <c r="X14" s="1611"/>
      <c r="Y14" s="3498"/>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02"/>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02"/>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02"/>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02"/>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8"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9"/>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9"/>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9"/>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9"/>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9"/>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9"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9"/>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9"/>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9"/>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9"/>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9"/>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9"/>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9"/>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0"/>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572" t="str">
        <f>A47</f>
        <v>成交单价（元/平方米）</v>
      </c>
      <c r="Q47" s="3572"/>
      <c r="R47" s="3606">
        <f>E47</f>
        <v>0</v>
      </c>
      <c r="S47" s="3606"/>
      <c r="T47" s="3606">
        <f>G47</f>
        <v>0</v>
      </c>
      <c r="U47" s="3606"/>
      <c r="V47" s="3606">
        <f>I47</f>
        <v>0</v>
      </c>
      <c r="W47" s="3606"/>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2" t="str">
        <f>A48</f>
        <v>比较价值（元/平方米）</v>
      </c>
      <c r="Q48" s="3572"/>
      <c r="R48" s="3606" t="e">
        <f>IF(E1="售价",ROUND(PRODUCT(R47,AA7:AA46),0),ROUND(PRODUCT(R47,AA7:AA46),1))</f>
        <v>#DIV/0!</v>
      </c>
      <c r="S48" s="3606"/>
      <c r="T48" s="3644" t="e">
        <f>IF(E1="售价",ROUND(PRODUCT(T47,AB7:AB46),0),ROUND(PRODUCT(T47,AB7:AB46),1))</f>
        <v>#DIV/0!</v>
      </c>
      <c r="U48" s="3645"/>
      <c r="V48" s="3606" t="e">
        <f>IF(E1="售价",ROUND(PRODUCT(V47,AC7:AC46),0),ROUND(PRODUCT(V47,AC7:AC46),1))</f>
        <v>#DIV/0!</v>
      </c>
      <c r="W48" s="3606"/>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306.2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96" t="s">
        <v>2009</v>
      </c>
      <c r="AC4" s="3577" t="s">
        <v>2010</v>
      </c>
    </row>
    <row r="5" spans="1:29">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2003"/>
      <c r="Y5" s="3592"/>
      <c r="Z5" s="3593"/>
      <c r="AA5" s="3578"/>
      <c r="AB5" s="3596"/>
      <c r="AC5" s="3578"/>
    </row>
    <row r="6" spans="1:29" ht="1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96"/>
      <c r="AC6" s="3579"/>
    </row>
    <row r="7" spans="1:29" s="1613" customFormat="1" ht="1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1" t="s">
        <v>2026</v>
      </c>
      <c r="Q9" s="1994"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1"/>
      <c r="Q10" s="1994"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1"/>
      <c r="Q11" s="1994"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1"/>
      <c r="Q12" s="1994">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1"/>
      <c r="Q13" s="1994">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1"/>
      <c r="Q14" s="1994">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602"/>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602"/>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602"/>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602"/>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8"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9"/>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9"/>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9"/>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9"/>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9"/>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9"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9"/>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9"/>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9"/>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9"/>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9"/>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9"/>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9"/>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0"/>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1"/>
      <c r="N47" s="2916"/>
      <c r="P47" s="3572" t="str">
        <f>A47</f>
        <v>成交单价（元/平方米）</v>
      </c>
      <c r="Q47" s="3572"/>
      <c r="R47" s="3606">
        <f>E47</f>
        <v>0</v>
      </c>
      <c r="S47" s="3606"/>
      <c r="T47" s="3606">
        <f>G47</f>
        <v>0</v>
      </c>
      <c r="U47" s="3606"/>
      <c r="V47" s="3606">
        <f>I47</f>
        <v>0</v>
      </c>
      <c r="W47" s="3606"/>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2" t="str">
        <f>A48</f>
        <v>比较价值（元/平方米）</v>
      </c>
      <c r="Q48" s="3572"/>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4" thickTop="1">
      <c r="A92" s="1782"/>
      <c r="B92" s="1787" t="str">
        <f>B28</f>
        <v>楼层</v>
      </c>
      <c r="C92" s="468"/>
      <c r="D92" s="468"/>
      <c r="E92" s="468"/>
      <c r="F92" s="468"/>
      <c r="G92" s="468"/>
      <c r="H92" s="468"/>
      <c r="I92" s="468"/>
      <c r="J92" s="468"/>
      <c r="K92" s="468"/>
      <c r="L92" s="468"/>
      <c r="M92" s="1819"/>
      <c r="N92" s="2934"/>
      <c r="O92" s="2934"/>
      <c r="P92" s="1781"/>
      <c r="Q92" s="1750"/>
    </row>
    <row r="93" spans="1:17" ht="14.4" thickBot="1">
      <c r="A93" s="1782"/>
      <c r="B93" s="1790"/>
      <c r="C93" s="1784"/>
      <c r="D93" s="1784"/>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9"/>
      <c r="Q16" s="1262"/>
      <c r="R16" s="631"/>
      <c r="S16" s="632"/>
      <c r="T16" s="631"/>
      <c r="U16" s="632"/>
      <c r="V16" s="631"/>
      <c r="W16" s="632"/>
      <c r="X16" s="1263"/>
      <c r="Y16" s="3679"/>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9"/>
      <c r="Q18" s="1262"/>
      <c r="R18" s="631"/>
      <c r="S18" s="632"/>
      <c r="T18" s="631"/>
      <c r="U18" s="632"/>
      <c r="V18" s="631"/>
      <c r="W18" s="632"/>
      <c r="X18" s="1263"/>
      <c r="Y18" s="3679"/>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9"/>
      <c r="Q20" s="1262"/>
      <c r="R20" s="631"/>
      <c r="S20" s="632"/>
      <c r="T20" s="631"/>
      <c r="U20" s="632"/>
      <c r="V20" s="631"/>
      <c r="W20" s="632"/>
      <c r="X20" s="1263"/>
      <c r="Y20" s="3679"/>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9"/>
      <c r="Q22" s="1262"/>
      <c r="R22" s="631"/>
      <c r="S22" s="632"/>
      <c r="T22" s="631"/>
      <c r="U22" s="632"/>
      <c r="V22" s="631"/>
      <c r="W22" s="632"/>
      <c r="X22" s="1263"/>
      <c r="Y22" s="3679"/>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1" t="s">
        <v>2037</v>
      </c>
      <c r="Q29" s="1262" t="str">
        <f t="shared" si="11"/>
        <v>建筑类型</v>
      </c>
      <c r="R29" s="631" t="s">
        <v>25</v>
      </c>
      <c r="S29" s="632">
        <f t="shared" si="12"/>
        <v>100</v>
      </c>
      <c r="T29" s="631" t="s">
        <v>25</v>
      </c>
      <c r="U29" s="632">
        <f t="shared" si="13"/>
        <v>100</v>
      </c>
      <c r="V29" s="631" t="s">
        <v>25</v>
      </c>
      <c r="W29" s="632">
        <f t="shared" si="14"/>
        <v>100</v>
      </c>
      <c r="X29" s="1263"/>
      <c r="Y29" s="368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2"/>
      <c r="Q30" s="633" t="str">
        <f t="shared" si="11"/>
        <v>项目建筑规模</v>
      </c>
      <c r="R30" s="634" t="s">
        <v>25</v>
      </c>
      <c r="S30" s="635" t="e">
        <f t="shared" si="12"/>
        <v>#N/A</v>
      </c>
      <c r="T30" s="634" t="s">
        <v>25</v>
      </c>
      <c r="U30" s="635" t="e">
        <f t="shared" si="13"/>
        <v>#N/A</v>
      </c>
      <c r="V30" s="634" t="s">
        <v>25</v>
      </c>
      <c r="W30" s="635" t="e">
        <f t="shared" si="14"/>
        <v>#N/A</v>
      </c>
      <c r="X30" s="636"/>
      <c r="Y30" s="368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2"/>
      <c r="Q31" s="1262" t="str">
        <f t="shared" si="11"/>
        <v>建筑结构</v>
      </c>
      <c r="R31" s="631" t="s">
        <v>25</v>
      </c>
      <c r="S31" s="632">
        <f t="shared" si="12"/>
        <v>100</v>
      </c>
      <c r="T31" s="631" t="s">
        <v>25</v>
      </c>
      <c r="U31" s="632">
        <f t="shared" si="13"/>
        <v>100</v>
      </c>
      <c r="V31" s="631" t="s">
        <v>25</v>
      </c>
      <c r="W31" s="632">
        <f t="shared" si="14"/>
        <v>100</v>
      </c>
      <c r="X31" s="1263"/>
      <c r="Y31" s="368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2"/>
      <c r="Q32" s="1262" t="str">
        <f t="shared" si="11"/>
        <v>公共部分装修</v>
      </c>
      <c r="R32" s="631" t="s">
        <v>25</v>
      </c>
      <c r="S32" s="632">
        <f t="shared" si="12"/>
        <v>100</v>
      </c>
      <c r="T32" s="631" t="s">
        <v>25</v>
      </c>
      <c r="U32" s="632">
        <f t="shared" si="13"/>
        <v>100</v>
      </c>
      <c r="V32" s="631" t="s">
        <v>25</v>
      </c>
      <c r="W32" s="632">
        <f t="shared" si="14"/>
        <v>100</v>
      </c>
      <c r="X32" s="1263"/>
      <c r="Y32" s="368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2"/>
      <c r="Q33" s="1262" t="str">
        <f t="shared" si="11"/>
        <v>成新度</v>
      </c>
      <c r="R33" s="631" t="s">
        <v>25</v>
      </c>
      <c r="S33" s="632" t="e">
        <f t="shared" si="12"/>
        <v>#N/A</v>
      </c>
      <c r="T33" s="631" t="s">
        <v>25</v>
      </c>
      <c r="U33" s="632" t="e">
        <f t="shared" si="13"/>
        <v>#N/A</v>
      </c>
      <c r="V33" s="631" t="s">
        <v>25</v>
      </c>
      <c r="W33" s="632" t="e">
        <f t="shared" si="14"/>
        <v>#N/A</v>
      </c>
      <c r="X33" s="1263"/>
      <c r="Y33" s="368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2"/>
      <c r="Q34" s="1255" t="str">
        <f t="shared" si="11"/>
        <v>物业管理</v>
      </c>
      <c r="R34" s="627" t="s">
        <v>25</v>
      </c>
      <c r="S34" s="628">
        <f t="shared" si="12"/>
        <v>100</v>
      </c>
      <c r="T34" s="627" t="s">
        <v>25</v>
      </c>
      <c r="U34" s="628">
        <f t="shared" si="13"/>
        <v>100</v>
      </c>
      <c r="V34" s="627" t="s">
        <v>25</v>
      </c>
      <c r="W34" s="628">
        <f t="shared" si="14"/>
        <v>100</v>
      </c>
      <c r="X34" s="629"/>
      <c r="Y34" s="368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2" t="s">
        <v>2037</v>
      </c>
      <c r="Q35" s="1262" t="str">
        <f t="shared" si="11"/>
        <v>市政基础设施</v>
      </c>
      <c r="R35" s="631" t="s">
        <v>25</v>
      </c>
      <c r="S35" s="632">
        <f t="shared" si="12"/>
        <v>100</v>
      </c>
      <c r="T35" s="631" t="s">
        <v>25</v>
      </c>
      <c r="U35" s="632">
        <f t="shared" si="13"/>
        <v>100</v>
      </c>
      <c r="V35" s="631" t="s">
        <v>25</v>
      </c>
      <c r="W35" s="632">
        <f t="shared" si="14"/>
        <v>100</v>
      </c>
      <c r="X35" s="1263"/>
      <c r="Y35" s="368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2"/>
      <c r="Q36" s="1262" t="str">
        <f t="shared" si="11"/>
        <v>内部装修</v>
      </c>
      <c r="R36" s="631" t="s">
        <v>25</v>
      </c>
      <c r="S36" s="632">
        <f t="shared" si="12"/>
        <v>100</v>
      </c>
      <c r="T36" s="631" t="s">
        <v>25</v>
      </c>
      <c r="U36" s="632">
        <f t="shared" si="13"/>
        <v>100</v>
      </c>
      <c r="V36" s="631" t="s">
        <v>25</v>
      </c>
      <c r="W36" s="632">
        <f t="shared" si="14"/>
        <v>100</v>
      </c>
      <c r="X36" s="1263"/>
      <c r="Y36" s="368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2"/>
      <c r="Q37" s="1262" t="str">
        <f t="shared" si="11"/>
        <v>内部装修状况</v>
      </c>
      <c r="R37" s="631" t="s">
        <v>25</v>
      </c>
      <c r="S37" s="632">
        <f t="shared" si="12"/>
        <v>100</v>
      </c>
      <c r="T37" s="631" t="s">
        <v>25</v>
      </c>
      <c r="U37" s="632">
        <f t="shared" si="13"/>
        <v>100</v>
      </c>
      <c r="V37" s="631" t="s">
        <v>25</v>
      </c>
      <c r="W37" s="632">
        <f t="shared" si="14"/>
        <v>100</v>
      </c>
      <c r="X37" s="1263"/>
      <c r="Y37" s="368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2"/>
      <c r="Q38" s="633">
        <f t="shared" si="11"/>
        <v>111</v>
      </c>
      <c r="R38" s="634" t="s">
        <v>25</v>
      </c>
      <c r="S38" s="635">
        <f t="shared" si="12"/>
        <v>100</v>
      </c>
      <c r="T38" s="634" t="s">
        <v>25</v>
      </c>
      <c r="U38" s="635">
        <f t="shared" si="13"/>
        <v>100</v>
      </c>
      <c r="V38" s="634" t="s">
        <v>25</v>
      </c>
      <c r="W38" s="635">
        <f t="shared" si="14"/>
        <v>100</v>
      </c>
      <c r="X38" s="636"/>
      <c r="Y38" s="368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2"/>
      <c r="Q39" s="1262">
        <f t="shared" si="11"/>
        <v>111</v>
      </c>
      <c r="R39" s="631" t="s">
        <v>25</v>
      </c>
      <c r="S39" s="632">
        <f t="shared" si="12"/>
        <v>100</v>
      </c>
      <c r="T39" s="631" t="s">
        <v>25</v>
      </c>
      <c r="U39" s="632">
        <f t="shared" si="13"/>
        <v>100</v>
      </c>
      <c r="V39" s="631" t="s">
        <v>25</v>
      </c>
      <c r="W39" s="632">
        <f t="shared" si="14"/>
        <v>100</v>
      </c>
      <c r="X39" s="1263"/>
      <c r="Y39" s="3682"/>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3"/>
      <c r="Q40" s="1262">
        <f t="shared" si="11"/>
        <v>111</v>
      </c>
      <c r="R40" s="631" t="s">
        <v>25</v>
      </c>
      <c r="S40" s="632">
        <f t="shared" si="12"/>
        <v>100</v>
      </c>
      <c r="T40" s="631" t="s">
        <v>25</v>
      </c>
      <c r="U40" s="632">
        <f t="shared" si="13"/>
        <v>100</v>
      </c>
      <c r="V40" s="631" t="s">
        <v>25</v>
      </c>
      <c r="W40" s="632">
        <f t="shared" si="14"/>
        <v>100</v>
      </c>
      <c r="X40" s="1263"/>
      <c r="Y40" s="3683"/>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50" t="str">
        <f>A41</f>
        <v>成交单价（元/平方米）</v>
      </c>
      <c r="Q41" s="3650"/>
      <c r="R41" s="3684">
        <f>E41</f>
        <v>0</v>
      </c>
      <c r="S41" s="3684"/>
      <c r="T41" s="3684">
        <f>G41</f>
        <v>0</v>
      </c>
      <c r="U41" s="3684"/>
      <c r="V41" s="3684">
        <f>I41</f>
        <v>0</v>
      </c>
      <c r="W41" s="3684"/>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306.2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2"/>
      <c r="Q27" s="633" t="str">
        <f t="shared" si="11"/>
        <v>项目停车位配比</v>
      </c>
      <c r="R27" s="634" t="s">
        <v>25</v>
      </c>
      <c r="S27" s="635">
        <f t="shared" si="12"/>
        <v>100</v>
      </c>
      <c r="T27" s="634" t="s">
        <v>25</v>
      </c>
      <c r="U27" s="635">
        <f t="shared" si="13"/>
        <v>100</v>
      </c>
      <c r="V27" s="634" t="s">
        <v>25</v>
      </c>
      <c r="W27" s="635">
        <f t="shared" si="14"/>
        <v>100</v>
      </c>
      <c r="X27" s="636"/>
      <c r="Y27" s="368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2"/>
      <c r="Q28" s="1262" t="str">
        <f t="shared" si="11"/>
        <v>公共部分装修</v>
      </c>
      <c r="R28" s="631" t="s">
        <v>25</v>
      </c>
      <c r="S28" s="632">
        <f t="shared" si="12"/>
        <v>100</v>
      </c>
      <c r="T28" s="631" t="s">
        <v>25</v>
      </c>
      <c r="U28" s="632">
        <f t="shared" si="13"/>
        <v>100</v>
      </c>
      <c r="V28" s="631" t="s">
        <v>25</v>
      </c>
      <c r="W28" s="632">
        <f t="shared" si="14"/>
        <v>100</v>
      </c>
      <c r="X28" s="1263"/>
      <c r="Y28" s="368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2"/>
      <c r="Q29" s="1262" t="str">
        <f t="shared" si="11"/>
        <v>成新率</v>
      </c>
      <c r="R29" s="631" t="s">
        <v>25</v>
      </c>
      <c r="S29" s="632" t="e">
        <f t="shared" si="12"/>
        <v>#N/A</v>
      </c>
      <c r="T29" s="631" t="s">
        <v>25</v>
      </c>
      <c r="U29" s="632" t="e">
        <f t="shared" si="13"/>
        <v>#N/A</v>
      </c>
      <c r="V29" s="631" t="s">
        <v>25</v>
      </c>
      <c r="W29" s="632" t="e">
        <f t="shared" si="14"/>
        <v>#N/A</v>
      </c>
      <c r="X29" s="1263"/>
      <c r="Y29" s="368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2"/>
      <c r="Q30" s="1262" t="str">
        <f t="shared" si="11"/>
        <v>物业等级</v>
      </c>
      <c r="R30" s="631" t="s">
        <v>25</v>
      </c>
      <c r="S30" s="632">
        <f t="shared" si="12"/>
        <v>100</v>
      </c>
      <c r="T30" s="631" t="s">
        <v>25</v>
      </c>
      <c r="U30" s="632">
        <f t="shared" si="13"/>
        <v>100</v>
      </c>
      <c r="V30" s="631" t="s">
        <v>25</v>
      </c>
      <c r="W30" s="632">
        <f t="shared" si="14"/>
        <v>100</v>
      </c>
      <c r="X30" s="1263"/>
      <c r="Y30" s="368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2"/>
      <c r="Q31" s="1255" t="str">
        <f t="shared" si="11"/>
        <v>停车位面积</v>
      </c>
      <c r="R31" s="627" t="s">
        <v>25</v>
      </c>
      <c r="S31" s="628" t="e">
        <f t="shared" si="12"/>
        <v>#N/A</v>
      </c>
      <c r="T31" s="627" t="s">
        <v>25</v>
      </c>
      <c r="U31" s="628" t="e">
        <f t="shared" si="13"/>
        <v>#N/A</v>
      </c>
      <c r="V31" s="627" t="s">
        <v>25</v>
      </c>
      <c r="W31" s="628" t="e">
        <f t="shared" si="14"/>
        <v>#N/A</v>
      </c>
      <c r="X31" s="629"/>
      <c r="Y31" s="368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2" t="s">
        <v>2037</v>
      </c>
      <c r="Q32" s="1262" t="str">
        <f t="shared" si="11"/>
        <v>车位类型</v>
      </c>
      <c r="R32" s="631" t="s">
        <v>25</v>
      </c>
      <c r="S32" s="632">
        <f t="shared" si="12"/>
        <v>100</v>
      </c>
      <c r="T32" s="631" t="s">
        <v>25</v>
      </c>
      <c r="U32" s="632">
        <f t="shared" si="13"/>
        <v>100</v>
      </c>
      <c r="V32" s="631" t="s">
        <v>25</v>
      </c>
      <c r="W32" s="632">
        <f t="shared" si="14"/>
        <v>100</v>
      </c>
      <c r="X32" s="1263"/>
      <c r="Y32" s="368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2"/>
      <c r="Q33" s="1262" t="str">
        <f t="shared" si="11"/>
        <v>是否直接入户</v>
      </c>
      <c r="R33" s="631" t="s">
        <v>25</v>
      </c>
      <c r="S33" s="632">
        <f t="shared" si="12"/>
        <v>100</v>
      </c>
      <c r="T33" s="631" t="s">
        <v>25</v>
      </c>
      <c r="U33" s="632">
        <f t="shared" si="13"/>
        <v>100</v>
      </c>
      <c r="V33" s="631" t="s">
        <v>25</v>
      </c>
      <c r="W33" s="632">
        <f t="shared" si="14"/>
        <v>100</v>
      </c>
      <c r="X33" s="1263"/>
      <c r="Y33" s="368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2"/>
      <c r="Q35" s="633">
        <f t="shared" si="11"/>
        <v>111</v>
      </c>
      <c r="R35" s="634" t="s">
        <v>25</v>
      </c>
      <c r="S35" s="635">
        <f t="shared" si="12"/>
        <v>100</v>
      </c>
      <c r="T35" s="634" t="s">
        <v>25</v>
      </c>
      <c r="U35" s="635">
        <f t="shared" si="13"/>
        <v>100</v>
      </c>
      <c r="V35" s="634" t="s">
        <v>25</v>
      </c>
      <c r="W35" s="635">
        <f t="shared" si="14"/>
        <v>100</v>
      </c>
      <c r="X35" s="636"/>
      <c r="Y35" s="3682"/>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2"/>
      <c r="Q36" s="1262">
        <f t="shared" si="11"/>
        <v>111</v>
      </c>
      <c r="R36" s="631" t="s">
        <v>25</v>
      </c>
      <c r="S36" s="632">
        <f t="shared" si="12"/>
        <v>100</v>
      </c>
      <c r="T36" s="631" t="s">
        <v>25</v>
      </c>
      <c r="U36" s="632">
        <f t="shared" si="13"/>
        <v>100</v>
      </c>
      <c r="V36" s="631" t="s">
        <v>25</v>
      </c>
      <c r="W36" s="632">
        <f t="shared" si="14"/>
        <v>100</v>
      </c>
      <c r="X36" s="1263"/>
      <c r="Y36" s="3682"/>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50" t="str">
        <f>A37</f>
        <v>成交单价</v>
      </c>
      <c r="Q37" s="3650"/>
      <c r="R37" s="3684">
        <f>E37</f>
        <v>0</v>
      </c>
      <c r="S37" s="3684"/>
      <c r="T37" s="3684">
        <f>G37</f>
        <v>0</v>
      </c>
      <c r="U37" s="3684"/>
      <c r="V37" s="3684">
        <f>I37</f>
        <v>0</v>
      </c>
      <c r="W37" s="3684"/>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2"/>
      <c r="Q27" s="633" t="str">
        <f t="shared" si="11"/>
        <v>成新率</v>
      </c>
      <c r="R27" s="634" t="s">
        <v>25</v>
      </c>
      <c r="S27" s="635" t="e">
        <f t="shared" si="12"/>
        <v>#N/A</v>
      </c>
      <c r="T27" s="634" t="s">
        <v>25</v>
      </c>
      <c r="U27" s="635" t="e">
        <f t="shared" si="13"/>
        <v>#N/A</v>
      </c>
      <c r="V27" s="634" t="s">
        <v>25</v>
      </c>
      <c r="W27" s="635" t="e">
        <f t="shared" si="14"/>
        <v>#N/A</v>
      </c>
      <c r="X27" s="636"/>
      <c r="Y27" s="368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2"/>
      <c r="Q28" s="1262" t="str">
        <f t="shared" si="11"/>
        <v>物业等级</v>
      </c>
      <c r="R28" s="631" t="s">
        <v>25</v>
      </c>
      <c r="S28" s="632">
        <f t="shared" si="12"/>
        <v>100</v>
      </c>
      <c r="T28" s="631" t="s">
        <v>25</v>
      </c>
      <c r="U28" s="632">
        <f t="shared" si="13"/>
        <v>100</v>
      </c>
      <c r="V28" s="631" t="s">
        <v>25</v>
      </c>
      <c r="W28" s="632">
        <f t="shared" si="14"/>
        <v>100</v>
      </c>
      <c r="X28" s="1263"/>
      <c r="Y28" s="368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2"/>
      <c r="Q29" s="1262" t="str">
        <f t="shared" si="11"/>
        <v>有无电梯</v>
      </c>
      <c r="R29" s="631" t="s">
        <v>25</v>
      </c>
      <c r="S29" s="632">
        <f t="shared" si="12"/>
        <v>100</v>
      </c>
      <c r="T29" s="631" t="s">
        <v>25</v>
      </c>
      <c r="U29" s="632">
        <f t="shared" si="13"/>
        <v>100</v>
      </c>
      <c r="V29" s="631" t="s">
        <v>25</v>
      </c>
      <c r="W29" s="632">
        <f t="shared" si="14"/>
        <v>100</v>
      </c>
      <c r="X29" s="1263"/>
      <c r="Y29" s="368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2"/>
      <c r="Q30" s="1262" t="str">
        <f t="shared" si="11"/>
        <v>建筑面积</v>
      </c>
      <c r="R30" s="631" t="s">
        <v>25</v>
      </c>
      <c r="S30" s="632" t="e">
        <f t="shared" si="12"/>
        <v>#N/A</v>
      </c>
      <c r="T30" s="631" t="s">
        <v>25</v>
      </c>
      <c r="U30" s="632" t="e">
        <f t="shared" si="13"/>
        <v>#N/A</v>
      </c>
      <c r="V30" s="631" t="s">
        <v>25</v>
      </c>
      <c r="W30" s="632" t="e">
        <f t="shared" si="14"/>
        <v>#N/A</v>
      </c>
      <c r="X30" s="1263"/>
      <c r="Y30" s="368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2"/>
      <c r="Q31" s="1255" t="str">
        <f t="shared" si="11"/>
        <v>是否封闭</v>
      </c>
      <c r="R31" s="627" t="s">
        <v>25</v>
      </c>
      <c r="S31" s="628">
        <f t="shared" si="12"/>
        <v>100</v>
      </c>
      <c r="T31" s="627" t="s">
        <v>25</v>
      </c>
      <c r="U31" s="628">
        <f t="shared" si="13"/>
        <v>100</v>
      </c>
      <c r="V31" s="627" t="s">
        <v>25</v>
      </c>
      <c r="W31" s="628">
        <f t="shared" si="14"/>
        <v>100</v>
      </c>
      <c r="X31" s="629"/>
      <c r="Y31" s="368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2" t="s">
        <v>2037</v>
      </c>
      <c r="Q32" s="1262">
        <f t="shared" si="11"/>
        <v>111</v>
      </c>
      <c r="R32" s="631" t="s">
        <v>25</v>
      </c>
      <c r="S32" s="632">
        <f t="shared" si="12"/>
        <v>100</v>
      </c>
      <c r="T32" s="631" t="s">
        <v>25</v>
      </c>
      <c r="U32" s="632">
        <f t="shared" si="13"/>
        <v>100</v>
      </c>
      <c r="V32" s="631" t="s">
        <v>25</v>
      </c>
      <c r="W32" s="632">
        <f t="shared" si="14"/>
        <v>100</v>
      </c>
      <c r="X32" s="1263"/>
      <c r="Y32" s="368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2"/>
      <c r="Q33" s="1262">
        <f t="shared" si="11"/>
        <v>111</v>
      </c>
      <c r="R33" s="631" t="s">
        <v>25</v>
      </c>
      <c r="S33" s="632">
        <f t="shared" si="12"/>
        <v>100</v>
      </c>
      <c r="T33" s="631" t="s">
        <v>25</v>
      </c>
      <c r="U33" s="632">
        <f t="shared" si="13"/>
        <v>100</v>
      </c>
      <c r="V33" s="631" t="s">
        <v>25</v>
      </c>
      <c r="W33" s="632">
        <f t="shared" si="14"/>
        <v>100</v>
      </c>
      <c r="X33" s="1263"/>
      <c r="Y33" s="3682"/>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50" t="str">
        <f>A35</f>
        <v>成交单价（元/平方米）</v>
      </c>
      <c r="Q35" s="3650"/>
      <c r="R35" s="3684">
        <f>E35</f>
        <v>0</v>
      </c>
      <c r="S35" s="3684"/>
      <c r="T35" s="3684">
        <f>G35</f>
        <v>0</v>
      </c>
      <c r="U35" s="3684"/>
      <c r="V35" s="3684">
        <f>I35</f>
        <v>0</v>
      </c>
      <c r="W35" s="3684"/>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8" t="s">
        <v>2009</v>
      </c>
      <c r="AC4" s="3577" t="s">
        <v>2010</v>
      </c>
    </row>
    <row r="5" spans="1:30">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1594"/>
      <c r="Y5" s="3592"/>
      <c r="Z5" s="3593"/>
      <c r="AA5" s="3578"/>
      <c r="AB5" s="3578"/>
      <c r="AC5" s="3578"/>
    </row>
    <row r="6" spans="1:30" ht="1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1594"/>
      <c r="Y6" s="3594"/>
      <c r="Z6" s="3595"/>
      <c r="AA6" s="3579"/>
      <c r="AB6" s="3579"/>
      <c r="AC6" s="3579"/>
    </row>
    <row r="7" spans="1:30" s="1613" customFormat="1" ht="1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2"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2"/>
      <c r="Q10" s="1563" t="str">
        <f t="shared" si="6"/>
        <v>土地使用年限（年）</v>
      </c>
      <c r="R10" s="1609" t="s">
        <v>25</v>
      </c>
      <c r="S10" s="1610">
        <f t="shared" si="0"/>
        <v>109</v>
      </c>
      <c r="T10" s="1609" t="s">
        <v>25</v>
      </c>
      <c r="U10" s="1610">
        <f t="shared" si="1"/>
        <v>109</v>
      </c>
      <c r="V10" s="1609" t="s">
        <v>25</v>
      </c>
      <c r="W10" s="1610">
        <f t="shared" si="2"/>
        <v>109</v>
      </c>
      <c r="X10" s="1611"/>
      <c r="Y10" s="3498"/>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2"/>
      <c r="Q11" s="1563"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2"/>
      <c r="Q12" s="1563" t="str">
        <f t="shared" si="6"/>
        <v>配建</v>
      </c>
      <c r="R12" s="1609" t="s">
        <v>25</v>
      </c>
      <c r="S12" s="1610">
        <f t="shared" si="0"/>
        <v>100</v>
      </c>
      <c r="T12" s="1609" t="s">
        <v>25</v>
      </c>
      <c r="U12" s="1610">
        <f t="shared" si="1"/>
        <v>100</v>
      </c>
      <c r="V12" s="1609" t="s">
        <v>25</v>
      </c>
      <c r="W12" s="1610">
        <f t="shared" si="2"/>
        <v>100</v>
      </c>
      <c r="X12" s="1611"/>
      <c r="Y12" s="349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2"/>
      <c r="Q13" s="1563">
        <f t="shared" si="6"/>
        <v>111</v>
      </c>
      <c r="R13" s="1609" t="s">
        <v>25</v>
      </c>
      <c r="S13" s="1610">
        <f t="shared" si="0"/>
        <v>100</v>
      </c>
      <c r="T13" s="1609" t="s">
        <v>25</v>
      </c>
      <c r="U13" s="1610">
        <f t="shared" si="1"/>
        <v>100</v>
      </c>
      <c r="V13" s="1609" t="s">
        <v>25</v>
      </c>
      <c r="W13" s="1610">
        <f t="shared" si="2"/>
        <v>100</v>
      </c>
      <c r="X13" s="1611"/>
      <c r="Y13" s="3498"/>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2"/>
      <c r="Q14" s="1563">
        <f t="shared" si="6"/>
        <v>111</v>
      </c>
      <c r="R14" s="1609" t="s">
        <v>25</v>
      </c>
      <c r="S14" s="1610">
        <f t="shared" si="0"/>
        <v>100</v>
      </c>
      <c r="T14" s="1609" t="s">
        <v>25</v>
      </c>
      <c r="U14" s="1610">
        <f t="shared" si="1"/>
        <v>100</v>
      </c>
      <c r="V14" s="1609" t="s">
        <v>25</v>
      </c>
      <c r="W14" s="1610">
        <f t="shared" si="2"/>
        <v>100</v>
      </c>
      <c r="X14" s="1611"/>
      <c r="Y14" s="3498"/>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572" t="str">
        <f>A46</f>
        <v>成交单价</v>
      </c>
      <c r="Q46" s="3572"/>
      <c r="R46" s="3596">
        <f>E46</f>
        <v>0</v>
      </c>
      <c r="S46" s="3596"/>
      <c r="T46" s="3596">
        <f>G46</f>
        <v>0</v>
      </c>
      <c r="U46" s="3596"/>
      <c r="V46" s="3596">
        <f>I46</f>
        <v>0</v>
      </c>
      <c r="W46" s="3596"/>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2" t="str">
        <f>A47</f>
        <v>比较价值（元/平方米）</v>
      </c>
      <c r="Q47" s="3572"/>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0"/>
      <c r="Q10" s="1255" t="str">
        <f t="shared" si="6"/>
        <v>土地使用年限（年）</v>
      </c>
      <c r="R10" s="627" t="s">
        <v>25</v>
      </c>
      <c r="S10" s="628">
        <f t="shared" si="0"/>
        <v>109</v>
      </c>
      <c r="T10" s="627" t="s">
        <v>25</v>
      </c>
      <c r="U10" s="628">
        <f t="shared" si="1"/>
        <v>109</v>
      </c>
      <c r="V10" s="627" t="s">
        <v>25</v>
      </c>
      <c r="W10" s="628">
        <f t="shared" si="2"/>
        <v>109</v>
      </c>
      <c r="X10" s="629"/>
      <c r="Y10" s="368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9"/>
      <c r="Q16" s="1262"/>
      <c r="R16" s="631"/>
      <c r="S16" s="632"/>
      <c r="T16" s="631"/>
      <c r="U16" s="632"/>
      <c r="V16" s="631"/>
      <c r="W16" s="632"/>
      <c r="X16" s="1263"/>
      <c r="Y16" s="3679"/>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9"/>
      <c r="Q18" s="1262"/>
      <c r="R18" s="631"/>
      <c r="S18" s="632"/>
      <c r="T18" s="631"/>
      <c r="U18" s="632"/>
      <c r="V18" s="631"/>
      <c r="W18" s="632"/>
      <c r="X18" s="1263"/>
      <c r="Y18" s="3679"/>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9"/>
      <c r="Q20" s="1262"/>
      <c r="R20" s="631"/>
      <c r="S20" s="632"/>
      <c r="T20" s="631"/>
      <c r="U20" s="632"/>
      <c r="V20" s="631"/>
      <c r="W20" s="632"/>
      <c r="X20" s="1263"/>
      <c r="Y20" s="3679"/>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9"/>
      <c r="Q22" s="1262"/>
      <c r="R22" s="631"/>
      <c r="S22" s="632"/>
      <c r="T22" s="631"/>
      <c r="U22" s="632"/>
      <c r="V22" s="631"/>
      <c r="W22" s="632"/>
      <c r="X22" s="1263"/>
      <c r="Y22" s="3679"/>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9"/>
      <c r="Q24" s="1255"/>
      <c r="R24" s="627"/>
      <c r="S24" s="628"/>
      <c r="T24" s="627"/>
      <c r="U24" s="628"/>
      <c r="V24" s="627"/>
      <c r="W24" s="628"/>
      <c r="X24" s="629"/>
      <c r="Y24" s="3679"/>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1" t="s">
        <v>2037</v>
      </c>
      <c r="Q32" s="1262">
        <f t="shared" si="8"/>
        <v>111</v>
      </c>
      <c r="R32" s="631" t="s">
        <v>25</v>
      </c>
      <c r="S32" s="632">
        <f t="shared" si="10"/>
        <v>100</v>
      </c>
      <c r="T32" s="631" t="s">
        <v>25</v>
      </c>
      <c r="U32" s="632">
        <f t="shared" si="11"/>
        <v>100</v>
      </c>
      <c r="V32" s="631" t="s">
        <v>25</v>
      </c>
      <c r="W32" s="632">
        <f t="shared" si="12"/>
        <v>100</v>
      </c>
      <c r="X32" s="1263"/>
      <c r="Y32" s="3682"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2"/>
      <c r="Q33" s="1262">
        <f t="shared" si="8"/>
        <v>111</v>
      </c>
      <c r="R33" s="634" t="s">
        <v>25</v>
      </c>
      <c r="S33" s="635">
        <f t="shared" si="10"/>
        <v>100</v>
      </c>
      <c r="T33" s="634" t="s">
        <v>25</v>
      </c>
      <c r="U33" s="635">
        <f t="shared" si="11"/>
        <v>100</v>
      </c>
      <c r="V33" s="634" t="s">
        <v>25</v>
      </c>
      <c r="W33" s="635">
        <f t="shared" si="12"/>
        <v>100</v>
      </c>
      <c r="X33" s="636"/>
      <c r="Y33" s="3682"/>
      <c r="Z33" s="637">
        <f t="shared" si="13"/>
        <v>111</v>
      </c>
      <c r="AA33" s="1265">
        <f t="shared" si="3"/>
        <v>1</v>
      </c>
      <c r="AB33" s="1265">
        <f t="shared" si="4"/>
        <v>1</v>
      </c>
      <c r="AC33" s="1265">
        <f t="shared" si="5"/>
        <v>1</v>
      </c>
    </row>
    <row r="34" spans="1:29" ht="30">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2"/>
      <c r="Q34" s="1262" t="str">
        <f>B34</f>
        <v>宗地面积</v>
      </c>
      <c r="R34" s="631" t="s">
        <v>25</v>
      </c>
      <c r="S34" s="632" t="e">
        <f t="shared" si="10"/>
        <v>#N/A</v>
      </c>
      <c r="T34" s="631" t="s">
        <v>25</v>
      </c>
      <c r="U34" s="632" t="e">
        <f t="shared" si="11"/>
        <v>#N/A</v>
      </c>
      <c r="V34" s="631" t="s">
        <v>25</v>
      </c>
      <c r="W34" s="632" t="e">
        <f t="shared" si="12"/>
        <v>#N/A</v>
      </c>
      <c r="X34" s="1263"/>
      <c r="Y34" s="368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2"/>
      <c r="Q35" s="1262" t="str">
        <f t="shared" ref="Q35:Q40" si="14">B35</f>
        <v>宗地形状</v>
      </c>
      <c r="R35" s="631" t="s">
        <v>25</v>
      </c>
      <c r="S35" s="632">
        <f t="shared" si="10"/>
        <v>100</v>
      </c>
      <c r="T35" s="631" t="s">
        <v>25</v>
      </c>
      <c r="U35" s="632">
        <f t="shared" si="11"/>
        <v>100</v>
      </c>
      <c r="V35" s="631" t="s">
        <v>25</v>
      </c>
      <c r="W35" s="632">
        <f t="shared" si="12"/>
        <v>100</v>
      </c>
      <c r="X35" s="1263"/>
      <c r="Y35" s="368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2"/>
      <c r="Q36" s="1262" t="str">
        <f t="shared" si="14"/>
        <v>宗地开发程度</v>
      </c>
      <c r="R36" s="627" t="s">
        <v>25</v>
      </c>
      <c r="S36" s="628">
        <f t="shared" si="10"/>
        <v>100</v>
      </c>
      <c r="T36" s="627" t="s">
        <v>25</v>
      </c>
      <c r="U36" s="628">
        <f t="shared" si="11"/>
        <v>100</v>
      </c>
      <c r="V36" s="627" t="s">
        <v>25</v>
      </c>
      <c r="W36" s="628">
        <f t="shared" si="12"/>
        <v>100</v>
      </c>
      <c r="X36" s="629"/>
      <c r="Y36" s="368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2" t="s">
        <v>2037</v>
      </c>
      <c r="Q37" s="1262" t="str">
        <f t="shared" si="14"/>
        <v>工程地质条件</v>
      </c>
      <c r="R37" s="631" t="s">
        <v>25</v>
      </c>
      <c r="S37" s="632">
        <f t="shared" si="10"/>
        <v>100</v>
      </c>
      <c r="T37" s="631" t="s">
        <v>25</v>
      </c>
      <c r="U37" s="632">
        <f t="shared" si="11"/>
        <v>100</v>
      </c>
      <c r="V37" s="631" t="s">
        <v>25</v>
      </c>
      <c r="W37" s="632">
        <f t="shared" si="12"/>
        <v>100</v>
      </c>
      <c r="X37" s="1263"/>
      <c r="Y37" s="368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2"/>
      <c r="Q38" s="1262">
        <f t="shared" si="14"/>
        <v>111</v>
      </c>
      <c r="R38" s="631" t="s">
        <v>25</v>
      </c>
      <c r="S38" s="632">
        <f t="shared" si="10"/>
        <v>100</v>
      </c>
      <c r="T38" s="631" t="s">
        <v>25</v>
      </c>
      <c r="U38" s="632">
        <f t="shared" si="11"/>
        <v>100</v>
      </c>
      <c r="V38" s="631" t="s">
        <v>25</v>
      </c>
      <c r="W38" s="632">
        <f t="shared" si="12"/>
        <v>100</v>
      </c>
      <c r="X38" s="1263"/>
      <c r="Y38" s="368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2"/>
      <c r="Q39" s="1262">
        <f t="shared" si="14"/>
        <v>111</v>
      </c>
      <c r="R39" s="631" t="s">
        <v>25</v>
      </c>
      <c r="S39" s="632">
        <f t="shared" si="10"/>
        <v>100</v>
      </c>
      <c r="T39" s="631" t="s">
        <v>25</v>
      </c>
      <c r="U39" s="632">
        <f t="shared" si="11"/>
        <v>100</v>
      </c>
      <c r="V39" s="631" t="s">
        <v>25</v>
      </c>
      <c r="W39" s="632">
        <f t="shared" si="12"/>
        <v>100</v>
      </c>
      <c r="X39" s="1263"/>
      <c r="Y39" s="3682"/>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2"/>
      <c r="Q40" s="1262">
        <f t="shared" si="14"/>
        <v>111</v>
      </c>
      <c r="R40" s="634" t="s">
        <v>25</v>
      </c>
      <c r="S40" s="635">
        <f t="shared" si="10"/>
        <v>100</v>
      </c>
      <c r="T40" s="634" t="s">
        <v>25</v>
      </c>
      <c r="U40" s="635">
        <f t="shared" si="11"/>
        <v>100</v>
      </c>
      <c r="V40" s="634" t="s">
        <v>25</v>
      </c>
      <c r="W40" s="635">
        <f t="shared" si="12"/>
        <v>100</v>
      </c>
      <c r="X40" s="636"/>
      <c r="Y40" s="3682"/>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50" t="str">
        <f>A41</f>
        <v>成交单价</v>
      </c>
      <c r="Q41" s="3650"/>
      <c r="R41" s="3674">
        <f>E41</f>
        <v>0</v>
      </c>
      <c r="S41" s="3674"/>
      <c r="T41" s="3674">
        <f>G41</f>
        <v>0</v>
      </c>
      <c r="U41" s="3674"/>
      <c r="V41" s="3674">
        <f>I41</f>
        <v>0</v>
      </c>
      <c r="W41" s="3674"/>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0" t="str">
        <f>A42</f>
        <v>比较价值（元/平方米）</v>
      </c>
      <c r="Q42" s="3650"/>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85" t="str">
        <f>A43</f>
        <v>估价对象XX用房的比较价值（楼面单价，元/平方米）</v>
      </c>
      <c r="Q43" s="3686"/>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估价对象为北京市房地产，为XX所有。根据《》[]，估价对象建筑面积为306.2平方米。根据《》[]，估价对象（分摊）出让国有建设用地使用权面积为平方米。估价对象用途为。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2022年5月10日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306.2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709"/>
      <c r="B4" s="3710"/>
      <c r="C4" s="3710"/>
      <c r="D4" s="3711"/>
      <c r="E4" s="3711"/>
      <c r="F4" s="3711"/>
      <c r="G4" s="3711"/>
      <c r="H4" s="3711"/>
      <c r="I4" s="3711"/>
      <c r="J4" s="371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7" t="s">
        <v>2292</v>
      </c>
      <c r="X8" s="370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1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1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1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306.2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4" t="s">
        <v>2437</v>
      </c>
      <c r="B90" s="3694"/>
      <c r="C90" s="3694"/>
      <c r="D90" s="3694"/>
      <c r="E90" s="3694"/>
      <c r="F90" s="3694"/>
      <c r="G90" s="3694"/>
      <c r="H90" s="3694"/>
      <c r="I90" s="3694"/>
      <c r="J90" s="3694"/>
      <c r="K90" s="2234"/>
      <c r="L90" s="2234"/>
      <c r="M90" s="2234"/>
      <c r="N90" s="2234"/>
      <c r="Q90" s="2976"/>
      <c r="R90" s="2976"/>
      <c r="S90" s="2976"/>
      <c r="T90" s="2976"/>
      <c r="U90" s="2976"/>
      <c r="V90" s="2976"/>
      <c r="W90" s="2976"/>
    </row>
    <row r="91" spans="1:33">
      <c r="A91" s="3696" t="s">
        <v>2438</v>
      </c>
      <c r="B91" s="369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5" t="s">
        <v>2445</v>
      </c>
      <c r="B110" s="3695"/>
      <c r="C110" s="3695"/>
      <c r="D110" s="3695"/>
      <c r="E110" s="3695"/>
      <c r="F110" s="3695"/>
      <c r="G110" s="3695"/>
      <c r="H110" s="3695"/>
      <c r="I110" s="3695"/>
      <c r="J110" s="3695"/>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17" t="s">
        <v>597</v>
      </c>
      <c r="B1" s="3717"/>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4"/>
      <c r="C21" s="740" t="s">
        <v>2814</v>
      </c>
      <c r="D21" s="741"/>
      <c r="E21" s="3294">
        <v>1</v>
      </c>
      <c r="F21" s="3293" t="s">
        <v>2815</v>
      </c>
      <c r="G21" s="3293"/>
    </row>
    <row r="22" spans="1:13" ht="19.5" customHeight="1">
      <c r="A22" s="3726"/>
      <c r="B22" s="3724"/>
      <c r="C22" s="740" t="s">
        <v>2816</v>
      </c>
      <c r="D22" s="741"/>
      <c r="E22" s="3294">
        <v>0.9</v>
      </c>
      <c r="F22" s="3293" t="s">
        <v>2817</v>
      </c>
      <c r="G22" s="3293"/>
    </row>
    <row r="23" spans="1:13" ht="19.5" customHeight="1">
      <c r="A23" s="3726"/>
      <c r="B23" s="3724"/>
      <c r="C23" s="740" t="s">
        <v>2818</v>
      </c>
      <c r="D23" s="741"/>
      <c r="E23" s="3294">
        <v>0.9</v>
      </c>
      <c r="F23" s="3293" t="s">
        <v>2819</v>
      </c>
      <c r="G23" s="3293"/>
    </row>
    <row r="24" spans="1:13" ht="19.5" customHeight="1">
      <c r="A24" s="3726"/>
      <c r="B24" s="3724"/>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4"/>
      <c r="C28" s="740" t="s">
        <v>2826</v>
      </c>
      <c r="D28" s="741"/>
      <c r="E28" s="3294">
        <v>1</v>
      </c>
      <c r="F28" s="3293" t="s">
        <v>2867</v>
      </c>
      <c r="G28" s="3293"/>
    </row>
    <row r="29" spans="1:13" ht="19.5" customHeight="1">
      <c r="A29" s="3731"/>
      <c r="B29" s="3724"/>
      <c r="C29" s="740" t="s">
        <v>2827</v>
      </c>
      <c r="D29" s="741"/>
      <c r="E29" s="3294">
        <v>0.8</v>
      </c>
      <c r="F29" s="3293" t="s">
        <v>2868</v>
      </c>
      <c r="G29" s="3293"/>
    </row>
    <row r="30" spans="1:13" ht="19.5" customHeight="1">
      <c r="A30" s="3731"/>
      <c r="B30" s="3724"/>
      <c r="C30" s="740" t="s">
        <v>2828</v>
      </c>
      <c r="D30" s="741"/>
      <c r="E30" s="3294">
        <v>0.8</v>
      </c>
      <c r="F30" s="3293" t="s">
        <v>2869</v>
      </c>
      <c r="G30" s="3293"/>
    </row>
    <row r="31" spans="1:13" ht="19.5" customHeight="1">
      <c r="A31" s="3731"/>
      <c r="B31" s="3724"/>
      <c r="C31" s="740" t="s">
        <v>2829</v>
      </c>
      <c r="D31" s="741"/>
      <c r="E31" s="3294">
        <v>0.8</v>
      </c>
      <c r="F31" s="3293" t="s">
        <v>2870</v>
      </c>
      <c r="G31" s="3293"/>
    </row>
    <row r="32" spans="1:13" ht="19.5" customHeight="1">
      <c r="A32" s="3731"/>
      <c r="B32" s="3724"/>
      <c r="C32" s="740" t="s">
        <v>2830</v>
      </c>
      <c r="D32" s="741"/>
      <c r="E32" s="3294">
        <v>0.7</v>
      </c>
      <c r="F32" s="3293" t="s">
        <v>2871</v>
      </c>
      <c r="G32" s="3293"/>
    </row>
    <row r="33" spans="1:7" ht="19.5" customHeight="1">
      <c r="A33" s="3731"/>
      <c r="B33" s="3724"/>
      <c r="C33" s="740" t="s">
        <v>2831</v>
      </c>
      <c r="D33" s="741"/>
      <c r="E33" s="3294">
        <v>0.8</v>
      </c>
      <c r="F33" s="3293" t="s">
        <v>2872</v>
      </c>
      <c r="G33" s="3293"/>
    </row>
    <row r="34" spans="1:7" ht="19.5" customHeight="1">
      <c r="A34" s="3731"/>
      <c r="B34" s="3724"/>
      <c r="C34" s="740" t="s">
        <v>2832</v>
      </c>
      <c r="D34" s="741"/>
      <c r="E34" s="3294">
        <v>0.6</v>
      </c>
      <c r="F34" s="3293" t="s">
        <v>2873</v>
      </c>
      <c r="G34" s="3293"/>
    </row>
    <row r="35" spans="1:7" ht="19.5" customHeight="1">
      <c r="A35" s="3731"/>
      <c r="B35" s="3724"/>
      <c r="C35" s="740" t="s">
        <v>2833</v>
      </c>
      <c r="D35" s="741"/>
      <c r="E35" s="3294">
        <v>0.2</v>
      </c>
      <c r="F35" s="3293" t="s">
        <v>2874</v>
      </c>
      <c r="G35" s="3293"/>
    </row>
    <row r="36" spans="1:7" ht="19.5" customHeight="1">
      <c r="A36" s="3731"/>
      <c r="B36" s="3724"/>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4"/>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4"/>
      <c r="C42" s="740" t="s">
        <v>2845</v>
      </c>
      <c r="D42" s="741"/>
      <c r="E42" s="3294">
        <v>1</v>
      </c>
      <c r="F42" s="3293" t="s">
        <v>2846</v>
      </c>
      <c r="G42" s="3293"/>
    </row>
    <row r="43" spans="1:7" ht="19.5" customHeight="1">
      <c r="A43" s="3726"/>
      <c r="B43" s="3723"/>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4"/>
      <c r="C46" s="740" t="s">
        <v>2853</v>
      </c>
      <c r="D46" s="741"/>
      <c r="E46" s="3294">
        <v>1</v>
      </c>
      <c r="F46" s="3293" t="s">
        <v>2854</v>
      </c>
      <c r="G46" s="3293"/>
    </row>
    <row r="47" spans="1:7" ht="19.5" customHeight="1">
      <c r="A47" s="3726"/>
      <c r="B47" s="3724"/>
      <c r="C47" s="740" t="s">
        <v>2855</v>
      </c>
      <c r="D47" s="741"/>
      <c r="E47" s="3294">
        <v>1</v>
      </c>
      <c r="F47" s="3293" t="s">
        <v>2856</v>
      </c>
      <c r="G47" s="3293"/>
    </row>
    <row r="48" spans="1:7" ht="19.5" customHeight="1">
      <c r="A48" s="3726"/>
      <c r="B48" s="3724"/>
      <c r="C48" s="740" t="s">
        <v>2857</v>
      </c>
      <c r="D48" s="741"/>
      <c r="E48" s="3294">
        <v>1</v>
      </c>
      <c r="F48" s="3293" t="s">
        <v>2858</v>
      </c>
      <c r="G48" s="3293"/>
    </row>
    <row r="49" spans="1:7" ht="19.5" customHeight="1">
      <c r="A49" s="3726"/>
      <c r="B49" s="3724"/>
      <c r="C49" s="740" t="s">
        <v>2859</v>
      </c>
      <c r="D49" s="741"/>
      <c r="E49" s="3294">
        <v>1</v>
      </c>
      <c r="F49" s="3293" t="s">
        <v>2860</v>
      </c>
      <c r="G49" s="3293"/>
    </row>
    <row r="50" spans="1:7" ht="19.5" customHeight="1">
      <c r="A50" s="3726"/>
      <c r="B50" s="3724"/>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22"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4.4">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24">
      <c r="A85" s="3303">
        <v>13</v>
      </c>
      <c r="B85" s="3724"/>
      <c r="C85" s="3284" t="s">
        <v>2906</v>
      </c>
      <c r="D85" s="3284" t="s">
        <v>2907</v>
      </c>
      <c r="E85" s="3309">
        <v>0.1</v>
      </c>
      <c r="F85" s="3303">
        <v>15</v>
      </c>
    </row>
    <row r="86" spans="1:6" ht="24">
      <c r="A86" s="3303">
        <v>14</v>
      </c>
      <c r="B86" s="3724"/>
      <c r="C86" s="3284" t="s">
        <v>2908</v>
      </c>
      <c r="D86" s="3284" t="s">
        <v>2909</v>
      </c>
      <c r="E86" s="3309">
        <v>0.1</v>
      </c>
      <c r="F86" s="3303">
        <v>15</v>
      </c>
    </row>
    <row r="87" spans="1:6" ht="24">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3"/>
      <c r="C89" s="3284" t="s">
        <v>2914</v>
      </c>
      <c r="D89" s="3284" t="s">
        <v>2915</v>
      </c>
      <c r="E89" s="3309">
        <v>0.1</v>
      </c>
      <c r="F89" s="3303">
        <v>15</v>
      </c>
    </row>
    <row r="90" spans="1:6" ht="14.4">
      <c r="A90" s="3303">
        <v>18</v>
      </c>
      <c r="B90" s="3722" t="s">
        <v>2916</v>
      </c>
      <c r="C90" s="3284" t="s">
        <v>2917</v>
      </c>
      <c r="D90" s="3284" t="s">
        <v>2918</v>
      </c>
      <c r="E90" s="3309">
        <v>0.2</v>
      </c>
      <c r="F90" s="3303">
        <v>25</v>
      </c>
    </row>
    <row r="91" spans="1:6" ht="24">
      <c r="A91" s="3303">
        <v>19</v>
      </c>
      <c r="B91" s="3724"/>
      <c r="C91" s="3284" t="s">
        <v>2919</v>
      </c>
      <c r="D91" s="3284" t="s">
        <v>2920</v>
      </c>
      <c r="E91" s="3309">
        <v>0.2</v>
      </c>
      <c r="F91" s="3303">
        <v>25</v>
      </c>
    </row>
    <row r="92" spans="1:6" ht="14.4">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24">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3"/>
      <c r="C106" s="3284" t="s">
        <v>2949</v>
      </c>
      <c r="D106" s="3284" t="s">
        <v>2950</v>
      </c>
      <c r="E106" s="3309">
        <v>0.1</v>
      </c>
      <c r="F106" s="3303">
        <v>15</v>
      </c>
    </row>
    <row r="107" spans="1:6" ht="36">
      <c r="A107" s="3303">
        <v>35</v>
      </c>
      <c r="B107" s="3722"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24">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24">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24">
      <c r="A121" s="3303">
        <v>49</v>
      </c>
      <c r="B121" s="3723"/>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21" t="s">
        <v>2999</v>
      </c>
      <c r="C127" s="3303" t="s">
        <v>3000</v>
      </c>
      <c r="D127" s="3284" t="s">
        <v>3001</v>
      </c>
      <c r="E127" s="3309">
        <v>0.1</v>
      </c>
      <c r="F127" s="3303">
        <v>15</v>
      </c>
    </row>
    <row r="128" spans="1:6" ht="24">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24">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5.6">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workbookViewId="0">
      <selection activeCell="R18" sqref="R18"/>
    </sheetView>
  </sheetViews>
  <sheetFormatPr defaultRowHeight="14.4"/>
  <sheetData>
    <row r="2" spans="1:2">
      <c r="A2" s="1269" t="s">
        <v>3065</v>
      </c>
      <c r="B2" s="1269" t="s">
        <v>3066</v>
      </c>
    </row>
    <row r="3" spans="1:2">
      <c r="B3" s="1269" t="s">
        <v>3067</v>
      </c>
    </row>
    <row r="40" spans="1:1">
      <c r="A40" s="3326" t="s">
        <v>3043</v>
      </c>
    </row>
    <row r="41" spans="1:1">
      <c r="A41" s="3326" t="s">
        <v>3044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8"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7"/>
      <c r="B5" s="1291" t="s">
        <v>562</v>
      </c>
      <c r="C5" s="3340" t="s">
        <v>593</v>
      </c>
      <c r="D5" s="3341"/>
      <c r="E5" s="1287"/>
    </row>
    <row r="6" spans="1:5" ht="15.6">
      <c r="A6" s="1287"/>
      <c r="B6" s="1292" t="str">
        <f>项目基本情况!I1</f>
        <v>北京市房地产</v>
      </c>
      <c r="C6" s="3342">
        <f>项目基本情况!C12</f>
        <v>306.2</v>
      </c>
      <c r="D6" s="3342"/>
      <c r="E6" s="1287"/>
    </row>
    <row r="7" spans="1:5" ht="15.6">
      <c r="A7" s="1287"/>
      <c r="B7" s="3336" t="s">
        <v>594</v>
      </c>
      <c r="C7" s="1293" t="str">
        <f>IF('数据-取费表'!B3="万元","总价（万元）","总价（元）")</f>
        <v>总价（万元）</v>
      </c>
      <c r="D7" s="1294">
        <f ca="1">IF('数据-取费表'!E3="否",结果表!I102,'结果表 (1修多)'!I104)</f>
        <v>828</v>
      </c>
      <c r="E7" s="1287"/>
    </row>
    <row r="8" spans="1:5" ht="15.6">
      <c r="A8" s="1287"/>
      <c r="B8" s="3336"/>
      <c r="C8" s="1295" t="s">
        <v>924</v>
      </c>
      <c r="D8" s="1296" t="str">
        <f ca="1">IF('数据-取费表'!B3="万元",NUMBERSTRING(INT(D7*10000),2)&amp;"元整",NUMBERSTRING(INT(D7),2)&amp;"元整")</f>
        <v>捌佰贰拾捌万元整</v>
      </c>
      <c r="E8" s="1287"/>
    </row>
    <row r="9" spans="1:5" ht="15.6">
      <c r="A9" s="1287"/>
      <c r="B9" s="3336"/>
      <c r="C9" s="1297" t="s">
        <v>1020</v>
      </c>
      <c r="D9" s="1294">
        <f ca="1">IF('数据-取费表'!E3="否",结果表!I103,'结果表 (1修多)'!I105)</f>
        <v>27028</v>
      </c>
      <c r="E9" s="1287"/>
    </row>
    <row r="10" spans="1:5" ht="15.6">
      <c r="A10" s="1287"/>
      <c r="B10" s="334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43"/>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43" t="str">
        <f>IF('数据-取费表'!E3="否",结果表!F110,'结果表 (1修多)'!F112)</f>
        <v>3.房地产抵押价值</v>
      </c>
      <c r="C15" s="1288" t="str">
        <f>C7</f>
        <v>总价（万元）</v>
      </c>
      <c r="D15" s="1294">
        <f ca="1">IF('数据-取费表'!E3="否",结果表!I110,'结果表 (1修多)'!I112)</f>
        <v>828</v>
      </c>
      <c r="E15" s="1287"/>
    </row>
    <row r="16" spans="1:5" ht="15.6">
      <c r="A16" s="1287"/>
      <c r="B16" s="3343"/>
      <c r="C16" s="1295" t="s">
        <v>924</v>
      </c>
      <c r="D16" s="1294" t="str">
        <f ca="1">IF('数据-取费表'!B3="万元",NUMBERSTRING(INT(D15*10000),2)&amp;"元整",NUMBERSTRING(INT(D15),2)&amp;"元整")</f>
        <v>捌佰贰拾捌万元整</v>
      </c>
      <c r="E16" s="1287"/>
    </row>
    <row r="17" spans="1:5" ht="15.6">
      <c r="A17" s="1287"/>
      <c r="B17" s="3343"/>
      <c r="C17" s="1297" t="s">
        <v>1020</v>
      </c>
      <c r="D17" s="1294">
        <f ca="1">IF('数据-取费表'!E3="否",结果表!I111,'结果表 (1修多)'!I113)</f>
        <v>27028</v>
      </c>
      <c r="E17" s="1287"/>
    </row>
    <row r="18" spans="1:5" ht="15.6">
      <c r="A18" s="1287"/>
      <c r="B18" s="3343" t="str">
        <f>IF('数据-取费表'!E3="否",结果表!F112,'结果表 (1修多)'!F114)</f>
        <v>——</v>
      </c>
      <c r="C18" s="1288" t="str">
        <f>C7</f>
        <v>总价（万元）</v>
      </c>
      <c r="D18" s="1294" t="str">
        <f>IF('数据-取费表'!E3="否",结果表!I112,'结果表 (1修多)'!I114)</f>
        <v>——</v>
      </c>
      <c r="E18" s="1287"/>
    </row>
    <row r="19" spans="1:5" ht="15.6">
      <c r="A19" s="1287"/>
      <c r="B19" s="3343"/>
      <c r="C19" s="1295" t="s">
        <v>924</v>
      </c>
      <c r="D19" s="1294" t="e">
        <f>IF('数据-取费表'!B3="万元",NUMBERSTRING(INT(D18*10000),2)&amp;"元整",NUMBERSTRING(INT(D18),2)&amp;"元整")</f>
        <v>#VALUE!</v>
      </c>
      <c r="E19" s="1287"/>
    </row>
    <row r="20" spans="1:5" ht="15.6">
      <c r="A20" s="1287"/>
      <c r="B20" s="3343"/>
      <c r="C20" s="1297" t="s">
        <v>1020</v>
      </c>
      <c r="D20" s="1294" t="str">
        <f>IF('数据-取费表'!E3="否",结果表!I113,'结果表 (1修多)'!I115)</f>
        <v>——</v>
      </c>
      <c r="E20" s="1287"/>
    </row>
    <row r="21" spans="1:5" ht="15.6">
      <c r="A21" s="1287"/>
      <c r="B21" s="3336" t="str">
        <f>IF('数据-取费表'!E3="否",结果表!F114,'结果表 (1修多)'!F116)</f>
        <v>——</v>
      </c>
      <c r="C21" s="1293" t="str">
        <f>C7</f>
        <v>总价（万元）</v>
      </c>
      <c r="D21" s="1294" t="str">
        <f>IF('数据-取费表'!E3="否",结果表!I114,'结果表 (1修多)'!I116)</f>
        <v>——</v>
      </c>
      <c r="E21" s="1287"/>
    </row>
    <row r="22" spans="1:5" ht="15.6">
      <c r="A22" s="1287"/>
      <c r="B22" s="3336"/>
      <c r="C22" s="1295" t="s">
        <v>924</v>
      </c>
      <c r="D22" s="1296" t="e">
        <f>IF('数据-取费表'!B3="万元",NUMBERSTRING(INT(D21*10000),2)&amp;"元整",NUMBERSTRING(INT(D21),2)&amp;"元整")</f>
        <v>#VALUE!</v>
      </c>
      <c r="E22" s="1287"/>
    </row>
    <row r="23" spans="1:5" ht="16.2" thickBot="1">
      <c r="A23" s="1287"/>
      <c r="B23" s="3337"/>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5.6">
      <c r="A28" s="1287"/>
      <c r="B28" s="3344" t="s">
        <v>594</v>
      </c>
      <c r="C28" s="1304" t="s">
        <v>925</v>
      </c>
      <c r="D28" s="1305">
        <f ca="1">IF('数据-取费表'!E3="否",结果表!I102,'结果表 (1修多)'!I104)</f>
        <v>828</v>
      </c>
      <c r="E28" s="1287"/>
    </row>
    <row r="29" spans="1:5" ht="15.6">
      <c r="A29" s="1287"/>
      <c r="B29" s="3345"/>
      <c r="C29" s="1306" t="s">
        <v>924</v>
      </c>
      <c r="D29" s="1307" t="str">
        <f ca="1">IF('数据-取费表'!B3="万元",NUMBERSTRING(INT(D28*10000),2)&amp;"元整",NUMBERSTRING(INT(D28),2)&amp;"元整")</f>
        <v>捌佰贰拾捌万元整</v>
      </c>
      <c r="E29" s="1287"/>
    </row>
    <row r="30" spans="1:5" ht="15.6">
      <c r="A30" s="1287"/>
      <c r="B30" s="3346"/>
      <c r="C30" s="1297" t="s">
        <v>927</v>
      </c>
      <c r="D30" s="1308">
        <f ca="1">IF('数据-取费表'!E3="否",结果表!I103,'结果表 (1修多)'!I105)</f>
        <v>27028</v>
      </c>
      <c r="E30" s="1287"/>
    </row>
    <row r="31" spans="1:5" ht="15.6">
      <c r="A31" s="1287"/>
      <c r="B31" s="3349" t="str">
        <f>B10</f>
        <v>2.估价师所知悉的法定优先受偿款</v>
      </c>
      <c r="C31" s="1309" t="s">
        <v>926</v>
      </c>
      <c r="D31" s="1310">
        <f>IF('数据-取费表'!E3="否",结果表!I105,'结果表 (1修多)'!I107)</f>
        <v>0</v>
      </c>
      <c r="E31" s="1287"/>
    </row>
    <row r="32" spans="1:5" ht="15.6">
      <c r="A32" s="1287"/>
      <c r="B32" s="3358"/>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47" t="str">
        <f>B15</f>
        <v>3.房地产抵押价值</v>
      </c>
      <c r="C36" s="1309" t="str">
        <f>C28</f>
        <v>总价</v>
      </c>
      <c r="D36" s="1310">
        <f ca="1">IF('数据-取费表'!E3="否",结果表!I110,'结果表 (1修多)'!I112)</f>
        <v>828</v>
      </c>
      <c r="E36" s="1287"/>
    </row>
    <row r="37" spans="1:5" ht="15.6">
      <c r="A37" s="1287"/>
      <c r="B37" s="3347"/>
      <c r="C37" s="1306" t="s">
        <v>924</v>
      </c>
      <c r="D37" s="1311" t="str">
        <f ca="1">IF('数据-取费表'!B3="万元",NUMBERSTRING(INT(D36*10000),2)&amp;"元整",NUMBERSTRING(INT(D36),2)&amp;"元整")</f>
        <v>捌佰贰拾捌万元整</v>
      </c>
      <c r="E37" s="1287"/>
    </row>
    <row r="38" spans="1:5" ht="15.6">
      <c r="A38" s="1287"/>
      <c r="B38" s="3347"/>
      <c r="C38" s="1297" t="s">
        <v>928</v>
      </c>
      <c r="D38" s="1308">
        <f ca="1">IF('数据-取费表'!E3="否",结果表!D113,'结果表 (1修多)'!D117)</f>
        <v>27028</v>
      </c>
      <c r="E38" s="1287"/>
    </row>
    <row r="39" spans="1:5" ht="15.6">
      <c r="A39" s="1287"/>
      <c r="B39" s="3348" t="str">
        <f>B18</f>
        <v>——</v>
      </c>
      <c r="C39" s="1309" t="str">
        <f>C28</f>
        <v>总价</v>
      </c>
      <c r="D39" s="1310" t="str">
        <f>IF('数据-取费表'!E3="否",结果表!I112,'结果表 (1修多)'!I114)</f>
        <v>——</v>
      </c>
      <c r="E39" s="1287"/>
    </row>
    <row r="40" spans="1:5" ht="15.6">
      <c r="A40" s="1287"/>
      <c r="B40" s="3348"/>
      <c r="C40" s="1306" t="s">
        <v>924</v>
      </c>
      <c r="D40" s="1311" t="e">
        <f>IF('数据-取费表'!B3="万元",NUMBERSTRING(INT(D39*10000),2)&amp;"元整",NUMBERSTRING(INT(D39),2)&amp;"元整")</f>
        <v>#VALUE!</v>
      </c>
      <c r="E40" s="1287"/>
    </row>
    <row r="41" spans="1:5" ht="15.6">
      <c r="A41" s="1287"/>
      <c r="B41" s="3348"/>
      <c r="C41" s="1297" t="s">
        <v>928</v>
      </c>
      <c r="D41" s="1308" t="str">
        <f>IF('数据-取费表'!E3="否",结果表!D115,'结果表 (1修多)'!D119)</f>
        <v>——</v>
      </c>
      <c r="E41" s="1287"/>
    </row>
    <row r="42" spans="1:5" ht="15.6">
      <c r="A42" s="1287"/>
      <c r="B42" s="3347" t="str">
        <f>B21</f>
        <v>——</v>
      </c>
      <c r="C42" s="1309" t="str">
        <f>C28</f>
        <v>总价</v>
      </c>
      <c r="D42" s="1310" t="str">
        <f>IF('数据-取费表'!E3="否",结果表!I114,'结果表 (1修多)'!I116)</f>
        <v>——</v>
      </c>
      <c r="E42" s="1287"/>
    </row>
    <row r="43" spans="1:5" ht="15.6">
      <c r="A43" s="1287"/>
      <c r="B43" s="3349"/>
      <c r="C43" s="1306" t="s">
        <v>924</v>
      </c>
      <c r="D43" s="1312" t="e">
        <f>IF('数据-取费表'!B3="万元",NUMBERSTRING(INT(D42*10000),2)&amp;"元整",NUMBERSTRING(INT(D42),2)&amp;"元整")</f>
        <v>#VALUE!</v>
      </c>
      <c r="E43" s="1287"/>
    </row>
    <row r="44" spans="1:5" ht="16.2" thickBot="1">
      <c r="A44" s="1287"/>
      <c r="B44" s="3350"/>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6">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306.2</v>
      </c>
      <c r="C4" s="776">
        <f>结果表!C121</f>
        <v>0</v>
      </c>
      <c r="D4" s="776">
        <f ca="1">IF('数据-取费表'!E3="否",结果表!D121,'结果表 (1修多)'!D125)</f>
        <v>685</v>
      </c>
      <c r="E4" s="776">
        <f ca="1">IF('数据-取费表'!E3="否",结果表!E121,'结果表 (1修多)'!E125)</f>
        <v>22379</v>
      </c>
      <c r="F4" s="776">
        <f ca="1">IF('数据-取费表'!E3="否",结果表!F121,'结果表 (1修多)'!F125)</f>
        <v>142</v>
      </c>
      <c r="G4" s="776">
        <f ca="1">IF('数据-取费表'!E3="否",结果表!G121,'结果表 (1修多)'!G125)</f>
        <v>4649</v>
      </c>
      <c r="H4" s="776">
        <f ca="1">IF('数据-取费表'!E3="否",结果表!H121,'结果表 (1修多)'!H125)</f>
        <v>828</v>
      </c>
      <c r="I4" s="776">
        <f ca="1">IF('数据-取费表'!E3="否",结果表!I121,'结果表 (1修多)'!I125)</f>
        <v>27028</v>
      </c>
    </row>
    <row r="5" spans="1:9" ht="15">
      <c r="A5" s="3361" t="s">
        <v>1030</v>
      </c>
      <c r="B5" s="3361"/>
      <c r="C5" s="3361"/>
      <c r="D5" s="3359" t="str">
        <f ca="1">IF('数据-取费表'!E3="否",结果表!D122,'结果表 (1修多)'!D126)</f>
        <v>陆佰捌拾伍万元整</v>
      </c>
      <c r="E5" s="3359"/>
      <c r="F5" s="3359" t="str">
        <f ca="1">IF('数据-取费表'!E3="否",结果表!F122,'结果表 (1修多)'!F126)</f>
        <v>壹佰肆拾贰万元整</v>
      </c>
      <c r="G5" s="3359"/>
      <c r="H5" s="3359" t="str">
        <f ca="1">IF('数据-取费表'!E3="否",结果表!H122,'结果表 (1修多)'!H126)</f>
        <v>捌佰贰拾捌万元整</v>
      </c>
      <c r="I5" s="3359"/>
    </row>
    <row r="6" spans="1:9" ht="15.6">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6">
      <c r="A8" s="3360" t="str">
        <f>IF('数据-取费表'!E3="否",结果表!A125,'结果表 (1修多)'!A129)</f>
        <v>房地产抵押价值</v>
      </c>
      <c r="B8" s="3360"/>
      <c r="C8" s="3360"/>
      <c r="D8" s="3360">
        <f ca="1">IF('数据-取费表'!E3="否",结果表!D125,'结果表 (1修多)'!D129)</f>
        <v>828</v>
      </c>
      <c r="E8" s="3360"/>
      <c r="F8" s="3360"/>
      <c r="G8" s="3360"/>
      <c r="H8" s="3360"/>
      <c r="I8" s="3360"/>
    </row>
    <row r="9" spans="1:9" ht="15">
      <c r="A9" s="3361" t="s">
        <v>1030</v>
      </c>
      <c r="B9" s="3361"/>
      <c r="C9" s="3361"/>
      <c r="D9" s="3359">
        <f ca="1">IF('数据-取费表'!E3="否",结果表!D126,'结果表 (1修多)'!D130)</f>
        <v>27028</v>
      </c>
      <c r="E9" s="3359"/>
      <c r="F9" s="3359"/>
      <c r="G9" s="3359"/>
      <c r="H9" s="3359"/>
      <c r="I9" s="3359"/>
    </row>
    <row r="10" spans="1:9" ht="15.6">
      <c r="A10" s="3360" t="str">
        <f>IF('数据-取费表'!E3="否",结果表!A127,'结果表 (1修多)'!A131)</f>
        <v/>
      </c>
      <c r="B10" s="3360"/>
      <c r="C10" s="3360"/>
      <c r="D10" s="3360" t="str">
        <f>IF('数据-取费表'!E3="否",结果表!D127,'结果表 (1修多)'!D130)</f>
        <v>——</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6">
      <c r="A12" s="3360" t="str">
        <f>IF('数据-取费表'!E3="否",结果表!A129,'结果表 (1修多)'!A133)</f>
        <v/>
      </c>
      <c r="B12" s="3360"/>
      <c r="C12" s="3360"/>
      <c r="D12" s="3360" t="str">
        <f>IF('数据-取费表'!E3="否",结果表!D129,'结果表 (1修多)'!D133)</f>
        <v>——</v>
      </c>
      <c r="E12" s="3360"/>
      <c r="F12" s="3360"/>
      <c r="G12" s="3360"/>
      <c r="H12" s="3360"/>
      <c r="I12" s="3360"/>
    </row>
    <row r="13" spans="1:9" ht="15.6" thickBot="1">
      <c r="A13" s="3367" t="s">
        <v>1030</v>
      </c>
      <c r="B13" s="3367"/>
      <c r="C13" s="3367"/>
      <c r="D13" s="3368">
        <f>IF('数据-取费表'!E3="否",结果表!D130,'结果表 (1修多)'!D134)</f>
        <v>0</v>
      </c>
      <c r="E13" s="3368"/>
      <c r="F13" s="3368"/>
      <c r="G13" s="3368"/>
      <c r="H13" s="3368"/>
      <c r="I13" s="3368"/>
    </row>
    <row r="14" spans="1:9" ht="14.4"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74" t="s">
        <v>1043</v>
      </c>
      <c r="B1" s="3374"/>
      <c r="C1" s="3374"/>
      <c r="D1" s="3374"/>
    </row>
    <row r="2" spans="1:4" ht="17.399999999999999">
      <c r="A2" s="3373" t="s">
        <v>1032</v>
      </c>
      <c r="B2" s="3373"/>
      <c r="C2" s="3373"/>
      <c r="D2" s="3373"/>
    </row>
    <row r="3" spans="1:4" ht="17.399999999999999">
      <c r="A3" s="1316" t="s">
        <v>1033</v>
      </c>
      <c r="B3" s="1316" t="s">
        <v>1034</v>
      </c>
      <c r="C3" s="1316" t="s">
        <v>1035</v>
      </c>
      <c r="D3" s="1316" t="s">
        <v>1036</v>
      </c>
    </row>
    <row r="4" spans="1:4" ht="56.25" customHeight="1">
      <c r="A4" s="1317" t="str">
        <f>项目基本情况!B3</f>
        <v>吴薇</v>
      </c>
      <c r="B4" s="1318">
        <f ca="1">项目基本情况!C3</f>
        <v>1419970001</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7.399999999999999">
      <c r="A7" s="3373" t="s">
        <v>1037</v>
      </c>
      <c r="B7" s="3373"/>
      <c r="C7" s="3373"/>
      <c r="D7" s="3373"/>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70" t="s">
        <v>2496</v>
      </c>
      <c r="B12" s="3372"/>
      <c r="C12" s="3372"/>
      <c r="D12" s="3372"/>
    </row>
    <row r="13" spans="1:4" ht="15.6">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2497</v>
      </c>
      <c r="B20" s="3371"/>
      <c r="C20" s="3371"/>
      <c r="D20" s="3371"/>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80" t="s">
        <v>1124</v>
      </c>
      <c r="B15" s="3375" t="s">
        <v>1125</v>
      </c>
      <c r="C15" s="3376"/>
    </row>
    <row r="16" spans="1:7" ht="14.4">
      <c r="A16" s="3381"/>
      <c r="B16" s="3375" t="s">
        <v>1126</v>
      </c>
      <c r="C16" s="3376"/>
    </row>
    <row r="17" spans="1:3" ht="14.4">
      <c r="A17" s="3381"/>
      <c r="B17" s="3375" t="s">
        <v>1127</v>
      </c>
      <c r="C17" s="3376"/>
    </row>
    <row r="18" spans="1:3" ht="14.4">
      <c r="A18" s="3382"/>
      <c r="B18" s="3377" t="s">
        <v>1128</v>
      </c>
      <c r="C18" s="3376"/>
    </row>
    <row r="19" spans="1:3" ht="14.4">
      <c r="A19" s="1340" t="s">
        <v>1129</v>
      </c>
      <c r="B19" s="1341"/>
      <c r="C19" s="1342"/>
    </row>
    <row r="20" spans="1:3" ht="14.4">
      <c r="A20" s="3378" t="s">
        <v>1130</v>
      </c>
      <c r="B20" s="3377" t="s">
        <v>1131</v>
      </c>
      <c r="C20" s="3376"/>
    </row>
    <row r="21" spans="1:3" ht="14.4">
      <c r="A21" s="3378"/>
      <c r="B21" s="3377" t="s">
        <v>1132</v>
      </c>
      <c r="C21" s="3376"/>
    </row>
    <row r="22" spans="1:3" ht="14.4">
      <c r="A22" s="3378"/>
      <c r="B22" s="3377" t="s">
        <v>1133</v>
      </c>
      <c r="C22" s="3376"/>
    </row>
    <row r="23" spans="1:3" ht="14.4">
      <c r="A23" s="3378"/>
      <c r="B23" s="3379" t="s">
        <v>1134</v>
      </c>
      <c r="C23" s="1343" t="s">
        <v>1135</v>
      </c>
    </row>
    <row r="24" spans="1:3" ht="14.4">
      <c r="A24" s="3378"/>
      <c r="B24" s="3379"/>
      <c r="C24" s="1343" t="s">
        <v>1136</v>
      </c>
    </row>
    <row r="25" spans="1:3" ht="14.4">
      <c r="A25" s="3378"/>
      <c r="B25" s="3379"/>
      <c r="C25" s="1343" t="s">
        <v>1137</v>
      </c>
    </row>
    <row r="26" spans="1:3" ht="14.4">
      <c r="A26" s="3378"/>
      <c r="B26" s="3379"/>
      <c r="C26" s="1343" t="s">
        <v>1138</v>
      </c>
    </row>
    <row r="27" spans="1:3" ht="14.4">
      <c r="A27" s="3378"/>
      <c r="B27" s="3379"/>
      <c r="C27" s="1343" t="s">
        <v>1139</v>
      </c>
    </row>
    <row r="28" spans="1:3" ht="14.4">
      <c r="A28" s="3378"/>
      <c r="B28" s="3379"/>
      <c r="C28" s="1343" t="s">
        <v>1140</v>
      </c>
    </row>
    <row r="29" spans="1:3" ht="14.4">
      <c r="A29" s="3378"/>
      <c r="B29" s="3379"/>
      <c r="C29" s="1343" t="s">
        <v>1141</v>
      </c>
    </row>
    <row r="30" spans="1:3" ht="14.4">
      <c r="A30" s="3378"/>
      <c r="B30" s="3379"/>
      <c r="C30" s="1343" t="s">
        <v>1142</v>
      </c>
    </row>
    <row r="31" spans="1:3" ht="14.4">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44692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ht="14.4">
      <c r="A54" s="3386"/>
      <c r="B54" s="9" t="s">
        <v>1280</v>
      </c>
      <c r="C54" s="9" t="s">
        <v>1281</v>
      </c>
    </row>
    <row r="55" spans="1:4" ht="14.4">
      <c r="A55" s="3386"/>
      <c r="B55" s="9" t="s">
        <v>1282</v>
      </c>
      <c r="C55" s="9" t="s">
        <v>1283</v>
      </c>
    </row>
    <row r="56" spans="1:4" ht="14.4">
      <c r="A56" s="3386"/>
      <c r="B56" s="9" t="s">
        <v>1284</v>
      </c>
      <c r="C56" s="9" t="s">
        <v>1285</v>
      </c>
    </row>
    <row r="57" spans="1:4" ht="14.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2020-08-03T08:20:51Z</cp:lastPrinted>
  <dcterms:created xsi:type="dcterms:W3CDTF">2015-07-13T07:17:23Z</dcterms:created>
  <dcterms:modified xsi:type="dcterms:W3CDTF">2022-05-11T05:50:41Z</dcterms:modified>
</cp:coreProperties>
</file>