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25" yWindow="-60" windowWidth="12210" windowHeight="110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取值过程"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'[3]比较法-办公'!$B$119:$M$119</definedName>
    <definedName name="办公层高">'比较法-办公'!$B$119:$M$119</definedName>
    <definedName name="办公朝向" localSheetId="13">'[3]比较法-办公'!$B$91:$M$91</definedName>
    <definedName name="办公朝向">'比较法-办公'!$B$91:$M$91</definedName>
    <definedName name="办公道路级别" localSheetId="13">'[3]比较法-办公'!$B$87:$M$87</definedName>
    <definedName name="办公道路级别">'比较法-办公'!$B$87:$M$87</definedName>
    <definedName name="办公公共部分装修" localSheetId="13">'[3]比较法-办公'!$B$108:$M$108</definedName>
    <definedName name="办公公共部分装修">'比较法-办公'!$B$108:$M$108</definedName>
    <definedName name="办公基础设施水平" localSheetId="13">'[3]比较法-办公'!$B$117:$M$117</definedName>
    <definedName name="办公基础设施水平">'比较法-办公'!$B$117:$M$117</definedName>
    <definedName name="办公集聚程度" localSheetId="13">[3]定义!$M$1:$M$6</definedName>
    <definedName name="办公集聚程度">定义!$M$1:$M$6</definedName>
    <definedName name="办公建筑结构" localSheetId="13">'[3]比较法-办公'!$B$106:$M$106</definedName>
    <definedName name="办公建筑结构">'比较法-办公'!$B$106:$M$106</definedName>
    <definedName name="办公建筑类型" localSheetId="13">'[3]比较法-办公'!$B$101:$M$101</definedName>
    <definedName name="办公建筑类型">'比较法-办公'!$B$101:$M$101</definedName>
    <definedName name="办公交易情况" localSheetId="13">'[3]比较法-办公'!$A$62:$M$62</definedName>
    <definedName name="办公交易情况">'比较法-办公'!$A$62:$M$62</definedName>
    <definedName name="办公楼层" localSheetId="13">'[3]比较法-办公'!$B$89:$M$89</definedName>
    <definedName name="办公楼层">'比较法-办公'!$B$89:$M$89</definedName>
    <definedName name="办公内部装修" localSheetId="13">'[3]比较法-办公'!$B$123:$M$123</definedName>
    <definedName name="办公内部装修">'比较法-办公'!$B$123:$M$123</definedName>
    <definedName name="办公物业管理" localSheetId="13">'[3]比较法-办公'!$B$115:$M$115</definedName>
    <definedName name="办公物业管理">'比较法-办公'!$B$115:$M$115</definedName>
    <definedName name="办公用途" localSheetId="13">'[3]比较法-办公'!$B$64:$M$64</definedName>
    <definedName name="办公用途">'比较法-办公'!$B$64:$M$64</definedName>
    <definedName name="仓储公共部分装修" localSheetId="13">'[3]比较法-仓储'!$B$77:$M$77</definedName>
    <definedName name="仓储公共部分装修">'比较法-仓储'!$B$77:$M$77</definedName>
    <definedName name="仓储交易情况" localSheetId="13">'[3]比较法-仓储'!$A$49:$M$49</definedName>
    <definedName name="仓储交易情况">'比较法-仓储'!$A$49:$M$49</definedName>
    <definedName name="仓储楼层" localSheetId="13">'[3]比较法-仓储'!$B$69:$M$69</definedName>
    <definedName name="仓储楼层">'比较法-仓储'!$B$69:$M$69</definedName>
    <definedName name="仓储物业等级" localSheetId="13">'[3]比较法-仓储'!$B$82:$M$82</definedName>
    <definedName name="仓储物业等级">'比较法-仓储'!$B$82:$M$82</definedName>
    <definedName name="仓储用途" localSheetId="13">'[3]比较法-仓储'!$B$51:$M$51</definedName>
    <definedName name="仓储用途">'比较法-仓储'!$B$51:$M$51</definedName>
    <definedName name="产业集聚程度" localSheetId="13">[3]定义!$N$1:$N$6</definedName>
    <definedName name="产业集聚程度">定义!$N$1:$N$6</definedName>
    <definedName name="车位公共部分装修" localSheetId="13">'[3]比较法-车位'!$B$83:$M$83</definedName>
    <definedName name="车位公共部分装修">'比较法-车位'!$B$83:$M$83</definedName>
    <definedName name="车位交易情况" localSheetId="13">'[3]比较法-车位'!$A$51:$M$51</definedName>
    <definedName name="车位交易情况">'比较法-车位'!$A$51:$M$51</definedName>
    <definedName name="车位类型" localSheetId="13">'[3]比较法-车位'!$B$93:$M$93</definedName>
    <definedName name="车位类型">'比较法-车位'!$B$93:$M$93</definedName>
    <definedName name="车位楼层" localSheetId="13">'[3]比较法-车位'!$B$71:$M$71</definedName>
    <definedName name="车位楼层">'比较法-车位'!$B$71:$M$71</definedName>
    <definedName name="车位配套类型" localSheetId="13">'[3]比较法-车位'!$B$79:$M$79</definedName>
    <definedName name="车位配套类型">'比较法-车位'!$B$79:$M$79</definedName>
    <definedName name="车位物业等级" localSheetId="13">'[3]比较法-车位'!$B$88:$M$88</definedName>
    <definedName name="车位物业等级">'比较法-车位'!$B$88:$M$88</definedName>
    <definedName name="车位用途" localSheetId="13">'[3]比较法-车位'!$B$53:$M$53</definedName>
    <definedName name="车位用途">'比较法-车位'!$B$53:$M$53</definedName>
    <definedName name="城镇土地纳税等级分级范围" localSheetId="13">'[3]数据-取费表'!$A$53:$A$63</definedName>
    <definedName name="城镇土地纳税等级分级范围">'数据-取费表'!$A$53:$A$63</definedName>
    <definedName name="单价内涵" localSheetId="13">[3]定义!$V$1:$V$3</definedName>
    <definedName name="单价内涵">定义!$V$1:$V$3</definedName>
    <definedName name="地类判定" localSheetId="13">[3]定义!$H$1:$H$9</definedName>
    <definedName name="地类判定">定义!$H$1:$H$9</definedName>
    <definedName name="二级">区片价!$J$1:$J$21</definedName>
    <definedName name="二级分类" localSheetId="13">[3]修正!$C$19:$C$51</definedName>
    <definedName name="二级分类">修正!$C$19:$C$51</definedName>
    <definedName name="法定最高年限" localSheetId="13">[3]定义!$G$1:$G$6</definedName>
    <definedName name="法定最高年限">定义!$G$1:$G$6</definedName>
    <definedName name="工业公共部分装修" localSheetId="13">'[3]比较法-工业'!$B$95:$M$95</definedName>
    <definedName name="工业公共部分装修">'比较法-工业'!$B$95:$M$95</definedName>
    <definedName name="工业基础设施水平" localSheetId="13">'[3]比较法-工业'!$B$102:$M$102</definedName>
    <definedName name="工业基础设施水平">'比较法-工业'!$B$102:$M$102</definedName>
    <definedName name="工业建筑结构" localSheetId="13">'[3]比较法-工业'!$B$93:$M$93</definedName>
    <definedName name="工业建筑结构">'比较法-工业'!$B$93:$M$93</definedName>
    <definedName name="工业建筑类型" localSheetId="13">'[3]比较法-工业'!$B$88:$M$88</definedName>
    <definedName name="工业建筑类型">'比较法-工业'!$B$88:$M$88</definedName>
    <definedName name="工业交易情况" localSheetId="13">'[3]比较法-工业'!$A$55:$M$55</definedName>
    <definedName name="工业交易情况">'比较法-工业'!$A$55:$M$55</definedName>
    <definedName name="工业内部装修" localSheetId="13">'[3]比较法-工业'!$B$104:$M$104</definedName>
    <definedName name="工业内部装修">'比较法-工业'!$B$104:$M$104</definedName>
    <definedName name="工业物业管理" localSheetId="13">'[3]比较法-工业'!$B$100:$M$100</definedName>
    <definedName name="工业物业管理">'比较法-工业'!$B$100:$M$100</definedName>
    <definedName name="工业用途" localSheetId="13">'[3]比较法-工业'!$B$57:$M$57</definedName>
    <definedName name="工业用途">'比较法-工业'!$B$57:$M$57</definedName>
    <definedName name="公共配套设施" localSheetId="13">[3]定义!$Q$1:$Q$6</definedName>
    <definedName name="公共配套设施">定义!$Q$1:$Q$6</definedName>
    <definedName name="估价范围判定" localSheetId="13">[3]定义!$D$1:$D$4</definedName>
    <definedName name="估价范围判定">定义!$D$1:$D$4</definedName>
    <definedName name="估价方法" localSheetId="13">[3]定义!$B$1:$B$50</definedName>
    <definedName name="估价方法">定义!$B$1:$B$50</definedName>
    <definedName name="环境" localSheetId="13">[3]定义!$S$1:$S$6</definedName>
    <definedName name="环境">定义!$S$1:$S$6</definedName>
    <definedName name="基础设施水平" localSheetId="13">[3]定义!$R$1:$R$6</definedName>
    <definedName name="基础设施水平">定义!$R$1:$R$6</definedName>
    <definedName name="季度">基准地价修正!$Q$19:$AD$19</definedName>
    <definedName name="价值类型2" localSheetId="13">[3]定义!$B$54:$B$56</definedName>
    <definedName name="价值类型2">定义!$B$54:$B$56</definedName>
    <definedName name="交通便捷度" localSheetId="13">[3]定义!$O$1:$O$6</definedName>
    <definedName name="交通便捷度">定义!$O$1:$O$6</definedName>
    <definedName name="九级">区片价!$Q$1:$Q$51</definedName>
    <definedName name="居住社区成熟度" localSheetId="13">[3]定义!$K$1:$K$6</definedName>
    <definedName name="居住社区成熟度">定义!$K$1:$K$6</definedName>
    <definedName name="可用科目">[4]隐藏数据!$B$1:$B$300</definedName>
    <definedName name="类别" localSheetId="13">[3]定义!$J$1:$J$3</definedName>
    <definedName name="类别">定义!$J$1:$J$3</definedName>
    <definedName name="临街状况" localSheetId="13">[3]定义!$T$1:$T$5</definedName>
    <definedName name="临街状况">定义!$T$1:$T$5</definedName>
    <definedName name="六级">区片价!$N$1:$N$64</definedName>
    <definedName name="内部装修维护情况" localSheetId="13">[3]定义!$U$1:$U$6</definedName>
    <definedName name="内部装修维护情况">定义!$U$1:$U$6</definedName>
    <definedName name="判定">[5]定义!$D$1:$D$4</definedName>
    <definedName name="七级">区片价!$O$1:$O$45</definedName>
    <definedName name="七通一平" localSheetId="13">[3]修正!$A$8:$A$16</definedName>
    <definedName name="七通一平">修正!$A$8:$A$16</definedName>
    <definedName name="区域土地利用方向" localSheetId="13">[3]定义!$P$1:$P$6</definedName>
    <definedName name="区域土地利用方向">定义!$P$1:$P$6</definedName>
    <definedName name="三级">区片价!$K$1:$K$26</definedName>
    <definedName name="商业层高" localSheetId="13">'[3]比较法-商业'!$B$116:$M$116</definedName>
    <definedName name="商业层高">'比较法-商业'!$B$116:$M$116</definedName>
    <definedName name="商业成新度">'比较法-商业'!$B$109:$M$109</definedName>
    <definedName name="商业繁华度" localSheetId="13">[3]定义!$L$1:$L$6</definedName>
    <definedName name="商业繁华度">定义!$L$1:$L$6</definedName>
    <definedName name="商业公共部分装修" localSheetId="13">'[3]比较法-商业'!$B$107:$M$107</definedName>
    <definedName name="商业公共部分装修">'比较法-商业'!$B$107:$M$107</definedName>
    <definedName name="商业基础设施水平" localSheetId="13">'[3]比较法-商业'!$B$112:$M$112</definedName>
    <definedName name="商业基础设施水平">'比较法-商业'!$B$112:$M$112</definedName>
    <definedName name="商业建筑结构" localSheetId="13">'[3]比较法-商业'!$B$105:$M$105</definedName>
    <definedName name="商业建筑结构">'比较法-商业'!$B$105:$M$105</definedName>
    <definedName name="商业交易情况" localSheetId="13">'[3]比较法-商业'!$A$61:$M$61</definedName>
    <definedName name="商业交易情况">'比较法-商业'!$A$61:$M$61</definedName>
    <definedName name="商业街名称" localSheetId="13">[3]修正!$C$71:$C$138</definedName>
    <definedName name="商业街名称">修正!$C$71:$C$138</definedName>
    <definedName name="商业进深比" localSheetId="13">'[3]比较法-商业'!$B$120:$M$120</definedName>
    <definedName name="商业进深比">'比较法-商业'!$B$120:$M$120</definedName>
    <definedName name="商业类型" localSheetId="13">'[3]比较法-商业'!$B$100:$M$100</definedName>
    <definedName name="商业类型">'比较法-商业'!$B$100:$M$100</definedName>
    <definedName name="商业临街状况" localSheetId="13">'[3]比较法-商业'!$B$86:$M$86</definedName>
    <definedName name="商业临街状况">'比较法-商业'!$B$86:$M$86</definedName>
    <definedName name="商业楼层" localSheetId="13">'[3]比较法-商业'!$B$92:$M$92</definedName>
    <definedName name="商业楼层">'比较法-商业'!$B$92:$M$92</definedName>
    <definedName name="商业内部装修" localSheetId="13">'[3]比较法-商业'!$B$122:$M$122</definedName>
    <definedName name="商业内部装修">'比较法-商业'!$B$122:$M$122</definedName>
    <definedName name="商业人流量" localSheetId="13">'[3]比较法-商业'!$B$90:$M$90</definedName>
    <definedName name="商业人流量">'比较法-商业'!$B$90:$M$90</definedName>
    <definedName name="商业业态" localSheetId="13">'[3]比较法-商业'!$B$114:$M$114</definedName>
    <definedName name="商业业态">'比较法-商业'!$B$114:$M$114</definedName>
    <definedName name="商业用途" localSheetId="13">'[3]比较法-商业'!$B$63:$M$63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'[3]比较法-仓储'!$B$89:$M$89</definedName>
    <definedName name="是否封闭">'比较法-仓储'!$B$89:$M$89</definedName>
    <definedName name="是否直接入户" localSheetId="13">'[3]比较法-车位'!$B$95:$M$95</definedName>
    <definedName name="是否直接入户">'比较法-车位'!$B$95:$M$95</definedName>
    <definedName name="四级">区片价!$L$1:$L$33</definedName>
    <definedName name="套工道路等级" localSheetId="13">'[3]土地比较法-工业'!$B$97:$M$97</definedName>
    <definedName name="套工道路等级">'土地比较法-工业'!$B$97:$M$97</definedName>
    <definedName name="套工地质条件" localSheetId="13">'[3]土地比较法-工业'!$B$114:$M$114</definedName>
    <definedName name="套工地质条件">'土地比较法-工业'!$B$114:$M$114</definedName>
    <definedName name="套工交易情况" localSheetId="13">'[3]土地比较法-住宅、综合'!$A$72:$M$72</definedName>
    <definedName name="套工交易情况">'土地比较法-住宅、综合'!$A$72:$M$72</definedName>
    <definedName name="套工土地级别" localSheetId="13">'[3]土地比较法-工业'!$B$99:$M$99</definedName>
    <definedName name="套工土地级别">'土地比较法-工业'!$B$99:$M$99</definedName>
    <definedName name="套工用途" localSheetId="13">'[3]土地比较法-工业'!$B$70:$M$70</definedName>
    <definedName name="套工用途">'土地比较法-工业'!$B$70:$M$70</definedName>
    <definedName name="套工宗地开发程度" localSheetId="13">'[3]土地比较法-工业'!$B$112:$M$112</definedName>
    <definedName name="套工宗地开发程度">'土地比较法-工业'!$B$112:$M$112</definedName>
    <definedName name="套工宗地形状" localSheetId="13">'[3]土地比较法-工业'!$B$110:$M$110</definedName>
    <definedName name="套工宗地形状">'土地比较法-工业'!$B$110:$M$110</definedName>
    <definedName name="套综道路等级" localSheetId="13">'[3]土地比较法-住宅、综合'!$B$105:$M$105</definedName>
    <definedName name="套综道路等级">'土地比较法-住宅、综合'!$B$105:$M$105</definedName>
    <definedName name="套综工程地质条件" localSheetId="13">'[3]土地比较法-住宅、综合'!$B$124:$M$124</definedName>
    <definedName name="套综工程地质条件">'土地比较法-住宅、综合'!$B$124:$M$124</definedName>
    <definedName name="套综交易情况" localSheetId="13">'[3]土地比较法-住宅、综合'!$A$72:$M$72</definedName>
    <definedName name="套综交易情况">'土地比较法-住宅、综合'!$A$72:$M$72</definedName>
    <definedName name="套综临街宽度及深度" localSheetId="13">'[3]土地比较法-住宅、综合'!$B$120:$M$120</definedName>
    <definedName name="套综临街宽度及深度">'土地比较法-住宅、综合'!$B$120:$M$120</definedName>
    <definedName name="套综土地级别" localSheetId="13">'[3]土地比较法-住宅、综合'!$B$107:$M$107</definedName>
    <definedName name="套综土地级别">'土地比较法-住宅、综合'!$B$107:$M$107</definedName>
    <definedName name="套综用途" localSheetId="13">'[3]土地比较法-住宅、综合'!$B$74:$M$74</definedName>
    <definedName name="套综用途">'土地比较法-住宅、综合'!$B$74:$M$74</definedName>
    <definedName name="套综宗地内开发程度" localSheetId="13">'[3]土地比较法-住宅、综合'!$B$122:$M$122</definedName>
    <definedName name="套综宗地内开发程度">'土地比较法-住宅、综合'!$B$122:$M$122</definedName>
    <definedName name="套综宗地形状" localSheetId="13">'[3]土地比较法-住宅、综合'!$B$118:$M$118</definedName>
    <definedName name="套综宗地形状">'土地比较法-住宅、综合'!$B$118:$M$118</definedName>
    <definedName name="土地估价师">估价师及机构信息!$D$3:$D$24</definedName>
    <definedName name="土地级别" localSheetId="13">[3]定义!$C$1:$C$14</definedName>
    <definedName name="土地级别">定义!$C$1:$C$14</definedName>
    <definedName name="土地利用方向">定义!$P$1:$P$6</definedName>
    <definedName name="土地年限区间">定义!$I$1:$I$16</definedName>
    <definedName name="位置" localSheetId="13">[3]定义!$E$2:$E$4</definedName>
    <definedName name="位置">定义!$E$2:$E$4</definedName>
    <definedName name="五等判定" localSheetId="13">[3]定义!$W$1:$W$6</definedName>
    <definedName name="五等判定">定义!$W$1:$W$6</definedName>
    <definedName name="五级">区片价!$M$1:$M$41</definedName>
    <definedName name="项目类型" localSheetId="13">'[3]数据-汇总表'!$C$17:$C$26</definedName>
    <definedName name="项目类型" localSheetId="26">'[1]数据-汇总表'!$C$17:$C$26</definedName>
    <definedName name="项目类型">'数据-汇总表'!$C$17:$C$26</definedName>
    <definedName name="写字楼等级" localSheetId="13">'[3]比较法-办公'!$B$113:$M$113</definedName>
    <definedName name="写字楼等级">'比较法-办公'!$B$113:$M$113</definedName>
    <definedName name="一级">区片价!$I$1:$I$6</definedName>
    <definedName name="一修多修正项2" localSheetId="13">[3]典型户型修正!$5:$5</definedName>
    <definedName name="一修多修正项2">典型户型修正!$5:$5</definedName>
    <definedName name="一修多修正项3" localSheetId="13">[3]典型户型修正!$7:$7</definedName>
    <definedName name="一修多修正项3">典型户型修正!$7:$7</definedName>
    <definedName name="一修多修正项4" localSheetId="13">[3]典型户型修正!$9:$9</definedName>
    <definedName name="一修多修正项4">典型户型修正!$9:$9</definedName>
    <definedName name="一修多修正项5" localSheetId="13">[3]典型户型修正!$11:$11</definedName>
    <definedName name="一修多修正项5">典型户型修正!$11:$11</definedName>
    <definedName name="一修多修正项6" localSheetId="13">[3]典型户型修正!$13:$13</definedName>
    <definedName name="一修多修正项6">典型户型修正!$13:$13</definedName>
    <definedName name="一修多修正项7" localSheetId="13">[3]典型户型修正!$15:$15</definedName>
    <definedName name="一修多修正项7">典型户型修正!$15:$15</definedName>
    <definedName name="一修多修正项8" localSheetId="13">[3]典型户型修正!$17:$17</definedName>
    <definedName name="一修多修正项8">典型户型修正!$17:$17</definedName>
    <definedName name="用途明细" localSheetId="13">[3]定义!$A$1:$A$50</definedName>
    <definedName name="用途明细">定义!$A$1:$A$50</definedName>
    <definedName name="有无电梯" localSheetId="13">'[3]比较法-仓储'!$B$84:$M$84</definedName>
    <definedName name="有无电梯">'比较法-仓储'!$B$84:$M$84</definedName>
    <definedName name="主用途" localSheetId="13">[3]定义!$F$1:$F$12</definedName>
    <definedName name="主用途">定义!$F$1:$F$12</definedName>
    <definedName name="住宅朝向" localSheetId="13">'[3]比较法-住宅'!$B$88:$M$88</definedName>
    <definedName name="住宅朝向">'比较法-住宅'!$B$88:$M$88</definedName>
    <definedName name="住宅房型" localSheetId="13">'[3]比较法-住宅'!$B$118:$M$118</definedName>
    <definedName name="住宅房型">'比较法-住宅'!$B$118:$M$118</definedName>
    <definedName name="住宅公共部分装修" localSheetId="13">'[3]比较法-住宅'!$B$109:$M$109</definedName>
    <definedName name="住宅公共部分装修">'比较法-住宅'!$B$109:$M$109</definedName>
    <definedName name="住宅基础设施水平" localSheetId="13">'[3]比较法-住宅'!$B$116:$M$116</definedName>
    <definedName name="住宅基础设施水平">'比较法-住宅'!$B$116:$M$116</definedName>
    <definedName name="住宅建筑结构" localSheetId="13">'[3]比较法-住宅'!$B$105:$M$105</definedName>
    <definedName name="住宅建筑结构">'比较法-住宅'!$B$105:$M$105</definedName>
    <definedName name="住宅建筑类型" localSheetId="13">'[3]比较法-住宅'!$B$100:$M$100</definedName>
    <definedName name="住宅建筑类型">'比较法-住宅'!$B$100:$M$100</definedName>
    <definedName name="住宅建筑品质" localSheetId="13">'[3]比较法-住宅'!$B$107:$M$107</definedName>
    <definedName name="住宅建筑品质">'比较法-住宅'!$B$107:$M$107</definedName>
    <definedName name="住宅交易情况" localSheetId="13">'[3]比较法-住宅'!$A$61:$M$61</definedName>
    <definedName name="住宅交易情况">'比较法-住宅'!$A$61:$M$61</definedName>
    <definedName name="住宅楼层" localSheetId="13">'[3]比较法-住宅'!$B$86:$M$86</definedName>
    <definedName name="住宅楼层">'比较法-住宅'!$B$86:$M$86</definedName>
    <definedName name="住宅内部装修" localSheetId="13">'[3]比较法-住宅'!$B$122:$M$122</definedName>
    <definedName name="住宅内部装修">'比较法-住宅'!$B$122:$M$122</definedName>
    <definedName name="住宅物业管理" localSheetId="13">'[3]比较法-住宅'!$B$114:$M$114</definedName>
    <definedName name="住宅物业管理">'比较法-住宅'!$B$114:$M$114</definedName>
    <definedName name="住宅用途" localSheetId="13">'[3]比较法-住宅'!$B$63:$M$63</definedName>
    <definedName name="住宅用途">'比较法-住宅'!$B$63:$M$63</definedName>
    <definedName name="住宅主力户型面积">'比较法-住宅'!$B$120:$M$120</definedName>
    <definedName name="注册房地产估价师" localSheetId="13">[3]估价师及机构信息!$A$3:$A$16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40" i="43" l="1"/>
  <c r="K13" i="3"/>
  <c r="J49" i="15"/>
  <c r="G44" i="43"/>
  <c r="I7" i="6"/>
  <c r="AM6" i="1"/>
  <c r="E23" i="81"/>
  <c r="B59" i="1"/>
  <c r="B35" i="1"/>
  <c r="B21" i="1"/>
  <c r="G19" i="6"/>
  <c r="I13" i="3"/>
  <c r="D33" i="43" s="1"/>
  <c r="A3" i="3"/>
  <c r="F30" i="81"/>
  <c r="D28" i="81"/>
  <c r="D27" i="81"/>
  <c r="D26" i="81"/>
  <c r="D25" i="81"/>
  <c r="D24" i="81"/>
  <c r="D23" i="81"/>
  <c r="D30" i="81" s="1"/>
  <c r="H16" i="81"/>
  <c r="H18" i="81" s="1"/>
  <c r="N6" i="1" s="1"/>
  <c r="Y6" i="1" s="1"/>
  <c r="D9" i="81"/>
  <c r="E9" i="81" s="1"/>
  <c r="C6" i="81"/>
  <c r="C5" i="81" s="1"/>
  <c r="E5" i="81" s="1"/>
  <c r="I34" i="80"/>
  <c r="H34" i="80"/>
  <c r="G34" i="80"/>
  <c r="F34" i="80"/>
  <c r="E34" i="80"/>
  <c r="D34" i="80"/>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F5" i="80"/>
  <c r="J3" i="80"/>
  <c r="E2" i="80"/>
  <c r="D3" i="4"/>
  <c r="F19" i="6" l="1"/>
  <c r="J25" i="81"/>
  <c r="E25" i="81" s="1"/>
  <c r="J27" i="81"/>
  <c r="E27" i="81" s="1"/>
  <c r="E6" i="81"/>
  <c r="E4" i="81" s="1"/>
  <c r="J24" i="81"/>
  <c r="E24" i="81" s="1"/>
  <c r="J26" i="81"/>
  <c r="E26" i="81" s="1"/>
  <c r="C30" i="81"/>
  <c r="F23" i="81" s="1"/>
  <c r="F28" i="81" s="1"/>
  <c r="C4" i="81"/>
  <c r="I7" i="79"/>
  <c r="F25" i="81" l="1"/>
  <c r="F26" i="81"/>
  <c r="J28" i="81"/>
  <c r="E28" i="81" s="1"/>
  <c r="E30" i="81" s="1"/>
  <c r="F27" i="81"/>
  <c r="F24" i="81"/>
  <c r="C10" i="81"/>
  <c r="C8" i="81"/>
  <c r="E8" i="81" s="1"/>
  <c r="C7" i="81"/>
  <c r="E7" i="81" s="1"/>
  <c r="D4" i="81"/>
  <c r="I29" i="79"/>
  <c r="I28" i="79"/>
  <c r="N28" i="79"/>
  <c r="M28" i="79"/>
  <c r="P28" i="79" s="1"/>
  <c r="L28" i="79"/>
  <c r="N29" i="79"/>
  <c r="M29" i="79"/>
  <c r="L29" i="79"/>
  <c r="P6" i="79"/>
  <c r="O6" i="79"/>
  <c r="N6" i="79"/>
  <c r="M6" i="79"/>
  <c r="L6" i="79"/>
  <c r="K6" i="79"/>
  <c r="O7" i="79"/>
  <c r="N7" i="79"/>
  <c r="M7" i="79"/>
  <c r="P7" i="79" s="1"/>
  <c r="L7" i="79"/>
  <c r="K7" i="79"/>
  <c r="E10" i="81" l="1"/>
  <c r="D10" i="81" s="1"/>
  <c r="G10" i="8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E5" i="6" s="1"/>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M9" i="15"/>
  <c r="C76" i="67"/>
  <c r="F13" i="15"/>
  <c r="F43" i="15"/>
  <c r="M29" i="15"/>
  <c r="M26" i="15"/>
  <c r="B11" i="76"/>
  <c r="F36" i="15"/>
  <c r="M22" i="15"/>
  <c r="F13" i="67"/>
  <c r="F9" i="15"/>
  <c r="L47" i="15"/>
  <c r="F42" i="15"/>
  <c r="F5" i="73"/>
  <c r="F26" i="67"/>
  <c r="F42" i="67"/>
  <c r="E8" i="76"/>
  <c r="M28" i="15"/>
  <c r="J15" i="15"/>
  <c r="D3" i="73"/>
  <c r="F7" i="73"/>
  <c r="F26" i="15"/>
  <c r="B12" i="76"/>
  <c r="E10" i="76"/>
  <c r="D7" i="73"/>
  <c r="F3" i="73"/>
  <c r="F40" i="15"/>
  <c r="F36" i="67"/>
  <c r="F16" i="67"/>
  <c r="M8" i="15"/>
  <c r="M23" i="67"/>
  <c r="F8" i="15"/>
  <c r="J15" i="67"/>
  <c r="B7" i="76"/>
  <c r="E2" i="68"/>
  <c r="L48" i="67"/>
  <c r="E9" i="76"/>
  <c r="D6" i="73"/>
  <c r="M6" i="15"/>
  <c r="M8" i="67"/>
  <c r="C76" i="15"/>
  <c r="F9" i="67"/>
  <c r="E11" i="76"/>
  <c r="B9" i="76"/>
  <c r="M23" i="15"/>
  <c r="M24" i="67"/>
  <c r="E13" i="76"/>
  <c r="L48" i="15"/>
  <c r="B79" i="43" l="1"/>
  <c r="B75" i="43"/>
  <c r="B68" i="43"/>
  <c r="B73" i="43"/>
  <c r="B76" i="43"/>
  <c r="B57" i="43"/>
  <c r="C29" i="39"/>
  <c r="B77" i="43"/>
  <c r="BA13" i="3"/>
  <c r="BA5" i="3" s="1"/>
  <c r="G5" i="3"/>
  <c r="B3" i="3" s="1"/>
  <c r="E13" i="3"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81" i="3"/>
  <c r="E89" i="3"/>
  <c r="Z6" i="3"/>
  <c r="E444" i="3"/>
  <c r="E447" i="3"/>
  <c r="E210" i="3"/>
  <c r="E384" i="3"/>
  <c r="E14" i="6"/>
  <c r="E63" i="39" s="1"/>
  <c r="I4" i="6"/>
  <c r="G3" i="43" s="1"/>
  <c r="F26" i="43" s="1"/>
  <c r="E29" i="6"/>
  <c r="K15" i="1" s="1"/>
  <c r="F30" i="6"/>
  <c r="G30" i="6"/>
  <c r="G31" i="6" s="1"/>
  <c r="E28" i="6"/>
  <c r="K14" i="1" s="1"/>
  <c r="K16" i="1" s="1"/>
  <c r="B29"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G1" i="73"/>
  <c r="C16" i="67"/>
  <c r="C16" i="15"/>
  <c r="E441" i="3" l="1"/>
  <c r="E166" i="3"/>
  <c r="AS6" i="3"/>
  <c r="E146" i="3"/>
  <c r="E30" i="3"/>
  <c r="E162" i="3"/>
  <c r="E477" i="3"/>
  <c r="E472" i="3"/>
  <c r="E316" i="3"/>
  <c r="E88" i="3"/>
  <c r="E558" i="3"/>
  <c r="E315" i="3"/>
  <c r="E228" i="3"/>
  <c r="E26" i="43"/>
  <c r="E587" i="3"/>
  <c r="P6" i="1"/>
  <c r="C13" i="12" s="1"/>
  <c r="E480" i="3"/>
  <c r="E334" i="3"/>
  <c r="E295" i="3"/>
  <c r="E121" i="3"/>
  <c r="E404" i="3"/>
  <c r="E581" i="3"/>
  <c r="E432" i="3"/>
  <c r="E368" i="3"/>
  <c r="E106" i="3"/>
  <c r="E560" i="3"/>
  <c r="E568" i="3"/>
  <c r="E44" i="3"/>
  <c r="E331" i="3"/>
  <c r="E186" i="3"/>
  <c r="E27" i="3"/>
  <c r="E476" i="3"/>
  <c r="E505" i="3"/>
  <c r="AO6" i="3"/>
  <c r="E362" i="3"/>
  <c r="E577" i="3"/>
  <c r="E277" i="3"/>
  <c r="E29" i="3"/>
  <c r="AM6" i="3"/>
  <c r="E317" i="3"/>
  <c r="E291" i="3"/>
  <c r="E272" i="3"/>
  <c r="E126" i="3"/>
  <c r="E92" i="3"/>
  <c r="E71" i="3"/>
  <c r="E546" i="3"/>
  <c r="E403" i="3"/>
  <c r="E547" i="3"/>
  <c r="E367" i="3"/>
  <c r="E400" i="3"/>
  <c r="E327" i="3"/>
  <c r="E227" i="3"/>
  <c r="E214" i="3"/>
  <c r="E454" i="3"/>
  <c r="E465" i="3"/>
  <c r="K6" i="3"/>
  <c r="AK6" i="3"/>
  <c r="E77" i="3"/>
  <c r="E109" i="3"/>
  <c r="E572" i="3"/>
  <c r="E377" i="3"/>
  <c r="E273" i="3"/>
  <c r="E211" i="3"/>
  <c r="E182" i="3"/>
  <c r="E70" i="3"/>
  <c r="E28" i="3"/>
  <c r="E489" i="3"/>
  <c r="E531" i="3"/>
  <c r="E557" i="3"/>
  <c r="E345" i="3"/>
  <c r="E485" i="3"/>
  <c r="E204" i="3"/>
  <c r="E74" i="3"/>
  <c r="E171" i="3"/>
  <c r="E468" i="3"/>
  <c r="E406" i="3"/>
  <c r="E133" i="3"/>
  <c r="E545"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D18" i="53"/>
  <c r="B35" i="72" s="1"/>
  <c r="C7" i="74"/>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539" i="3"/>
  <c r="E148" i="3"/>
  <c r="E199" i="3"/>
  <c r="E575" i="3"/>
  <c r="R6" i="3"/>
  <c r="E442" i="3"/>
  <c r="E487" i="3"/>
  <c r="E422" i="3"/>
  <c r="E449" i="3"/>
  <c r="E374" i="3"/>
  <c r="AH6" i="3"/>
  <c r="AC6" i="3" s="1"/>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493" i="3"/>
  <c r="E436" i="3"/>
  <c r="E131" i="3"/>
  <c r="E192" i="3"/>
  <c r="E276" i="3"/>
  <c r="E375" i="3"/>
  <c r="E76" i="3"/>
  <c r="E473" i="3"/>
  <c r="E47" i="3"/>
  <c r="E103" i="3"/>
  <c r="E195" i="3"/>
  <c r="E267" i="3"/>
  <c r="E339" i="3"/>
  <c r="E584" i="3"/>
  <c r="E67" i="3"/>
  <c r="E87" i="3"/>
  <c r="E233" i="3"/>
  <c r="E50" i="3"/>
  <c r="E154" i="3"/>
  <c r="E283" i="3"/>
  <c r="E373" i="3"/>
  <c r="E188" i="3"/>
  <c r="E16" i="3"/>
  <c r="E223" i="3"/>
  <c r="E105" i="3"/>
  <c r="E543" i="3"/>
  <c r="E464" i="3"/>
  <c r="E507" i="3"/>
  <c r="E430" i="3"/>
  <c r="E459" i="3"/>
  <c r="E376" i="3"/>
  <c r="AP6" i="3"/>
  <c r="E582" i="3"/>
  <c r="E419" i="3"/>
  <c r="E491" i="3"/>
  <c r="E40" i="3"/>
  <c r="E37" i="3"/>
  <c r="E119" i="3"/>
  <c r="E297" i="3"/>
  <c r="E363" i="3"/>
  <c r="L6" i="3"/>
  <c r="E488" i="3"/>
  <c r="E425" i="3"/>
  <c r="E38" i="3"/>
  <c r="E194" i="3"/>
  <c r="E266" i="3"/>
  <c r="E310" i="3"/>
  <c r="E52" i="3"/>
  <c r="E147" i="3"/>
  <c r="E341" i="3"/>
  <c r="E63" i="3"/>
  <c r="E218" i="3"/>
  <c r="E101" i="3"/>
  <c r="E536" i="3"/>
  <c r="E212" i="3"/>
  <c r="E286" i="3"/>
  <c r="E499" i="3"/>
  <c r="E502" i="3"/>
  <c r="E486"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68" i="3"/>
  <c r="E19" i="3"/>
  <c r="E176" i="3"/>
  <c r="E264" i="3"/>
  <c r="E323" i="3"/>
  <c r="E524" i="3"/>
  <c r="E21" i="3"/>
  <c r="E329" i="3"/>
  <c r="E393" i="3"/>
  <c r="E564" i="3"/>
  <c r="E440" i="3"/>
  <c r="E517" i="3"/>
  <c r="E90" i="3"/>
  <c r="E242" i="3"/>
  <c r="E389" i="3"/>
  <c r="E521" i="3"/>
  <c r="E170" i="3"/>
  <c r="E300" i="3"/>
  <c r="E24" i="3"/>
  <c r="E340" i="3"/>
  <c r="E118" i="3"/>
  <c r="E398" i="3"/>
  <c r="E333" i="3"/>
  <c r="E219" i="3"/>
  <c r="E62" i="3"/>
  <c r="E427" i="3"/>
  <c r="E255" i="3"/>
  <c r="E460" i="3"/>
  <c r="E108" i="3"/>
  <c r="E241" i="3"/>
  <c r="E58" i="3"/>
  <c r="E455" i="3"/>
  <c r="E142" i="3"/>
  <c r="E386" i="3"/>
  <c r="E112" i="3"/>
  <c r="E381" i="3"/>
  <c r="E222" i="3"/>
  <c r="J6" i="3"/>
  <c r="E479" i="3"/>
  <c r="E409" i="3"/>
  <c r="E23" i="3"/>
  <c r="E513" i="3"/>
  <c r="E466" i="3"/>
  <c r="E566" i="3"/>
  <c r="E401" i="3"/>
  <c r="E152" i="3"/>
  <c r="E348" i="3"/>
  <c r="E43" i="3"/>
  <c r="E64" i="3"/>
  <c r="E248" i="3"/>
  <c r="E392" i="3"/>
  <c r="E144" i="3"/>
  <c r="E51" i="3"/>
  <c r="E365" i="3"/>
  <c r="E116" i="3"/>
  <c r="E155" i="3"/>
  <c r="E65" i="3"/>
  <c r="E250" i="3"/>
  <c r="G26" i="43"/>
  <c r="H26" i="43"/>
  <c r="D26" i="43" s="1"/>
  <c r="C25" i="43" s="1"/>
  <c r="N94" i="46"/>
  <c r="J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4" l="1"/>
  <c r="D7" i="74"/>
  <c r="B3" i="43"/>
  <c r="C6" i="68"/>
  <c r="C7"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0"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l="1"/>
  <c r="D14" i="74"/>
  <c r="G14" i="74" s="1"/>
  <c r="B6" i="74" s="1"/>
  <c r="D6" i="74" s="1"/>
  <c r="I118" i="9"/>
  <c r="H102" i="9" s="1"/>
  <c r="F4" i="52"/>
  <c r="B51" i="72" s="1"/>
  <c r="D4" i="52"/>
  <c r="B47" i="72" s="1"/>
  <c r="G118" i="9"/>
  <c r="G4" i="52" s="1"/>
  <c r="B52" i="72" s="1"/>
  <c r="H4" i="52"/>
  <c r="H119" i="9"/>
  <c r="H5" i="52" s="1"/>
  <c r="H101" i="9"/>
  <c r="E14" i="74" l="1"/>
  <c r="B5" i="74"/>
  <c r="D5" i="74" s="1"/>
  <c r="F14" i="74"/>
  <c r="I4" i="52"/>
  <c r="C105" i="9"/>
  <c r="E118" i="9"/>
  <c r="E4" i="52" s="1"/>
  <c r="B48" i="72" s="1"/>
  <c r="D7" i="53"/>
  <c r="B21" i="72" s="1"/>
  <c r="C5" i="74"/>
  <c r="D5" i="53"/>
  <c r="H107" i="9"/>
  <c r="D45" i="9"/>
  <c r="M48" i="9"/>
  <c r="D122" i="9" l="1"/>
  <c r="D13" i="53"/>
  <c r="H108" i="9"/>
  <c r="B20" i="72"/>
  <c r="D6" i="53"/>
  <c r="B22" i="72" s="1"/>
  <c r="C64" i="9"/>
  <c r="C63" i="9" s="1"/>
  <c r="C67" i="9" s="1"/>
  <c r="D52" i="9"/>
  <c r="D55" i="9"/>
  <c r="M53" i="9" s="1"/>
  <c r="C93" i="9"/>
  <c r="C86" i="9" s="1"/>
  <c r="D53" i="9"/>
  <c r="C72" i="9"/>
  <c r="C85" i="9"/>
  <c r="C78" i="9"/>
  <c r="C73" i="9" s="1"/>
  <c r="C95" i="9" l="1"/>
  <c r="C96" i="9" s="1"/>
  <c r="E96" i="9" s="1"/>
  <c r="E97" i="9" s="1"/>
  <c r="C6" i="74"/>
  <c r="D15" i="53"/>
  <c r="B31" i="72" s="1"/>
  <c r="C79" i="9"/>
  <c r="D59" i="9"/>
  <c r="M55" i="9" s="1"/>
  <c r="C68" i="9"/>
  <c r="D54" i="9" s="1"/>
  <c r="B30" i="72"/>
  <c r="D14" i="53"/>
  <c r="B32" i="72" s="1"/>
  <c r="D123" i="9"/>
  <c r="D9" i="52" s="1"/>
  <c r="D8" i="52"/>
  <c r="C80" i="9" l="1"/>
  <c r="E80" i="9" s="1"/>
  <c r="E81"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C2" author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<sst xmlns="http://schemas.openxmlformats.org/spreadsheetml/2006/main" count="7899" uniqueCount="3492">
  <si>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</si>
  <si>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</si>
  <si>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</si>
  <si>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</si>
  <si>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</si>
  <si>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</si>
  <si>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</si>
  <si>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</si>
  <si>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</si>
  <si>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</si>
  <si>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</si>
  <si>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</si>
  <si>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</si>
  <si>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</si>
  <si>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</si>
  <si>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</si>
  <si>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</si>
  <si>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</si>
  <si>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</si>
  <si>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</si>
  <si>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</si>
  <si>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</si>
  <si>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</si>
  <si>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</si>
  <si>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</si>
  <si>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</si>
  <si>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</si>
  <si>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</si>
  <si>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</si>
  <si>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</si>
  <si>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</si>
  <si>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</si>
  <si>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</si>
  <si>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</si>
  <si>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</si>
  <si>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</si>
  <si>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</si>
  <si>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</si>
  <si>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</si>
  <si>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</si>
  <si>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</si>
  <si>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</si>
  <si>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</si>
  <si>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</si>
  <si>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</si>
  <si>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</si>
  <si>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</si>
  <si>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</si>
  <si>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</si>
  <si>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</si>
  <si>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</si>
  <si>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</si>
  <si>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</si>
  <si>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</si>
  <si>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</si>
  <si>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</si>
  <si>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</si>
  <si>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</si>
  <si>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</si>
  <si>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</si>
  <si>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</si>
  <si>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</si>
  <si>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</si>
  <si>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</si>
  <si>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</si>
  <si>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</si>
  <si>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</si>
  <si>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</si>
  <si>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</si>
  <si>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</si>
  <si>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</si>
  <si>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</si>
  <si>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</si>
  <si>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</si>
  <si>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</si>
  <si>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</si>
  <si>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</si>
  <si>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</si>
  <si>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</si>
  <si>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</si>
  <si>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</si>
  <si>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</si>
  <si>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</si>
  <si>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</si>
  <si>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</si>
  <si>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</si>
  <si>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</si>
  <si>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</si>
  <si>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</si>
  <si>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</si>
  <si>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</si>
  <si>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</si>
  <si>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</si>
  <si>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</si>
  <si>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</si>
  <si>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</si>
  <si>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</si>
  <si>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</si>
  <si>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</si>
  <si>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</si>
  <si>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</si>
  <si>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</si>
  <si>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</si>
  <si>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</si>
  <si>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</si>
  <si>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</si>
  <si>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</si>
  <si>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</si>
  <si>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</si>
  <si>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</si>
  <si>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</si>
  <si>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</si>
  <si>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</si>
  <si>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</si>
  <si>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</si>
  <si>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</si>
  <si>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</si>
  <si>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</si>
  <si>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</si>
  <si>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</si>
  <si>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</si>
  <si>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</si>
  <si>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</si>
  <si>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</si>
  <si>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</si>
  <si>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</si>
  <si>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</si>
  <si>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</si>
  <si>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</si>
  <si>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</si>
  <si>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</si>
  <si>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</si>
  <si>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</si>
  <si>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</si>
  <si>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</si>
  <si>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</si>
  <si>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</si>
  <si>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</si>
  <si>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</si>
  <si>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</si>
  <si>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</si>
  <si>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</si>
  <si>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</si>
  <si>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</si>
  <si>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</si>
  <si>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</si>
  <si>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</si>
  <si>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</si>
  <si>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</si>
  <si>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</si>
  <si>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</si>
  <si>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</si>
  <si>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</si>
  <si>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</si>
  <si>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</si>
  <si>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</si>
  <si>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</si>
  <si>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</si>
  <si>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</si>
  <si>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</si>
  <si>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</si>
  <si>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</si>
  <si>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</si>
  <si>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</si>
  <si>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</si>
  <si>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</si>
  <si>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</si>
  <si>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</si>
  <si>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</si>
  <si>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</si>
  <si>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</si>
  <si>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</si>
  <si>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</si>
  <si>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</si>
  <si>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</si>
  <si>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</si>
  <si>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</si>
  <si>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</si>
  <si>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</si>
  <si>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</si>
  <si>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</si>
  <si>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</si>
  <si>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</si>
  <si>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</si>
  <si>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</si>
  <si>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</si>
  <si>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</si>
  <si>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</si>
  <si>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</si>
  <si>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</si>
  <si>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</si>
  <si>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</si>
  <si>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</si>
  <si>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</si>
  <si>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</si>
  <si>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</si>
  <si>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</si>
  <si>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</si>
  <si>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</si>
  <si>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</si>
  <si>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</si>
  <si>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</si>
  <si>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</si>
  <si>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</si>
  <si>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</si>
  <si>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</si>
  <si>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</si>
  <si>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</si>
  <si>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</si>
  <si>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</si>
  <si>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</si>
  <si>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</si>
  <si>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</si>
  <si>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</si>
  <si>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</si>
  <si>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</si>
  <si>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</si>
  <si>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</si>
  <si>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</si>
  <si>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</si>
  <si>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</si>
  <si>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</si>
  <si>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</si>
  <si>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</si>
  <si>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</si>
  <si>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</si>
  <si>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</si>
  <si>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</si>
  <si>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</si>
  <si>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</si>
  <si>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</si>
  <si>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</si>
  <si>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</si>
  <si>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</si>
  <si>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</si>
  <si>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</si>
  <si>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</si>
  <si>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</si>
  <si>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</si>
  <si>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</si>
  <si>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</si>
  <si>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</si>
  <si>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</si>
  <si>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</si>
  <si>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</si>
  <si>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</si>
  <si>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</si>
  <si>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</si>
  <si>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</si>
  <si>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</si>
  <si>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</si>
  <si>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</si>
  <si>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</si>
  <si>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</si>
  <si>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</si>
  <si>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</si>
  <si>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</si>
  <si>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</si>
  <si>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</si>
  <si>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</si>
  <si>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</si>
  <si>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</si>
  <si>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</si>
  <si>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</si>
  <si>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</si>
  <si>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</si>
  <si>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</si>
  <si>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</si>
  <si>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</si>
  <si>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</si>
  <si>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</si>
  <si>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</si>
  <si>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</si>
  <si>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</si>
  <si>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</si>
  <si>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</si>
  <si>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</si>
  <si>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</si>
  <si>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</si>
  <si>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</si>
  <si>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</si>
  <si>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</si>
  <si>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</si>
  <si>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</si>
  <si>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</si>
  <si>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</si>
  <si>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</si>
  <si>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</si>
  <si>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</si>
  <si>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</si>
  <si>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</si>
  <si>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</si>
  <si>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</si>
  <si>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</si>
  <si>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</si>
  <si>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</si>
  <si>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</si>
  <si>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</si>
  <si>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</si>
  <si>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</si>
  <si>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</si>
  <si>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</si>
  <si>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</si>
  <si>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</si>
  <si>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</si>
  <si>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</si>
  <si>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</si>
  <si>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</si>
  <si>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</si>
  <si>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</si>
  <si>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</si>
  <si>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</si>
  <si>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</si>
  <si>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</si>
  <si>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</si>
  <si>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</si>
  <si>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</si>
  <si>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</si>
  <si>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</si>
  <si>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</si>
  <si>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</si>
  <si>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</si>
  <si>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</si>
  <si>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</si>
  <si>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</si>
  <si>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</si>
  <si>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</si>
  <si>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</si>
  <si>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</si>
  <si>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</si>
  <si>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</si>
  <si>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</si>
  <si>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</si>
  <si>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</si>
  <si>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</si>
  <si>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</si>
  <si>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</si>
  <si>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</si>
  <si>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</si>
  <si>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</si>
  <si>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</si>
  <si>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</si>
  <si>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</si>
  <si>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</si>
  <si>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</si>
  <si>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</si>
  <si>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</si>
  <si>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</si>
  <si>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</si>
  <si>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</si>
  <si>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</si>
  <si>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</si>
  <si>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</si>
  <si>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</si>
  <si>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</si>
  <si>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</si>
  <si>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</si>
  <si>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</si>
  <si>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</si>
  <si>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</si>
  <si>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</si>
  <si>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</si>
  <si>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</si>
  <si>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</si>
  <si>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</si>
  <si>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</si>
  <si>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</si>
  <si>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</si>
  <si>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</si>
  <si>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</si>
  <si>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</si>
  <si>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</si>
  <si>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</si>
  <si>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</si>
  <si>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</si>
  <si>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</si>
  <si>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</si>
  <si>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</si>
  <si>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</si>
  <si>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</si>
  <si>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</si>
  <si>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</si>
  <si>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</si>
  <si>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</si>
  <si>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</si>
  <si>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</si>
  <si>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</si>
  <si>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</si>
  <si>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</si>
  <si>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</si>
  <si>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</si>
  <si>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</si>
  <si>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</si>
  <si>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</si>
  <si>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</si>
  <si>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</si>
  <si>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</si>
  <si>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</si>
  <si>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</si>
  <si>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</si>
  <si>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</si>
  <si>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</si>
  <si>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</si>
  <si>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</si>
  <si>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</si>
  <si>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</si>
  <si>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</si>
  <si>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</si>
  <si>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</si>
  <si>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</si>
  <si>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</si>
  <si>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</si>
  <si>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</si>
  <si>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</si>
  <si>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</si>
  <si>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</si>
  <si>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</si>
  <si>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</si>
  <si>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</si>
  <si>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</si>
  <si>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</si>
  <si>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</si>
  <si>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</si>
  <si>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</si>
  <si>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</si>
  <si>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</si>
  <si>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</si>
  <si>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</si>
  <si>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</si>
  <si>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</si>
  <si>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</si>
  <si>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</si>
  <si>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</si>
  <si>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</si>
  <si>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</si>
  <si>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</si>
  <si>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</si>
  <si>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</si>
  <si>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</si>
  <si>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</si>
  <si>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</si>
  <si>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</si>
  <si>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</si>
  <si>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</si>
  <si>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</si>
  <si>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</si>
  <si>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</si>
  <si>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</si>
  <si>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</si>
  <si>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</si>
  <si>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</si>
  <si>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</si>
  <si>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</si>
  <si>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</si>
  <si>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</si>
  <si>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</si>
  <si>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</si>
  <si>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</si>
  <si>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</si>
  <si>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</si>
  <si>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</si>
  <si>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</si>
  <si>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</si>
  <si>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</si>
  <si>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</si>
  <si>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</si>
  <si>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</si>
  <si>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</si>
  <si>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</si>
  <si>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</si>
  <si>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</si>
  <si>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</si>
  <si>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</si>
  <si>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</si>
  <si>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</si>
  <si>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</si>
  <si>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</si>
  <si>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</si>
  <si>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</si>
  <si>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</si>
  <si>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</si>
  <si>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</si>
  <si>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</si>
  <si>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</si>
  <si>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</si>
  <si>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</si>
  <si>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</si>
  <si>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</si>
  <si>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</si>
  <si>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</si>
  <si>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</si>
  <si>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</si>
  <si>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</si>
  <si>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</si>
  <si>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</si>
  <si>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</si>
  <si>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</si>
  <si>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</si>
  <si>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</si>
  <si>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</si>
  <si>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</si>
  <si>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</si>
  <si>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</si>
  <si>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</si>
  <si>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</si>
  <si>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</si>
  <si>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</si>
  <si>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</si>
  <si>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</si>
  <si>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</si>
  <si>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</si>
  <si>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</si>
  <si>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</si>
  <si>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</si>
  <si>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</si>
  <si>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</si>
  <si>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</si>
  <si>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</si>
  <si>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</si>
  <si>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</si>
  <si>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</si>
  <si>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</si>
  <si>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</si>
  <si>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</si>
  <si>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</si>
  <si>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</si>
  <si>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</si>
  <si>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</si>
  <si>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</si>
  <si>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</si>
  <si>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</si>
  <si>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</si>
  <si>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</si>
  <si>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</si>
  <si>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</si>
  <si>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</si>
  <si>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</si>
  <si>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</si>
  <si>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</si>
  <si>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</si>
  <si>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</si>
  <si>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</si>
  <si>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</si>
  <si>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</si>
  <si>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</si>
  <si>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</si>
  <si>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</si>
  <si>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</si>
  <si>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</si>
  <si>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</si>
  <si>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</si>
  <si>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</si>
  <si>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</si>
  <si>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</si>
  <si>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</si>
  <si>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</si>
  <si>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</si>
  <si>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</si>
  <si>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</si>
  <si>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</si>
  <si>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</si>
  <si>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</si>
  <si>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</si>
  <si>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</si>
  <si>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</si>
  <si>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</si>
  <si>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</si>
  <si>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</si>
  <si>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</si>
  <si>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</si>
  <si>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</si>
  <si>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</si>
  <si>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</si>
  <si>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</si>
  <si>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</si>
  <si>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</si>
  <si>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</si>
  <si>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</si>
  <si>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</si>
  <si>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</si>
  <si>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</si>
  <si>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</si>
  <si>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</si>
  <si>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</si>
  <si>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</si>
  <si>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</si>
  <si>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</si>
  <si>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</si>
  <si>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</si>
  <si>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</si>
  <si>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</si>
  <si>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</si>
  <si>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</si>
  <si>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</si>
  <si>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</si>
  <si>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</si>
  <si>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</si>
  <si>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</si>
  <si>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</si>
  <si>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</si>
  <si>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</si>
  <si>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</si>
  <si>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</si>
  <si>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</si>
  <si>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</si>
  <si>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</si>
  <si>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</si>
  <si>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</si>
  <si>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</si>
  <si>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</si>
  <si>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</si>
  <si>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</si>
  <si>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</si>
  <si>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</si>
  <si>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</si>
  <si>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</si>
  <si>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</si>
  <si>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</si>
  <si>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</si>
  <si>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</si>
  <si>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</si>
  <si>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</si>
  <si>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</si>
  <si>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</si>
  <si>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</si>
  <si>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</si>
  <si>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</si>
  <si>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</si>
  <si>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</si>
  <si>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</si>
  <si>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</si>
  <si>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</si>
  <si>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</si>
  <si>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</si>
  <si>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</si>
  <si>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</si>
  <si>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</si>
  <si>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</si>
  <si>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</si>
  <si>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</si>
  <si>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</si>
  <si>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</si>
  <si>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</si>
  <si>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</si>
  <si>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</si>
  <si>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</si>
  <si>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</si>
  <si>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</si>
  <si>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</si>
  <si>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</si>
  <si>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</si>
  <si>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</si>
  <si>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</si>
  <si>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</si>
  <si>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</si>
  <si>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</si>
  <si>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</si>
  <si>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</si>
  <si>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</si>
  <si>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</si>
  <si>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</si>
  <si>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</si>
  <si>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</si>
  <si>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</si>
  <si>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</si>
  <si>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</si>
  <si>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</si>
  <si>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</si>
  <si>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</si>
  <si>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</si>
  <si>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</si>
  <si>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</si>
  <si>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</si>
  <si>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</si>
  <si>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</si>
  <si>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</si>
  <si>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</si>
  <si>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</si>
  <si>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</si>
  <si>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</si>
  <si>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</si>
  <si>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</si>
  <si>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</si>
  <si>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</si>
  <si>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</si>
  <si>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</si>
  <si>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</si>
  <si>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</si>
  <si>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</si>
  <si>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</si>
  <si>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</si>
  <si>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</si>
  <si>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</si>
  <si>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</si>
  <si>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</si>
  <si>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</si>
  <si>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</si>
  <si>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</si>
  <si>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</si>
  <si>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</si>
  <si>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</si>
  <si>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</si>
  <si>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</si>
  <si>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</si>
  <si>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</si>
  <si>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</si>
  <si>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</si>
  <si>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</si>
  <si>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</si>
  <si>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</si>
  <si>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</si>
  <si>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</si>
  <si>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</si>
  <si>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</si>
  <si>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</si>
  <si>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</si>
  <si>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</si>
  <si>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</si>
  <si>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</si>
  <si>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</si>
  <si>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</si>
  <si>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</si>
  <si>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</si>
  <si>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</si>
  <si>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</si>
  <si>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</si>
  <si>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</si>
  <si>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</si>
  <si>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</si>
  <si>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</si>
  <si>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</si>
  <si>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</si>
  <si>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</si>
  <si>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</si>
  <si>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</si>
  <si>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</si>
  <si>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</si>
  <si>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</si>
  <si>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</si>
  <si>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</si>
  <si>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</si>
  <si>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</si>
  <si>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</si>
  <si>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</si>
  <si>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</si>
  <si>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</si>
  <si>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</si>
  <si>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</si>
  <si>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</si>
  <si>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</si>
  <si>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</si>
  <si>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</si>
  <si>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</si>
  <si>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</si>
  <si>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</si>
  <si>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</si>
  <si>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</si>
  <si>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</si>
  <si>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</si>
  <si>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</si>
  <si>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</si>
  <si>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</si>
  <si>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</si>
  <si>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</si>
  <si>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</si>
  <si>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</si>
  <si>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</si>
  <si>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</si>
  <si>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</si>
  <si>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</si>
  <si>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</si>
  <si>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</si>
  <si>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</si>
  <si>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</si>
  <si>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</si>
  <si>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</si>
  <si>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</si>
  <si>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</si>
  <si>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</si>
  <si>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</si>
  <si>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</si>
  <si>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</si>
  <si>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</si>
  <si>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</si>
  <si>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</si>
  <si>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</si>
  <si>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</si>
  <si>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</si>
  <si>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</si>
  <si>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</si>
  <si>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</si>
  <si>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</si>
  <si>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</si>
  <si>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</si>
  <si>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</si>
  <si>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</si>
  <si>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</si>
  <si>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</si>
  <si>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</si>
  <si>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</si>
  <si>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</si>
  <si>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</si>
  <si>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</si>
  <si>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</si>
  <si>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</si>
  <si>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</si>
  <si>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</si>
  <si>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</si>
  <si>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</si>
  <si>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</si>
  <si>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</si>
  <si>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</si>
  <si>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</si>
  <si>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</si>
  <si>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</si>
  <si>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</si>
  <si>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</si>
  <si>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</si>
  <si>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</si>
  <si>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</si>
  <si>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</si>
  <si>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</si>
  <si>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</si>
  <si>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</si>
  <si>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</si>
  <si>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</si>
  <si>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</si>
  <si>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</si>
  <si>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</si>
  <si>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</si>
  <si>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</si>
  <si>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</si>
  <si>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</si>
  <si>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</si>
  <si>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</si>
  <si>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</si>
  <si>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</si>
  <si>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</si>
  <si>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</si>
  <si>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</si>
  <si>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</si>
  <si>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</si>
  <si>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</si>
  <si>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</si>
  <si>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</si>
  <si>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</si>
  <si>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</si>
  <si>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</si>
  <si>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</si>
  <si>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</si>
  <si>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</si>
  <si>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</si>
  <si>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</si>
  <si>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</si>
  <si>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</si>
  <si>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</si>
  <si>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</si>
  <si>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</si>
  <si>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</si>
  <si>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</si>
  <si>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</si>
  <si>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</si>
  <si>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</si>
  <si>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</si>
  <si>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</si>
  <si>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</si>
  <si>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</si>
  <si>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</si>
  <si>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</si>
  <si>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</si>
  <si>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</si>
  <si>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</si>
  <si>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</si>
  <si>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</si>
  <si>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</si>
  <si>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</si>
  <si>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</si>
  <si>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</si>
  <si>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</si>
  <si>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</si>
  <si>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</si>
  <si>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</si>
  <si>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</si>
  <si>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</si>
  <si>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</si>
  <si>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</si>
  <si>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</si>
  <si>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</si>
  <si>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</si>
  <si>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</si>
  <si>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</si>
  <si>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</si>
  <si>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</si>
  <si>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</si>
  <si>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</si>
  <si>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</si>
  <si>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</si>
  <si>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</si>
  <si>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</si>
  <si>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</si>
  <si>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</si>
  <si>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</si>
  <si>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</si>
  <si>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</si>
  <si>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</si>
  <si>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</si>
  <si>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</si>
  <si>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</si>
  <si>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</si>
  <si>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</si>
  <si>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</si>
  <si>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</si>
  <si>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</si>
  <si>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</si>
  <si>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</si>
  <si>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</si>
  <si>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</si>
  <si>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</si>
  <si>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</si>
  <si>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</si>
  <si>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</si>
  <si>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</si>
  <si>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</si>
  <si>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</si>
  <si>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</si>
  <si>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</si>
  <si>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</si>
  <si>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</si>
  <si>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</si>
  <si>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</si>
  <si>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</si>
  <si>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</si>
  <si>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</si>
  <si>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</si>
  <si>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</si>
  <si>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</si>
  <si>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</si>
  <si>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</si>
  <si>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</si>
  <si>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</si>
  <si>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</si>
  <si>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</si>
  <si>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</si>
  <si>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</si>
  <si>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</si>
  <si>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</si>
  <si>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</si>
  <si>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</si>
  <si>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</si>
  <si>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</si>
  <si>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</si>
  <si>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</si>
  <si>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</si>
  <si>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</si>
  <si>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</si>
  <si>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</si>
  <si>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</si>
  <si>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</si>
  <si>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</si>
  <si>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</si>
  <si>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</si>
  <si>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</si>
  <si>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</si>
  <si>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</si>
  <si>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</si>
  <si>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</si>
  <si>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</si>
  <si>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</si>
  <si>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</si>
  <si>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</si>
  <si>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</si>
  <si>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</si>
  <si>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</si>
  <si>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</si>
  <si>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</si>
  <si>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</si>
  <si>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</si>
  <si>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</si>
  <si>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</si>
  <si>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</si>
  <si>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</si>
  <si>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</si>
  <si>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</si>
  <si>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</si>
  <si>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</si>
  <si>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</si>
  <si>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</si>
  <si>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</si>
  <si>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</si>
  <si>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</si>
  <si>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</si>
  <si>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</si>
  <si>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</si>
  <si>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</si>
  <si>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</si>
  <si>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</si>
  <si>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</si>
  <si>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</si>
  <si>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</si>
  <si>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</si>
  <si>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</si>
  <si>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</si>
  <si>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</si>
  <si>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</si>
  <si>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</si>
  <si>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</si>
  <si>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</si>
  <si>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</si>
  <si>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</si>
  <si>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</si>
  <si>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</si>
  <si>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</si>
  <si>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</si>
  <si>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</si>
  <si>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</si>
  <si>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</si>
  <si>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</si>
  <si>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</si>
  <si>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</si>
  <si>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</si>
  <si>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</si>
  <si>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</si>
  <si>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</si>
  <si>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</si>
  <si>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</si>
  <si>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</si>
  <si>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</si>
  <si>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</si>
  <si>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</si>
  <si>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</si>
  <si>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</si>
  <si>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</si>
  <si>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</si>
  <si>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</si>
  <si>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</si>
  <si>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</si>
  <si>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</si>
  <si>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</si>
  <si>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</si>
  <si>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</si>
  <si>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</si>
  <si>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</si>
  <si>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</si>
  <si>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</si>
  <si>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</si>
  <si>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</si>
  <si>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</si>
  <si>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</si>
  <si>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</si>
  <si>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</si>
  <si>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</si>
  <si>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</si>
  <si>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</si>
  <si>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</si>
  <si>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</si>
  <si>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</si>
  <si>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</si>
  <si>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</si>
  <si>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</si>
  <si>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</si>
  <si>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</si>
  <si>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</si>
  <si>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</si>
  <si>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</si>
  <si>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</si>
  <si>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</si>
  <si>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</si>
  <si>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</si>
  <si>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</si>
  <si>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</si>
  <si>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</si>
  <si>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</si>
  <si>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</si>
  <si>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</si>
  <si>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</si>
  <si>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</si>
  <si>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</si>
  <si>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</si>
  <si>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</si>
  <si>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</si>
  <si>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</si>
  <si>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</si>
  <si>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</si>
  <si>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</si>
  <si>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</si>
  <si>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</si>
  <si>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</si>
  <si>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</si>
  <si>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</si>
  <si>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</si>
  <si>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</si>
  <si>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</si>
  <si>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</si>
  <si>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</si>
  <si>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</si>
  <si>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</si>
  <si>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</si>
  <si>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</si>
  <si>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</si>
  <si>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</si>
  <si>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</si>
  <si>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</si>
  <si>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</si>
  <si>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</si>
  <si>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</si>
  <si>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</si>
  <si>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</si>
  <si>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</si>
  <si>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</si>
  <si>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</si>
  <si>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</si>
  <si>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</si>
  <si>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</si>
  <si>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</si>
  <si>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</si>
  <si>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</si>
  <si>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</si>
  <si>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</si>
  <si>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</si>
  <si>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</si>
  <si>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</si>
  <si>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</si>
  <si>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</si>
  <si>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</si>
  <si>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</si>
  <si>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</si>
  <si>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</si>
  <si>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</si>
  <si>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</si>
  <si>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</si>
  <si>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</si>
  <si>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</si>
  <si>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</si>
  <si>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</si>
  <si>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</si>
  <si>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</si>
  <si>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</si>
  <si>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</si>
  <si>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</si>
  <si>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</si>
  <si>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</si>
  <si>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</si>
  <si>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</si>
  <si>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</si>
  <si>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</si>
  <si>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</si>
  <si>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</si>
  <si>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</si>
  <si>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</si>
  <si>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</si>
  <si>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</si>
  <si>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</si>
  <si>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</si>
  <si>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</si>
  <si>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</si>
  <si>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</si>
  <si>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</si>
  <si>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</si>
  <si>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</si>
  <si>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</si>
  <si>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</si>
  <si>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</si>
  <si>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</si>
  <si>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</si>
  <si>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</si>
  <si>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</si>
  <si>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</si>
  <si>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</si>
  <si>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</si>
  <si>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</si>
  <si>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</si>
  <si>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</si>
  <si>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</si>
  <si>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</si>
  <si>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</si>
  <si>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</si>
  <si>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</si>
  <si>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</si>
  <si>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</si>
  <si>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</si>
  <si>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</si>
  <si>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</si>
  <si>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</si>
  <si>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</si>
  <si>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</si>
  <si>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</si>
  <si>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</si>
  <si>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</si>
  <si>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</si>
  <si>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</si>
  <si>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</si>
  <si>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</si>
  <si>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</si>
  <si>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</si>
  <si>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</si>
  <si>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</si>
  <si>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</si>
  <si>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</si>
  <si>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</si>
  <si>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</si>
  <si>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</si>
  <si>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</si>
  <si>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</si>
  <si>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</si>
  <si>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</si>
  <si>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</si>
  <si>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</si>
  <si>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</si>
  <si>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</si>
  <si>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</si>
  <si>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</si>
  <si>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</si>
  <si>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</si>
  <si>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</si>
  <si>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</si>
  <si>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</si>
  <si>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</si>
  <si>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</si>
  <si>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</si>
  <si>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</si>
  <si>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</si>
  <si>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</si>
  <si>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</si>
  <si>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</si>
  <si>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</si>
  <si>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</si>
  <si>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</si>
  <si>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</si>
  <si>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</si>
  <si>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</si>
  <si>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</si>
  <si>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</si>
  <si>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</si>
  <si>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</si>
  <si>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</si>
  <si>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</si>
  <si>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</si>
  <si>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</si>
  <si>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</si>
  <si>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</si>
  <si>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</si>
  <si>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</si>
  <si>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</si>
  <si>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</si>
  <si>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</si>
  <si>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</si>
  <si>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</si>
  <si>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</si>
  <si>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</si>
  <si>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</si>
  <si>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</si>
  <si>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</si>
  <si>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</si>
  <si>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</si>
  <si>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</si>
  <si>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</si>
  <si>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</si>
  <si>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</si>
  <si>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</si>
  <si>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</si>
  <si>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</si>
  <si>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</si>
  <si>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</si>
  <si>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</si>
  <si>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</si>
  <si>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</si>
  <si>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</si>
  <si>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</si>
  <si>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</si>
  <si>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</si>
  <si>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</si>
  <si>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</si>
  <si>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</si>
  <si>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</si>
  <si>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</si>
  <si>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</si>
  <si>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</si>
  <si>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</si>
  <si>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</si>
  <si>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</si>
  <si>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</si>
  <si>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</si>
  <si>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</si>
  <si>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</si>
  <si>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</si>
  <si>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</si>
  <si>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</si>
  <si>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</si>
  <si>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</si>
  <si>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</si>
  <si>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</si>
  <si>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</si>
  <si>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</si>
  <si>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</si>
  <si>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</si>
  <si>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</si>
  <si>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</si>
  <si>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</si>
  <si>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</si>
  <si>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</si>
  <si>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</si>
  <si>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</si>
  <si>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</si>
  <si>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</si>
  <si>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</si>
  <si>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</si>
  <si>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</si>
  <si>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</si>
  <si>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</si>
  <si>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</si>
  <si>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</si>
  <si>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</si>
  <si>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</si>
  <si>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</si>
  <si>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</si>
  <si>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</si>
  <si>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</si>
  <si>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</si>
  <si>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</si>
  <si>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</si>
  <si>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</si>
  <si>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</si>
  <si>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</si>
  <si>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</si>
  <si>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</si>
  <si>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</si>
  <si>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</si>
  <si>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</si>
  <si>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</si>
  <si>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</si>
  <si>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</si>
  <si>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</si>
  <si>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</si>
  <si>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</si>
  <si>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</si>
  <si>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</si>
  <si>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</si>
  <si>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</si>
  <si>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</si>
  <si>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</si>
  <si>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</si>
  <si>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</si>
  <si>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</si>
  <si>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</si>
  <si>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</si>
  <si>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</si>
  <si>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</si>
  <si>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</si>
  <si>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</si>
  <si>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</si>
  <si>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</si>
  <si>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</si>
  <si>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</si>
  <si>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</si>
  <si>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</si>
  <si>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</si>
  <si>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</si>
  <si>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</si>
  <si>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</si>
  <si>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</si>
  <si>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</si>
  <si>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</si>
  <si>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</si>
  <si>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</si>
  <si>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</si>
  <si>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</si>
  <si>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</si>
  <si>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</si>
  <si>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</si>
  <si>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</si>
  <si>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</si>
  <si>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</si>
  <si>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</si>
  <si>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</si>
  <si>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</si>
  <si>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</si>
  <si>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</si>
  <si>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</si>
  <si>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</si>
  <si>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</si>
  <si>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</si>
  <si>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</si>
  <si>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</si>
  <si>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</si>
  <si>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</si>
  <si>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</si>
  <si>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</si>
  <si>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</si>
  <si>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</si>
  <si>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</si>
  <si>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</si>
  <si>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</si>
  <si>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</si>
  <si>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</si>
  <si>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</si>
  <si>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</si>
  <si>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</si>
  <si>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</si>
  <si>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</si>
  <si>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</si>
  <si>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</si>
  <si>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</si>
  <si>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</si>
  <si>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</si>
  <si>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</si>
  <si>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</si>
  <si>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</si>
  <si>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</si>
  <si>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</si>
  <si>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</si>
  <si>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</si>
  <si>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</si>
  <si>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</si>
  <si>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</si>
  <si>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</si>
  <si>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</si>
  <si>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</si>
  <si>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</si>
  <si>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</si>
  <si>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</si>
  <si>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</si>
  <si>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</si>
  <si>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</si>
  <si>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</si>
  <si>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</si>
  <si>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</si>
  <si>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</si>
  <si>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</si>
  <si>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</si>
  <si>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</si>
  <si>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</si>
  <si>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</si>
  <si>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</si>
  <si>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</si>
  <si>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</si>
  <si>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</si>
  <si>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</si>
  <si>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</si>
  <si>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</si>
  <si>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</si>
  <si>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</si>
  <si>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</si>
  <si>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</si>
  <si>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</si>
  <si>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</si>
  <si>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</si>
  <si>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</si>
  <si>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</si>
  <si>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</si>
  <si>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</si>
  <si>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</si>
  <si>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</si>
  <si>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</si>
  <si>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</si>
  <si>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</si>
  <si>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</si>
  <si>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</si>
  <si>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</si>
  <si>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</si>
  <si>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</si>
  <si>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</si>
  <si>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</si>
  <si>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</si>
  <si>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</si>
  <si>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</si>
  <si>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</si>
  <si>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</si>
  <si>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</si>
  <si>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</si>
  <si>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</si>
  <si>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</si>
  <si>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</si>
  <si>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</si>
  <si>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</si>
  <si>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</si>
  <si>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</si>
  <si>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</si>
  <si>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</si>
  <si>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</si>
  <si>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</si>
  <si>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</si>
  <si>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</si>
  <si>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</si>
  <si>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</si>
  <si>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</si>
  <si>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</si>
  <si>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</si>
  <si>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</si>
  <si>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</si>
  <si>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</si>
  <si>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</si>
  <si>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</si>
  <si>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</si>
  <si>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</si>
  <si>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</si>
  <si>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</si>
  <si>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</si>
  <si>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</si>
  <si>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</si>
  <si>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</si>
  <si>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</si>
  <si>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</si>
  <si>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</si>
  <si>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</si>
  <si>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</si>
  <si>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</si>
  <si>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</si>
  <si>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</si>
  <si>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</si>
  <si>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</si>
  <si>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</si>
  <si>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</si>
  <si>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</si>
  <si>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</si>
  <si>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</si>
  <si>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</si>
  <si>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</si>
  <si>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</si>
  <si>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</si>
  <si>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</si>
  <si>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</si>
  <si>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</si>
  <si>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</si>
  <si>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</si>
  <si>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</si>
  <si>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</si>
  <si>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</si>
  <si>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</si>
  <si>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</si>
  <si>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</si>
  <si>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</si>
  <si>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</si>
  <si>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</si>
  <si>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</si>
  <si>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</si>
  <si>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</si>
  <si>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</si>
  <si>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</si>
  <si>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</si>
  <si>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</si>
  <si>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</si>
  <si>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</si>
  <si>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</si>
  <si>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</si>
  <si>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</si>
  <si>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</si>
  <si>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</si>
  <si>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</si>
  <si>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</si>
  <si>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</si>
  <si>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</si>
  <si>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</si>
  <si>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</si>
  <si>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</si>
  <si>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</si>
  <si>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</si>
  <si>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</si>
  <si>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</si>
  <si>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</si>
  <si>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</si>
  <si>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</si>
  <si>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</si>
  <si>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</si>
  <si>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</si>
  <si>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</si>
  <si>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</si>
  <si>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</si>
  <si>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</si>
  <si>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</si>
  <si>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</si>
  <si>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</si>
  <si>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</si>
  <si>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</si>
  <si>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</si>
  <si>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</si>
  <si>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</si>
  <si>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</si>
  <si>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</si>
  <si>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</si>
  <si>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</si>
  <si>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</si>
  <si>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</si>
  <si>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</si>
  <si>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</si>
  <si>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</si>
  <si>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</si>
  <si>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</si>
  <si>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</si>
  <si>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</si>
  <si>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</si>
  <si>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</si>
  <si>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</si>
  <si>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</si>
  <si>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</si>
  <si>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</si>
  <si>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</si>
  <si>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</si>
  <si>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</si>
  <si>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</si>
  <si>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</si>
  <si>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</si>
  <si>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</si>
  <si>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</si>
  <si>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</si>
  <si>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</si>
  <si>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</si>
  <si>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</si>
  <si>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</si>
  <si>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</si>
  <si>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</si>
  <si>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</si>
  <si>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</si>
  <si>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</si>
  <si>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</si>
  <si>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</si>
  <si>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</si>
  <si>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</si>
  <si>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</si>
  <si>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</si>
  <si>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</si>
  <si>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</si>
  <si>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</si>
  <si>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</si>
  <si>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</si>
  <si>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</si>
  <si>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</si>
  <si>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</si>
  <si>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</si>
  <si>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</si>
  <si>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</si>
  <si>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</si>
  <si>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</si>
  <si>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</si>
  <si>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</si>
  <si>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</si>
  <si>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</si>
  <si>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</si>
  <si>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</si>
  <si>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</si>
  <si>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</si>
  <si>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</si>
  <si>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</si>
  <si>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</si>
  <si>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</si>
  <si>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</si>
  <si>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</si>
  <si>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</si>
  <si>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</si>
  <si>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</si>
  <si>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</si>
  <si>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</si>
  <si>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</si>
  <si>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</si>
  <si>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</si>
  <si>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</si>
  <si>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</si>
  <si>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</si>
  <si>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</si>
  <si>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</si>
  <si>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</si>
  <si>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</si>
  <si>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</si>
  <si>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</si>
  <si>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</si>
  <si>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</si>
  <si>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</si>
  <si>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</si>
  <si>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</si>
  <si>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</si>
  <si>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</si>
  <si>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</si>
  <si>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</si>
  <si>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</si>
  <si>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</si>
  <si>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</si>
  <si>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</si>
  <si>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</si>
  <si>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</si>
  <si>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</si>
  <si>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</si>
  <si>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</si>
  <si>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</si>
  <si>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</si>
  <si>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</si>
  <si>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</si>
  <si>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</si>
  <si>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</si>
  <si>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</si>
  <si>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</si>
  <si>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</si>
  <si>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</si>
  <si>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</si>
  <si>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</si>
  <si>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</si>
  <si>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</si>
  <si>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</si>
  <si>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</si>
  <si>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</si>
  <si>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</si>
  <si>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</si>
  <si>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</si>
  <si>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</si>
  <si>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</si>
  <si>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</si>
  <si>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</si>
  <si>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</si>
  <si>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</si>
  <si>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</si>
  <si>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</si>
  <si>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</si>
  <si>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</si>
  <si>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</si>
  <si>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</si>
  <si>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</si>
  <si>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</si>
  <si>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</si>
  <si>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</si>
  <si>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</si>
  <si>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</si>
  <si>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</si>
  <si>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</si>
  <si>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</si>
  <si>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</si>
  <si>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</si>
  <si>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</si>
  <si>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</si>
  <si>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</si>
  <si>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</si>
  <si>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</si>
  <si>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</si>
  <si>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</si>
  <si>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</si>
  <si>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</si>
  <si>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</si>
  <si>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</si>
  <si>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</si>
  <si>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</si>
  <si>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</si>
  <si>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</si>
  <si>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</si>
  <si>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</si>
  <si>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</si>
  <si>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</si>
  <si>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</si>
  <si>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</si>
  <si>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</si>
  <si>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</si>
  <si>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</si>
  <si>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</si>
  <si>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</si>
  <si>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</si>
  <si>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</si>
  <si>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</si>
  <si>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</si>
  <si>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</si>
  <si>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</si>
  <si>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</si>
  <si>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</si>
  <si>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</si>
  <si>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</si>
  <si>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</si>
  <si>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</si>
  <si>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</si>
  <si>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</si>
  <si>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</si>
  <si>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</si>
  <si>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</si>
  <si>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</si>
  <si>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</si>
  <si>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</si>
  <si>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</si>
  <si>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</si>
  <si>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</si>
  <si>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</si>
  <si>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</si>
  <si>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</si>
  <si>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</si>
  <si>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</si>
  <si>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</si>
  <si>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</si>
  <si>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</si>
  <si>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</si>
  <si>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</si>
  <si>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</si>
  <si>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</si>
  <si>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</si>
  <si>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</si>
  <si>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</si>
  <si>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</si>
  <si>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</si>
  <si>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</si>
  <si>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</si>
  <si>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</si>
  <si>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</si>
  <si>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</si>
  <si>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</si>
  <si>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</si>
  <si>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</si>
  <si>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</si>
  <si>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</si>
  <si>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</si>
  <si>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</si>
  <si>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</si>
  <si>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</si>
  <si>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</si>
  <si>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</si>
  <si>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</si>
  <si>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</si>
  <si>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</si>
  <si>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</si>
  <si>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</si>
  <si>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</si>
  <si>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</si>
  <si>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</si>
  <si>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</si>
  <si>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</si>
  <si>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</si>
  <si>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</si>
  <si>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</si>
  <si>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</si>
  <si>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</si>
  <si>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</si>
  <si>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</si>
  <si>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</si>
  <si>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</si>
  <si>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</si>
  <si>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</si>
  <si>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</si>
  <si>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</si>
  <si>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</si>
  <si>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</si>
  <si>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</si>
  <si>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</si>
  <si>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</si>
  <si>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</si>
  <si>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</si>
  <si>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</si>
  <si>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</si>
  <si>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</si>
  <si>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</si>
  <si>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</si>
  <si>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</si>
  <si>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</si>
  <si>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</si>
  <si>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</si>
  <si>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</si>
  <si>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</si>
  <si>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</si>
  <si>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</si>
  <si>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</si>
  <si>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</si>
  <si>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</si>
  <si>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</si>
  <si>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</si>
  <si>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</si>
  <si>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</si>
  <si>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</si>
  <si>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</si>
  <si>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</si>
  <si>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</si>
  <si>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</si>
  <si>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</si>
  <si>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</si>
  <si>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</si>
  <si>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</si>
  <si>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</si>
  <si>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</si>
  <si>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</si>
  <si>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</si>
  <si>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</si>
  <si>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</si>
  <si>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</si>
  <si>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</si>
  <si>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</si>
  <si>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</si>
  <si>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</si>
  <si>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</si>
  <si>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</si>
  <si>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</si>
  <si>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</si>
  <si>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</si>
  <si>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</si>
  <si>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</si>
  <si>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</si>
  <si>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</si>
  <si>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</si>
  <si>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</si>
  <si>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</si>
  <si>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</si>
  <si>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</si>
  <si>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</si>
  <si>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</si>
  <si>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</si>
  <si>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</si>
  <si>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</si>
  <si>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</si>
  <si>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</si>
  <si>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</si>
  <si>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</si>
  <si>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</si>
  <si>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</si>
  <si>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</si>
  <si>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</si>
  <si>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</si>
  <si>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</si>
  <si>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</si>
  <si>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</si>
  <si>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</si>
  <si>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</si>
  <si>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</si>
  <si>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</si>
  <si>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</si>
  <si>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</si>
  <si>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</si>
  <si>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</si>
  <si>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</si>
  <si>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</si>
  <si>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</si>
  <si>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</si>
  <si>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</si>
  <si>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</si>
  <si>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</si>
  <si>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</si>
  <si>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</si>
  <si>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</si>
  <si>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</si>
  <si>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</si>
  <si>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</si>
  <si>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</si>
  <si>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</si>
  <si>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</si>
  <si>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</si>
  <si>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</si>
  <si>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</si>
  <si>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</si>
  <si>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</si>
  <si>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</si>
  <si>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</si>
  <si>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</si>
  <si>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</si>
  <si>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</si>
  <si>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</si>
  <si>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</si>
  <si>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</si>
  <si>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</si>
  <si>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</si>
  <si>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</si>
  <si>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</si>
  <si>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</si>
  <si>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</si>
  <si>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</si>
  <si>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</si>
  <si>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</si>
  <si>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</si>
  <si>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</si>
  <si>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</si>
  <si>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</si>
  <si>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</si>
  <si>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</si>
  <si>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</si>
  <si>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</si>
  <si>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</si>
  <si>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</si>
  <si>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</si>
  <si>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</si>
  <si>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</si>
  <si>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</si>
  <si>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</si>
  <si>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</si>
  <si>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</si>
  <si>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</si>
  <si>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</si>
  <si>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</si>
  <si>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</si>
  <si>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</si>
  <si>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</si>
  <si>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</si>
  <si>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</si>
  <si>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</si>
  <si>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</si>
  <si>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</si>
  <si>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</si>
  <si>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</si>
  <si>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</si>
  <si>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</si>
  <si>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</si>
  <si>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</si>
  <si>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</si>
  <si>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</si>
  <si>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</si>
  <si>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</si>
  <si>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</si>
  <si>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</si>
  <si>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</si>
  <si>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</si>
  <si>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</si>
  <si>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</si>
  <si>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</si>
  <si>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</si>
  <si>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</si>
  <si>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</si>
  <si>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</si>
  <si>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</si>
  <si>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</si>
  <si>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</si>
  <si>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</si>
  <si>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</si>
  <si>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</si>
  <si>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</si>
  <si>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</si>
  <si>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</si>
  <si>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</si>
  <si>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</si>
  <si>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</si>
  <si>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</si>
  <si>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</si>
  <si>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</si>
  <si>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</si>
  <si>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</si>
  <si>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</si>
  <si>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</si>
  <si>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</si>
  <si>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</si>
  <si>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</si>
  <si>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</si>
  <si>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</si>
  <si>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</si>
  <si>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</si>
  <si>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</si>
  <si>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</si>
  <si>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</si>
  <si>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</si>
  <si>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</si>
  <si>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</si>
  <si>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</si>
  <si>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</si>
  <si>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</si>
  <si>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</si>
  <si>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</si>
  <si>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</si>
  <si>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</si>
  <si>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</si>
  <si>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</si>
  <si>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</si>
  <si>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</si>
  <si>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</si>
  <si>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</si>
  <si>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</si>
  <si>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</si>
  <si>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</si>
  <si>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</si>
  <si>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</si>
  <si>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</si>
  <si>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</si>
  <si>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</si>
  <si>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</si>
  <si>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</si>
  <si>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</si>
  <si>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</si>
  <si>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</si>
  <si>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</si>
  <si>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</si>
  <si>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</si>
  <si>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</si>
  <si>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</si>
  <si>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</si>
  <si>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</si>
  <si>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</si>
  <si>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</si>
  <si>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</si>
  <si>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</si>
  <si>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</si>
  <si>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</si>
  <si>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</si>
  <si>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</si>
  <si>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</si>
  <si>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</si>
  <si>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</si>
  <si>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</si>
  <si>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</si>
  <si>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</si>
  <si>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</si>
  <si>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</si>
  <si>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</si>
  <si>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</si>
  <si>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</si>
  <si>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</si>
  <si>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</si>
  <si>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</si>
  <si>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</si>
  <si>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</si>
  <si>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</si>
  <si>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</si>
  <si>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</si>
  <si>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</si>
  <si>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</si>
  <si>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</si>
  <si>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</si>
  <si>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</si>
  <si>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</si>
  <si>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</si>
  <si>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</si>
  <si>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</si>
  <si>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</si>
  <si>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</si>
  <si>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</si>
  <si>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</si>
  <si>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</si>
  <si>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</si>
  <si>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</si>
  <si>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</si>
  <si>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</si>
  <si>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</si>
  <si>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</si>
  <si>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</si>
  <si>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</si>
  <si>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</si>
  <si>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</si>
  <si>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</si>
  <si>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</si>
  <si>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</si>
  <si>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</si>
  <si>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</si>
  <si>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</si>
  <si>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</si>
  <si>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</si>
  <si>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</si>
  <si>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</si>
  <si>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</si>
  <si>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</si>
  <si>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</si>
  <si>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</si>
  <si>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</si>
  <si>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</si>
  <si>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</si>
  <si>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</si>
  <si>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</si>
  <si>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</si>
  <si>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</si>
  <si>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</si>
  <si>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</si>
  <si>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</si>
  <si>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</si>
  <si>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</si>
  <si>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</si>
  <si>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</si>
  <si>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</si>
  <si>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</si>
  <si>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</si>
  <si>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</si>
  <si>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</si>
  <si>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</si>
  <si>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</si>
  <si>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</si>
  <si>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</si>
  <si>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</si>
  <si>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</si>
  <si>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</si>
  <si>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</si>
  <si>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</si>
  <si>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</si>
  <si>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</si>
  <si>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</si>
  <si>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</si>
  <si>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</si>
  <si>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</si>
  <si>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</si>
  <si>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</si>
  <si>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</si>
  <si>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</si>
  <si>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</si>
  <si>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</si>
  <si>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</si>
  <si>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</si>
  <si>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</si>
  <si>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</si>
  <si>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</si>
  <si>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</si>
  <si>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</si>
  <si>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</si>
  <si>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</si>
  <si>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</si>
  <si>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</si>
  <si>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</si>
  <si>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</si>
  <si>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</si>
  <si>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</si>
  <si>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</si>
  <si>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</si>
  <si>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</si>
  <si>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</si>
  <si>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</si>
  <si>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</si>
  <si>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</si>
  <si>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</si>
  <si>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</si>
  <si>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</si>
  <si>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</si>
  <si>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</si>
  <si>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</si>
  <si>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</si>
  <si>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</si>
  <si>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</si>
  <si>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</si>
  <si>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</si>
  <si>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</si>
  <si>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</si>
  <si>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</si>
  <si>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</si>
  <si>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</si>
  <si>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</si>
  <si>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</si>
  <si>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</si>
  <si>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</si>
  <si>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</si>
  <si>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</si>
  <si>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</si>
  <si>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</si>
  <si>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</si>
  <si>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</si>
  <si>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</si>
  <si>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</si>
  <si>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</si>
  <si>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</si>
  <si>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</si>
  <si>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</si>
  <si>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</si>
  <si>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</si>
  <si>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</si>
  <si>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</si>
  <si>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</si>
  <si>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</si>
  <si>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</si>
  <si>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</si>
  <si>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</si>
  <si>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</si>
  <si>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</si>
  <si>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</si>
  <si>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</si>
  <si>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</si>
  <si>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</si>
  <si>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</si>
  <si>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</si>
  <si>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</si>
  <si>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</si>
  <si>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</si>
  <si>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</si>
  <si>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</si>
  <si>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</si>
  <si>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</si>
  <si>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</si>
  <si>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</si>
  <si>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</si>
  <si>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</si>
  <si>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</si>
  <si>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</si>
  <si>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</si>
  <si>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</si>
  <si>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</si>
  <si>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</si>
  <si>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</si>
  <si>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</si>
  <si>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</si>
  <si>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</si>
  <si>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</si>
  <si>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</si>
  <si>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</si>
  <si>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</si>
  <si>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</si>
  <si>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</si>
  <si>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</si>
  <si>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</si>
  <si>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</si>
  <si>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</si>
  <si>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</si>
  <si>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</si>
  <si>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</si>
  <si>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</si>
  <si>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</si>
  <si>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</si>
  <si>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</si>
  <si>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</si>
  <si>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</si>
  <si>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</si>
  <si>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</si>
  <si>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</si>
  <si>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</si>
  <si>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</si>
  <si>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</si>
  <si>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</si>
  <si>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</si>
  <si>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</si>
  <si>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</si>
  <si>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</si>
  <si>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</si>
  <si>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</si>
  <si>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</si>
  <si>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</si>
  <si>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</si>
  <si>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</si>
  <si>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</si>
  <si>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</si>
  <si>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</si>
  <si>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</si>
  <si>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</si>
  <si>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</si>
  <si>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</si>
  <si>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</si>
  <si>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</si>
  <si>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</si>
  <si>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</si>
  <si>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</si>
  <si>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</si>
  <si>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</si>
  <si>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</si>
  <si>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</si>
  <si>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</si>
  <si>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</si>
  <si>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</si>
  <si>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</si>
  <si>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</si>
  <si>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</si>
  <si>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</si>
  <si>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</si>
  <si>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</si>
  <si>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</si>
  <si>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</si>
  <si>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</si>
  <si>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</si>
  <si>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</si>
  <si>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</si>
  <si>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</si>
  <si>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</si>
  <si>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</si>
  <si>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</si>
  <si>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</si>
  <si>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</si>
  <si>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</si>
  <si>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</si>
  <si>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</si>
  <si>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</si>
  <si>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</si>
  <si>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</si>
  <si>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</si>
  <si>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</si>
  <si>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</si>
  <si>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</si>
  <si>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</si>
  <si>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</si>
  <si>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</si>
  <si>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</si>
  <si>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</si>
  <si>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</si>
  <si>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</si>
  <si>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</si>
  <si>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</si>
  <si>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</si>
  <si>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</si>
  <si>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</si>
  <si>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</si>
  <si>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</si>
  <si>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</si>
  <si>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</si>
  <si>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</si>
  <si>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</si>
  <si>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</si>
  <si>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</si>
  <si>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</si>
  <si>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</si>
  <si>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</si>
  <si>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</si>
  <si>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</si>
  <si>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</si>
  <si>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</si>
  <si>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</si>
  <si>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</si>
  <si>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</si>
  <si>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</si>
  <si>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</si>
  <si>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</si>
  <si>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</si>
  <si>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</si>
  <si>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</si>
  <si>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</si>
  <si>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</si>
  <si>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</si>
  <si>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</si>
  <si>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</si>
  <si>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</si>
  <si>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</si>
  <si>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</si>
  <si>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</si>
  <si>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</si>
  <si>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</si>
  <si>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</si>
  <si>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</si>
  <si>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</si>
  <si>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</si>
  <si>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</si>
  <si>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</si>
  <si>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</si>
  <si>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</si>
  <si>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</si>
  <si>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</si>
  <si>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</si>
  <si>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</si>
  <si>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</si>
  <si>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</si>
  <si>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</si>
  <si>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</si>
  <si>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</si>
  <si>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</si>
  <si>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</si>
  <si>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</si>
  <si>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</si>
  <si>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</si>
  <si>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</si>
  <si>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</si>
  <si>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</si>
  <si>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</si>
  <si>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</si>
  <si>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</si>
  <si>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</si>
  <si>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</si>
  <si>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</si>
  <si>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</si>
  <si>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</si>
  <si>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</si>
  <si>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</si>
  <si>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</si>
  <si>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</si>
  <si>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</si>
  <si>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</si>
  <si>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</si>
  <si>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</si>
  <si>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</si>
  <si>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</si>
  <si>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</si>
  <si>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</si>
  <si>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</si>
  <si>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</si>
  <si>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</si>
  <si>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</si>
  <si>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</si>
  <si>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</si>
  <si>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</si>
  <si>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</si>
  <si>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</si>
  <si>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</si>
  <si>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</si>
  <si>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</si>
  <si>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</si>
  <si>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</si>
  <si>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</si>
  <si>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</si>
  <si>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</si>
  <si>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</si>
  <si>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</si>
  <si>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</si>
  <si>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</si>
  <si>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</si>
  <si>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</si>
  <si>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</si>
  <si>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</si>
  <si>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</si>
  <si>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</si>
  <si>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</si>
  <si>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</si>
  <si>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</si>
  <si>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</si>
  <si>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</si>
  <si>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</si>
  <si>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</si>
  <si>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</si>
  <si>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</si>
  <si>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</si>
  <si>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</si>
  <si>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</si>
  <si>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</si>
  <si>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</si>
  <si>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</si>
  <si>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</si>
  <si>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</si>
  <si>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</si>
  <si>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</si>
  <si>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</si>
  <si>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</si>
  <si>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</si>
  <si>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</si>
  <si>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</si>
  <si>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</si>
  <si>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</si>
  <si>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</si>
  <si>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</si>
  <si>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</si>
  <si>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</si>
  <si>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</si>
  <si>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</si>
  <si>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</si>
  <si>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</si>
  <si>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</si>
  <si>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</si>
  <si>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</si>
  <si>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</si>
  <si>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</si>
  <si>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</si>
  <si>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</si>
  <si>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</si>
  <si>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</si>
  <si>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</si>
  <si>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</si>
  <si>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</si>
  <si>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</si>
  <si>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</si>
  <si>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</si>
  <si>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</si>
  <si>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</si>
  <si>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</si>
  <si>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</si>
  <si>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</si>
  <si>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</si>
  <si>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</si>
  <si>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</si>
  <si>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</si>
  <si>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</si>
  <si>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</si>
  <si>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</si>
  <si>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</si>
  <si>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</si>
  <si>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</si>
  <si>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</si>
  <si>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</si>
  <si>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</si>
  <si>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</si>
  <si>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</si>
  <si>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</si>
  <si>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</si>
  <si>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</si>
  <si>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</si>
  <si>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</si>
  <si>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</si>
  <si>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</si>
  <si>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</si>
  <si>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</si>
  <si>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</si>
  <si>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</si>
  <si>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</si>
  <si>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</si>
  <si>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</si>
  <si>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</si>
  <si>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</si>
  <si>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</si>
  <si>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</si>
  <si>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</si>
  <si>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</si>
  <si>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</si>
  <si>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</si>
  <si>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</si>
  <si>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</si>
  <si>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</si>
  <si>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</si>
  <si>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</si>
  <si>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</si>
  <si>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</si>
  <si>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</si>
  <si>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</si>
  <si>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</si>
  <si>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</si>
  <si>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</si>
  <si>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</si>
  <si>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</si>
  <si>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</si>
  <si>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</si>
  <si>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</si>
  <si>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</si>
  <si>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</si>
  <si>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</si>
  <si>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</si>
  <si>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</si>
  <si>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</si>
  <si>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</si>
  <si>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</si>
  <si>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</si>
  <si>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</si>
  <si>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</si>
  <si>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</si>
  <si>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</si>
  <si>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</si>
  <si>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</si>
  <si>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</si>
  <si>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</si>
  <si>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</si>
  <si>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</si>
  <si>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</si>
  <si>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</si>
  <si>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</si>
  <si>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</si>
  <si>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</si>
  <si>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</si>
  <si>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</si>
  <si>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</si>
  <si>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</si>
  <si>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</si>
  <si>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</si>
  <si>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</si>
  <si>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</si>
  <si>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</si>
  <si>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</si>
  <si>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</si>
  <si>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</si>
  <si>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</si>
  <si>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</si>
  <si>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</si>
  <si>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</si>
  <si>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</si>
  <si>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</si>
  <si>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</si>
  <si>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</si>
  <si>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</si>
  <si>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</si>
  <si>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</si>
  <si>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</si>
  <si>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</si>
  <si>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</si>
  <si>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</si>
  <si>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</si>
  <si>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</si>
  <si>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</si>
  <si>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</si>
  <si>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</si>
  <si>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</si>
  <si>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</si>
  <si>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</si>
  <si>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</si>
  <si>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</si>
  <si>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</si>
  <si>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</si>
  <si>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</si>
  <si>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</si>
  <si>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</si>
  <si>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</si>
  <si>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</si>
  <si>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</si>
  <si>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</si>
  <si>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</si>
  <si>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</si>
  <si>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</si>
  <si>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</si>
  <si>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</si>
  <si>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</si>
  <si>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</si>
  <si>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</si>
  <si>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</si>
  <si>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</si>
  <si>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</si>
  <si>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</si>
  <si>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</si>
  <si>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</si>
  <si>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</si>
  <si>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</si>
  <si>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</si>
  <si>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</si>
  <si>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</si>
  <si>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</si>
  <si>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</si>
  <si>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</si>
  <si>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</si>
  <si>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</si>
  <si>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</si>
  <si>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</si>
  <si>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</si>
  <si>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</si>
  <si>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</si>
  <si>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</si>
  <si>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</si>
  <si>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</si>
  <si>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</si>
  <si>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</si>
  <si>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</si>
  <si>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</si>
  <si>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</si>
  <si>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</si>
  <si>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</si>
  <si>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</si>
  <si>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</si>
  <si>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</si>
  <si>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</si>
  <si>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</si>
  <si>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</si>
  <si>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</si>
  <si>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</si>
  <si>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</si>
  <si>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</si>
  <si>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</si>
  <si>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</si>
  <si>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</si>
  <si>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</si>
  <si>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</si>
  <si>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</si>
  <si>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</si>
  <si>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</si>
  <si>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</si>
  <si>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</si>
  <si>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</si>
  <si>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</si>
  <si>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</si>
  <si>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</si>
  <si>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</si>
  <si>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</si>
  <si>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</si>
  <si>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</si>
  <si>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</si>
  <si>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</si>
  <si>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</si>
  <si>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</si>
  <si>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</si>
  <si>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</si>
  <si>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</si>
  <si>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</si>
  <si>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</si>
  <si>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</si>
  <si>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</si>
  <si>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</si>
  <si>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</si>
  <si>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</si>
  <si>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</si>
  <si>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</si>
  <si>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</si>
  <si>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</si>
  <si>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</si>
  <si>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</si>
  <si>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</si>
  <si>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</si>
  <si>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</si>
  <si>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</si>
  <si>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</si>
  <si>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</si>
  <si>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</si>
  <si>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</si>
  <si>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</si>
  <si>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</si>
  <si>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</si>
  <si>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</si>
  <si>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</si>
  <si>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</si>
  <si>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</si>
  <si>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</si>
  <si>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</si>
  <si>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</si>
  <si>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</si>
  <si>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</si>
  <si>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</si>
  <si>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</si>
  <si>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</si>
  <si>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</si>
  <si>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</si>
  <si>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</si>
  <si>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</si>
  <si>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</si>
  <si>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</si>
  <si>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</si>
  <si>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</si>
  <si>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</si>
  <si>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</si>
  <si>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</si>
  <si>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</si>
  <si>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</si>
  <si>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</si>
  <si>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</si>
  <si>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</si>
  <si>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</si>
  <si>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</si>
  <si>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</si>
  <si>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</si>
  <si>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</si>
  <si>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</si>
  <si>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</si>
  <si>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</si>
  <si>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</si>
  <si>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</si>
  <si>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</si>
  <si>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</si>
  <si>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</si>
  <si>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</si>
  <si>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</si>
  <si>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</si>
  <si>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</si>
  <si>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</si>
  <si>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</si>
  <si>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</si>
  <si>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</si>
  <si>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</si>
  <si>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</si>
  <si>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</si>
  <si>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</si>
  <si>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</si>
  <si>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</si>
  <si>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</si>
  <si>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</si>
  <si>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</si>
  <si>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</si>
  <si>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</si>
  <si>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</si>
  <si>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</si>
  <si>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</si>
  <si>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</si>
  <si>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</si>
  <si>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</si>
  <si>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</si>
  <si>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</si>
  <si>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</si>
  <si>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</si>
  <si>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</si>
  <si>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</si>
  <si>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</si>
  <si>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</si>
  <si>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</si>
  <si>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</si>
  <si>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</si>
  <si>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</si>
  <si>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</si>
  <si>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</si>
  <si>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</si>
  <si>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</si>
  <si>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</si>
  <si>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</si>
  <si>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</si>
  <si>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</si>
  <si>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</si>
  <si>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</si>
  <si>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</si>
  <si>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</si>
  <si>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</si>
  <si>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</si>
  <si>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</si>
  <si>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</si>
  <si>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</si>
  <si>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</si>
  <si>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</si>
  <si>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</si>
  <si>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</si>
  <si>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</si>
  <si>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</si>
  <si>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</si>
  <si>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</si>
  <si>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</si>
  <si>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</si>
  <si>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</si>
  <si>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</si>
  <si>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</si>
  <si>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</si>
  <si>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</si>
  <si>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</si>
  <si>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</si>
  <si>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</si>
  <si>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</si>
  <si>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</si>
  <si>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</si>
  <si>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</si>
  <si>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</si>
  <si>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</si>
  <si>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</si>
  <si>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</si>
  <si>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</si>
  <si>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</si>
  <si>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</si>
  <si>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</si>
  <si>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</si>
  <si>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</si>
  <si>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</si>
  <si>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</si>
  <si>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</si>
  <si>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</si>
  <si>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</si>
  <si>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</si>
  <si>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</si>
  <si>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</si>
  <si>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</si>
  <si>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</si>
  <si>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</si>
  <si>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</si>
  <si>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</si>
  <si>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</si>
  <si>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</si>
  <si>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</si>
  <si>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</si>
  <si>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</si>
  <si>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</si>
  <si>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</si>
  <si>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</si>
  <si>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</si>
  <si>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</si>
  <si>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</si>
  <si>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</si>
  <si>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</si>
  <si>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</si>
  <si>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</si>
  <si>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</si>
  <si>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</si>
  <si>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</si>
  <si>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</si>
  <si>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</si>
  <si>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</si>
  <si>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</si>
  <si>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</si>
  <si>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</si>
  <si>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</si>
  <si>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</si>
  <si>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</si>
  <si>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</si>
  <si>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</si>
  <si>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</si>
  <si>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</si>
  <si>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</si>
  <si>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</si>
  <si>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</si>
  <si>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</si>
  <si>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</si>
  <si>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</si>
  <si>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</si>
  <si>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</si>
  <si>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</si>
  <si>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</si>
  <si>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</si>
  <si>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</si>
  <si>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</si>
  <si>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</si>
  <si>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</si>
  <si>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</si>
  <si>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</si>
  <si>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</si>
  <si>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</si>
  <si>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</si>
  <si>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</si>
  <si>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</si>
  <si>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</si>
  <si>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</si>
  <si>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</si>
  <si>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</si>
  <si>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</si>
  <si>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</si>
  <si>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</si>
  <si>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</si>
  <si>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</si>
  <si>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</si>
  <si>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</si>
  <si>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</si>
  <si>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</si>
  <si>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</si>
  <si>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</si>
  <si>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</si>
  <si>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</si>
  <si>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</si>
  <si>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</si>
  <si>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</si>
  <si>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</si>
  <si>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</si>
  <si>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</si>
  <si>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</si>
  <si>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</si>
  <si>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</si>
  <si>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</si>
  <si>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</si>
  <si>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</si>
  <si>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</si>
  <si>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</si>
  <si>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</si>
  <si>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</si>
  <si>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</si>
  <si>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</si>
  <si>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</si>
  <si>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</si>
  <si>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</si>
  <si>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</si>
  <si>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</si>
  <si>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</si>
  <si>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</si>
  <si>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</si>
  <si>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</si>
  <si>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</si>
  <si>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</si>
  <si>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</si>
  <si>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</si>
  <si>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</si>
  <si>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</si>
  <si>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</si>
  <si>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</si>
  <si>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</si>
  <si>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</si>
  <si>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</si>
  <si>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</si>
  <si>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</si>
  <si>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</si>
  <si>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</si>
  <si>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</si>
  <si>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</si>
  <si>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</si>
  <si>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</si>
  <si>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</si>
  <si>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</si>
  <si>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</si>
  <si>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</si>
  <si>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</si>
  <si>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</si>
  <si>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</si>
  <si>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</si>
  <si>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</si>
  <si>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</si>
  <si>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</si>
  <si>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</si>
  <si>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</si>
  <si>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</si>
  <si>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</si>
  <si>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</si>
  <si>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</si>
  <si>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</si>
  <si>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</si>
  <si>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</si>
  <si>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</si>
  <si>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</si>
  <si>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</si>
  <si>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</si>
  <si>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</si>
  <si>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</si>
  <si>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</si>
  <si>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</si>
  <si>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</si>
  <si>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</si>
  <si>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</si>
  <si>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</si>
  <si>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</si>
  <si>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</si>
  <si>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</si>
  <si>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</si>
  <si>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</si>
  <si>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</si>
  <si>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</si>
  <si>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</si>
  <si>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</si>
  <si>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</si>
  <si>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</si>
  <si>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</si>
  <si>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</si>
  <si>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</si>
  <si>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</si>
  <si>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</si>
  <si>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</si>
  <si>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</si>
  <si>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</si>
  <si>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</si>
  <si>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</si>
  <si>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</si>
  <si>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</si>
  <si>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</si>
  <si>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</si>
  <si>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</si>
  <si>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</si>
  <si>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</si>
  <si>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</si>
  <si>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</si>
  <si>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</si>
  <si>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</si>
  <si>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</si>
  <si>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</si>
  <si>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</si>
  <si>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</si>
  <si>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</si>
  <si>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</si>
  <si>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</si>
  <si>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</si>
  <si>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</si>
  <si>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</si>
  <si>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</si>
  <si>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</si>
  <si>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</si>
  <si>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</si>
  <si>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</si>
  <si>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</si>
  <si>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</si>
  <si>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</si>
  <si>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</si>
  <si>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</si>
  <si>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</si>
  <si>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</si>
  <si>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</si>
  <si>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</si>
  <si>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</si>
  <si>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</si>
  <si>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</si>
  <si>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</si>
  <si>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</si>
  <si>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</si>
  <si>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</si>
  <si>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</si>
  <si>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</si>
  <si>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</si>
  <si>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</si>
  <si>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</si>
  <si>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</si>
  <si>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</si>
  <si>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</si>
  <si>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</si>
  <si>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</si>
  <si>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</si>
  <si>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</si>
  <si>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</si>
  <si>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</si>
  <si>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</si>
  <si>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</si>
  <si>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</si>
  <si>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</si>
  <si>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</si>
  <si>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</si>
  <si>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</si>
  <si>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</si>
  <si>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</si>
  <si>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</si>
  <si>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</si>
  <si>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</si>
  <si>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</si>
  <si>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</si>
  <si>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</si>
  <si>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</si>
  <si>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</si>
  <si>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</si>
  <si>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</si>
  <si>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</si>
  <si>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</si>
  <si>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</si>
  <si>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</si>
  <si>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</si>
  <si>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</si>
  <si>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</si>
  <si>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</si>
  <si>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</si>
  <si>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</si>
  <si>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</si>
  <si>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</si>
  <si>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</si>
  <si>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</si>
  <si>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</si>
  <si>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</si>
  <si>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</si>
  <si>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</si>
  <si>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</si>
  <si>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</si>
  <si>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</si>
  <si>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</si>
  <si>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</si>
  <si>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</si>
  <si>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</si>
  <si>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</si>
  <si>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</si>
  <si>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</si>
  <si>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</si>
  <si>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</si>
  <si>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</si>
  <si>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</si>
  <si>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</si>
  <si>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</si>
  <si>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</si>
  <si>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</si>
  <si>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</si>
  <si>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</si>
  <si>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</si>
  <si>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</si>
  <si>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</si>
  <si>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</si>
  <si>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</si>
  <si>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</si>
  <si>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</si>
  <si>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</si>
  <si>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</si>
  <si>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</si>
  <si>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</si>
  <si>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</si>
  <si>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</si>
  <si>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</si>
  <si>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</si>
  <si>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</si>
  <si>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</si>
  <si>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</si>
  <si>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</si>
  <si>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</si>
  <si>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</si>
  <si>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</si>
  <si>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</si>
  <si>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</si>
  <si>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</si>
  <si>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</si>
  <si>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</si>
  <si>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</si>
  <si>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</si>
  <si>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</si>
  <si>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</si>
  <si>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</si>
  <si>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</si>
  <si>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</si>
  <si>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</si>
  <si>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</si>
  <si>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</si>
  <si>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</si>
  <si>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</si>
  <si>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</si>
  <si>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</si>
  <si>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</si>
  <si>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</si>
  <si>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</si>
  <si>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</si>
  <si>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</si>
  <si>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</si>
  <si>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</si>
  <si>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</si>
  <si>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</si>
  <si>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</si>
  <si>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</si>
  <si>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</si>
  <si>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</si>
  <si>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</si>
  <si>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</si>
  <si>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</si>
  <si>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</si>
  <si>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</si>
  <si>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</si>
  <si>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</si>
  <si>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</si>
  <si>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</si>
  <si>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</si>
  <si>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</si>
  <si>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</si>
  <si>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</si>
  <si>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</si>
  <si>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</si>
  <si>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</si>
  <si>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</si>
  <si>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</si>
  <si>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</si>
  <si>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</si>
  <si>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</si>
  <si>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</si>
  <si>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</si>
  <si>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</si>
  <si>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</si>
  <si>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</si>
  <si>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</si>
  <si>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</si>
  <si>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</si>
  <si>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</si>
  <si>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</si>
  <si>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</si>
  <si>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</si>
  <si>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</si>
  <si>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</si>
  <si>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</si>
  <si>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</si>
  <si>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</si>
  <si>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</si>
  <si>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</si>
  <si>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</si>
  <si>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</si>
  <si>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</si>
  <si>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</si>
  <si>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</si>
  <si>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</si>
  <si>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</si>
  <si>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</si>
  <si>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</si>
  <si>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</si>
  <si>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</si>
  <si>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</si>
  <si>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</si>
  <si>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</si>
  <si>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</si>
  <si>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</si>
  <si>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</si>
  <si>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</si>
  <si>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</si>
  <si>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</si>
  <si>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</si>
  <si>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</si>
  <si>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</si>
  <si>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</si>
  <si>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</si>
  <si>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</si>
  <si>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</si>
  <si>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</si>
  <si>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</si>
  <si>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</si>
  <si>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</si>
  <si>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</si>
  <si>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</si>
  <si>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</si>
  <si>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</si>
  <si>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</si>
  <si>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</si>
  <si>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</si>
  <si>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</si>
  <si>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</si>
  <si>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</si>
  <si>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</si>
  <si>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</si>
  <si>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</si>
  <si>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</si>
  <si>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</si>
  <si>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</si>
  <si>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</si>
  <si>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</si>
  <si>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</si>
  <si>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</si>
  <si>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</si>
  <si>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</si>
  <si>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</si>
  <si>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</si>
  <si>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</si>
  <si>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</si>
  <si>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</si>
  <si>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</si>
  <si>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</si>
  <si>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</si>
  <si>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</si>
  <si>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</si>
  <si>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</si>
  <si>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</si>
  <si>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</si>
  <si>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</si>
  <si>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</si>
  <si>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</si>
  <si>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</si>
  <si>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</si>
  <si>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</si>
  <si>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</si>
  <si>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</si>
  <si>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</si>
  <si>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</si>
  <si>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</si>
  <si>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</si>
  <si>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</si>
  <si>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</si>
  <si>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</si>
  <si>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</si>
  <si>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</si>
  <si>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</si>
  <si>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</si>
  <si>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</si>
  <si>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</si>
  <si>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</si>
  <si>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</si>
  <si>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</si>
  <si>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</si>
  <si>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</si>
  <si>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</si>
  <si>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</si>
  <si>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</si>
  <si>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</si>
  <si>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</si>
  <si>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</si>
  <si>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</si>
  <si>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</si>
  <si>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</si>
  <si>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</si>
  <si>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</si>
  <si>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</si>
  <si>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</si>
  <si>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</si>
  <si>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</si>
  <si>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</si>
  <si>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</si>
  <si>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</si>
  <si>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</si>
  <si>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</si>
  <si>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</si>
  <si>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</si>
  <si>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</si>
  <si>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</si>
  <si>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</si>
  <si>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</si>
  <si>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</si>
  <si>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</si>
  <si>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</si>
  <si>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企业</t>
  </si>
  <si>
    <t>北京市</t>
  </si>
  <si>
    <t>北京经济技术开发区荣华中路19号1号楼</t>
    <phoneticPr fontId="4" type="noConversion"/>
  </si>
  <si>
    <t>通路</t>
  </si>
  <si>
    <t>通电</t>
  </si>
  <si>
    <t>通讯</t>
  </si>
  <si>
    <t>通上水</t>
  </si>
  <si>
    <t>通下水</t>
  </si>
  <si>
    <t>平整</t>
  </si>
  <si>
    <t>燃气</t>
  </si>
  <si>
    <t>通热</t>
  </si>
  <si>
    <t>Ⅵ-亦1</t>
  </si>
  <si>
    <t>办公项目</t>
  </si>
  <si>
    <t>建面</t>
    <phoneticPr fontId="135" type="noConversion"/>
  </si>
  <si>
    <t>分摊土地</t>
    <phoneticPr fontId="135" type="noConversion"/>
  </si>
  <si>
    <t>土地</t>
    <phoneticPr fontId="135" type="noConversion"/>
  </si>
  <si>
    <t>容积率</t>
    <phoneticPr fontId="135" type="noConversion"/>
  </si>
  <si>
    <t>建面</t>
    <phoneticPr fontId="135" type="noConversion"/>
  </si>
  <si>
    <t>人防</t>
    <phoneticPr fontId="135" type="noConversion"/>
  </si>
  <si>
    <t>不含人防</t>
    <phoneticPr fontId="135" type="noConversion"/>
  </si>
  <si>
    <t>套内</t>
    <phoneticPr fontId="135" type="noConversion"/>
  </si>
  <si>
    <r>
      <t>-</t>
    </r>
    <r>
      <rPr>
        <sz val="11"/>
        <color theme="1"/>
        <rFont val="宋体"/>
        <family val="3"/>
        <charset val="134"/>
        <scheme val="minor"/>
      </rPr>
      <t>3</t>
    </r>
    <phoneticPr fontId="135" type="noConversion"/>
  </si>
  <si>
    <r>
      <t>-</t>
    </r>
    <r>
      <rPr>
        <sz val="11"/>
        <color theme="1"/>
        <rFont val="宋体"/>
        <family val="3"/>
        <charset val="134"/>
        <scheme val="minor"/>
      </rPr>
      <t>2</t>
    </r>
    <phoneticPr fontId="135" type="noConversion"/>
  </si>
  <si>
    <r>
      <t>-</t>
    </r>
    <r>
      <rPr>
        <sz val="11"/>
        <color theme="1"/>
        <rFont val="宋体"/>
        <family val="3"/>
        <charset val="134"/>
        <scheme val="minor"/>
      </rPr>
      <t>1</t>
    </r>
    <phoneticPr fontId="135" type="noConversion"/>
  </si>
  <si>
    <t>1</t>
    <phoneticPr fontId="135" type="noConversion"/>
  </si>
  <si>
    <t>2</t>
    <phoneticPr fontId="135" type="noConversion"/>
  </si>
  <si>
    <t>3</t>
    <phoneticPr fontId="135"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</si>
  <si>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</si>
  <si>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</si>
  <si>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</si>
  <si>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</si>
  <si>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</si>
  <si>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</si>
  <si>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</si>
  <si>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</si>
  <si>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</si>
  <si>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</si>
  <si>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</si>
  <si>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</si>
  <si>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</si>
  <si>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</si>
  <si>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</si>
  <si>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</si>
  <si>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</si>
  <si>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</si>
  <si>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</si>
  <si>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</si>
  <si>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</si>
  <si>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</si>
  <si>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5" type="noConversion"/>
  </si>
  <si>
    <t>合计</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</si>
  <si>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</si>
  <si>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</si>
  <si>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</si>
  <si>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</si>
  <si>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</si>
  <si>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</si>
  <si>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</si>
  <si>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</si>
  <si>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</si>
  <si>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</si>
  <si>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</si>
  <si>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</si>
  <si>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</si>
  <si>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</si>
  <si>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</si>
  <si>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</si>
  <si>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</si>
  <si>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</si>
  <si>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</si>
  <si>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</si>
  <si>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</si>
  <si>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</si>
  <si>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</si>
  <si>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</si>
  <si>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</si>
  <si>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</si>
  <si>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</si>
  <si>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</si>
  <si>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</si>
  <si>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</si>
  <si>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地上</t>
  </si>
  <si>
    <t>地下</t>
  </si>
  <si>
    <t>朝林广场B座</t>
  </si>
  <si>
    <t>朝林广场B座</t>
    <phoneticPr fontId="8" type="noConversion"/>
  </si>
  <si>
    <t>是</t>
  </si>
  <si>
    <t>成新度</t>
  </si>
  <si>
    <t>收益法</t>
  </si>
  <si>
    <t>国锐金嵿、大族广场、亦城财富中心</t>
    <phoneticPr fontId="4" type="noConversion"/>
  </si>
  <si>
    <t>较好</t>
    <phoneticPr fontId="4" type="noConversion"/>
  </si>
  <si>
    <t>较好</t>
  </si>
  <si>
    <t>七通</t>
  </si>
  <si>
    <t>博大公园、亦庄新城滨河公园</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</si>
  <si>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4" type="noConversion"/>
  </si>
  <si>
    <t>商务金融用地</t>
  </si>
  <si>
    <t>自定义容积率</t>
  </si>
  <si>
    <t>不临65条商业街</t>
  </si>
  <si>
    <t>与级别开发程度一致</t>
  </si>
  <si>
    <t>中心城区以外</t>
  </si>
  <si>
    <t>一般</t>
  </si>
  <si>
    <t>好</t>
  </si>
  <si>
    <t>未包含在土地购买价格中</t>
  </si>
  <si>
    <t>已包含在土地取得成本中</t>
  </si>
  <si>
    <t>全部缴纳</t>
  </si>
  <si>
    <t>押一</t>
  </si>
  <si>
    <t>钢混</t>
  </si>
  <si>
    <t>非生产用房</t>
  </si>
  <si>
    <t>现房</t>
  </si>
  <si>
    <t>项目局部</t>
  </si>
  <si>
    <t>成本法</t>
  </si>
  <si>
    <t>成本比率</t>
  </si>
  <si>
    <t>总价</t>
  </si>
  <si>
    <t>北京朝林实业有限公司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</si>
</sst>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_(* \(#,##0.00\);_(* &quot;-&quot;??_);_(@_)"/>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name val="CG Times"/>
      <family val="1"/>
    </font>
    <font>
      <sz val="12"/>
      <name val="新細明體"/>
      <charset val="134"/>
    </font>
    <font>
      <sz val="11"/>
      <color rgb="FF9C0006"/>
      <name val="宋体"/>
      <family val="3"/>
      <charset val="134"/>
      <scheme val="minor"/>
    </font>
    <font>
      <sz val="10"/>
      <color rgb="FF000000"/>
      <name val="Times New Roman"/>
      <family val="1"/>
    </font>
    <font>
      <sz val="12"/>
      <name val="細明體"/>
      <charset val="136"/>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C7CE"/>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alignment vertical="center"/>
    </xf>
    <xf numFmtId="197" fontId="175"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0" fontId="271" fillId="0" borderId="0"/>
    <xf numFmtId="9" fontId="272" fillId="0" borderId="0" applyFont="0" applyFill="0" applyBorder="0" applyAlignment="0" applyProtection="0">
      <alignment vertical="center"/>
    </xf>
    <xf numFmtId="0" fontId="273" fillId="23" borderId="0" applyNumberFormat="0" applyBorder="0" applyAlignment="0" applyProtection="0">
      <alignment vertical="center"/>
    </xf>
    <xf numFmtId="0" fontId="54" fillId="0" borderId="0"/>
    <xf numFmtId="0" fontId="274" fillId="0" borderId="0"/>
    <xf numFmtId="0" fontId="1"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272" fillId="0" borderId="0"/>
    <xf numFmtId="0" fontId="160" fillId="0" borderId="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4" fillId="0" borderId="0" applyFont="0" applyFill="0" applyBorder="0" applyAlignment="0" applyProtection="0">
      <alignment vertical="center"/>
    </xf>
    <xf numFmtId="197" fontId="272" fillId="0" borderId="0" applyFont="0" applyFill="0" applyBorder="0" applyAlignment="0" applyProtection="0">
      <alignment vertical="center"/>
    </xf>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75" fillId="0" borderId="0"/>
  </cellStyleXfs>
  <cellXfs count="38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7" borderId="54"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49" fontId="96" fillId="0" borderId="0" xfId="10" applyNumberFormat="1">
      <alignment vertical="center"/>
    </xf>
    <xf numFmtId="0" fontId="96" fillId="0" borderId="0" xfId="10" applyFont="1">
      <alignment vertical="center"/>
    </xf>
    <xf numFmtId="179" fontId="48" fillId="0" borderId="1" xfId="10" applyNumberFormat="1" applyFont="1" applyBorder="1" applyAlignment="1" applyProtection="1">
      <alignment horizontal="center" vertical="center" wrapText="1"/>
      <protection locked="0"/>
    </xf>
    <xf numFmtId="0" fontId="96" fillId="22" borderId="0" xfId="10" applyFill="1">
      <alignment vertical="center"/>
    </xf>
    <xf numFmtId="49" fontId="96" fillId="0" borderId="1" xfId="10" applyNumberFormat="1" applyBorder="1">
      <alignment vertical="center"/>
    </xf>
    <xf numFmtId="0" fontId="96" fillId="0" borderId="1" xfId="10" applyFont="1" applyBorder="1">
      <alignment vertical="center"/>
    </xf>
    <xf numFmtId="0" fontId="96" fillId="0" borderId="1" xfId="10" applyBorder="1">
      <alignment vertical="center"/>
    </xf>
    <xf numFmtId="0" fontId="96" fillId="22" borderId="1" xfId="10" applyFill="1" applyBorder="1">
      <alignment vertical="center"/>
    </xf>
    <xf numFmtId="49" fontId="96" fillId="0" borderId="1" xfId="10" applyNumberFormat="1" applyFont="1" applyBorder="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81" fontId="100" fillId="9" borderId="1" xfId="0" applyNumberFormat="1" applyFont="1" applyFill="1" applyBorder="1" applyAlignment="1" applyProtection="1">
      <alignment horizontal="center" vertical="center"/>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cellXfs>
  <cellStyles count="58">
    <cellStyle name="Comma 2" xfId="20"/>
    <cellStyle name="Comma 2 2" xfId="21"/>
    <cellStyle name="Comma 2 2 2" xfId="22"/>
    <cellStyle name="Comma 2 2 2 2" xfId="23"/>
    <cellStyle name="Comma 2 2 3" xfId="24"/>
    <cellStyle name="Comma 2 3" xfId="25"/>
    <cellStyle name="Comma 2 3 2" xfId="26"/>
    <cellStyle name="Comma 2 4" xfId="27"/>
    <cellStyle name="Comma 5 2" xfId="28"/>
    <cellStyle name="Comma 7" xfId="29"/>
    <cellStyle name="Normal 2" xfId="30"/>
    <cellStyle name="Normal 2 2 2" xfId="31"/>
    <cellStyle name="Normal 2 8" xfId="32"/>
    <cellStyle name="Normal 3" xfId="33"/>
    <cellStyle name="Normal 4" xfId="34"/>
    <cellStyle name="Normal 5" xfId="35"/>
    <cellStyle name="Normal_INCOME" xfId="36"/>
    <cellStyle name="百分比" xfId="17" builtinId="5"/>
    <cellStyle name="百分比 2" xfId="14"/>
    <cellStyle name="百分比 3" xfId="37"/>
    <cellStyle name="百分比 3 2" xfId="19"/>
    <cellStyle name="差 2" xfId="38"/>
    <cellStyle name="常规" xfId="0" builtinId="0"/>
    <cellStyle name="常规 10" xfId="39"/>
    <cellStyle name="常规 11" xfId="18"/>
    <cellStyle name="常规 12" xfId="40"/>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6 3" xfId="46"/>
    <cellStyle name="常规 7" xfId="7"/>
    <cellStyle name="常规 8" xfId="11"/>
    <cellStyle name="常规 9" xfId="12"/>
    <cellStyle name="常规 9 2" xfId="47"/>
    <cellStyle name="千分位_Sheet1" xfId="48"/>
    <cellStyle name="千位分隔 2" xfId="49"/>
    <cellStyle name="千位分隔 2 2" xfId="50"/>
    <cellStyle name="千位分隔 2 2 2" xfId="51"/>
    <cellStyle name="千位分隔 2 3" xfId="52"/>
    <cellStyle name="千位分隔 3" xfId="53"/>
    <cellStyle name="千位分隔 3 2" xfId="54"/>
    <cellStyle name="千位分隔 4" xfId="55"/>
    <cellStyle name="千位分隔[0] 3" xfId="56"/>
    <cellStyle name="一般_PUD" xfId="57"/>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8494.75</v>
          </cell>
        </row>
        <row r="13">
          <cell r="K13">
            <v>2845.98</v>
          </cell>
        </row>
        <row r="14">
          <cell r="I14">
            <v>1278.48</v>
          </cell>
        </row>
        <row r="15">
          <cell r="I15">
            <v>1161.4100000000001</v>
          </cell>
        </row>
        <row r="16">
          <cell r="I16">
            <v>1921.63</v>
          </cell>
        </row>
        <row r="17">
          <cell r="I17">
            <v>2022.65</v>
          </cell>
        </row>
        <row r="18">
          <cell r="I18">
            <v>2110.58</v>
          </cell>
        </row>
      </sheetData>
      <sheetData sheetId="13" refreshError="1"/>
      <sheetData sheetId="14" refreshError="1"/>
      <sheetData sheetId="15" refreshError="1"/>
      <sheetData sheetId="16" refreshError="1"/>
      <sheetData sheetId="17" refreshError="1"/>
      <sheetData sheetId="18">
        <row r="20">
          <cell r="G20">
            <v>42086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北京市北京经济技术开发区荣华中路19号1号楼预评估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受贵公司委托，我公司对北京市北京经济技术开发区荣华中路19号1号楼进行了预评估。</v>
      </c>
    </row>
    <row r="7" spans="1:2" s="1203" customFormat="1">
      <c r="A7" s="1201" t="s">
        <v>566</v>
      </c>
      <c r="B7" s="1202" t="str">
        <f>'预评函-1'!A7</f>
        <v>估价对象为北京市北京经济技术开发区荣华中路19号1号楼房地产，为北京朝林实业有限公司所有。根据《国有土地使用证》[]，估价对象（分摊）出让国有建设用地使用权面积为15323.04平方米，建筑面积为61537.21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荣华中路19号1号楼房地产,属北京朝林实业有限公司开发建设的办公项目，该项目尚在开发建设中。根据《国有土地使用证》[]，估价对象（分摊）出让国有建设用地使用权面积为15323.04平方米，规划建筑面积为61537.21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2024年3月1日（评估专业人员实地查勘之日）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159780</v>
      </c>
    </row>
    <row r="21" spans="1:2" s="1203" customFormat="1">
      <c r="A21" s="1201" t="s">
        <v>537</v>
      </c>
      <c r="B21" s="1202">
        <f ca="1">'预评函-2'!D7</f>
        <v>25965</v>
      </c>
    </row>
    <row r="22" spans="1:2" s="1203" customFormat="1">
      <c r="A22" s="1201" t="s">
        <v>538</v>
      </c>
      <c r="B22" s="1202" t="str">
        <f ca="1">'预评函-2'!D6</f>
        <v>壹拾伍亿玖仟柒佰捌拾万元整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159780</v>
      </c>
    </row>
    <row r="31" spans="1:2" s="1203" customFormat="1">
      <c r="A31" s="1201" t="s">
        <v>576</v>
      </c>
      <c r="B31" s="1202">
        <f ca="1">'预评函-2'!D15</f>
        <v>25965</v>
      </c>
    </row>
    <row r="32" spans="1:2" s="1203" customFormat="1">
      <c r="A32" s="1201" t="s">
        <v>543</v>
      </c>
      <c r="B32" s="1202" t="str">
        <f ca="1">'预评函-2'!D14</f>
        <v>壹拾伍亿玖仟柒佰捌拾万元整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北京市北京经济技术开发区荣华中路19号1号楼房地产</v>
      </c>
    </row>
    <row r="42" spans="1:2" s="1203" customFormat="1">
      <c r="A42" s="1201" t="s">
        <v>590</v>
      </c>
      <c r="B42" s="1202" t="str">
        <f>'预评函-3'!B2</f>
        <v>建筑面积</v>
      </c>
    </row>
    <row r="43" spans="1:2" s="1203" customFormat="1">
      <c r="A43" s="1201" t="s">
        <v>591</v>
      </c>
      <c r="B43" s="1202">
        <f>'预评函-3'!B4</f>
        <v>61537.210000000036</v>
      </c>
    </row>
    <row r="44" spans="1:2" s="1203" customFormat="1">
      <c r="A44" s="1201" t="s">
        <v>575</v>
      </c>
      <c r="B44" s="1202" t="str">
        <f>'预评函-3'!C2</f>
        <v>(分摊)土地面积</v>
      </c>
    </row>
    <row r="45" spans="1:2" s="1203" customFormat="1">
      <c r="A45" s="1201" t="s">
        <v>547</v>
      </c>
      <c r="B45" s="1202">
        <f>'预评函-3'!C4</f>
        <v>15323.04</v>
      </c>
    </row>
    <row r="46" spans="1:2" s="1203" customFormat="1">
      <c r="A46" s="1201" t="s">
        <v>573</v>
      </c>
      <c r="B46" s="1202" t="str">
        <f>'预评函-3'!D2</f>
        <v>出让国有建设用地使用权价值</v>
      </c>
    </row>
    <row r="47" spans="1:2" s="1203" customFormat="1">
      <c r="A47" s="1201" t="s">
        <v>548</v>
      </c>
      <c r="B47" s="1202">
        <f ca="1">'预评函-3'!D4</f>
        <v>105295</v>
      </c>
    </row>
    <row r="48" spans="1:2" s="1203" customFormat="1">
      <c r="A48" s="1201" t="s">
        <v>549</v>
      </c>
      <c r="B48" s="1202">
        <f ca="1">'预评函-3'!E4</f>
        <v>17111</v>
      </c>
    </row>
    <row r="49" spans="1:2" s="1203" customFormat="1">
      <c r="A49" s="1201" t="s">
        <v>550</v>
      </c>
      <c r="B49" s="1202" t="str">
        <f ca="1">'预评函-3'!D5</f>
        <v>壹拾亿伍仟贰佰玖拾伍万元整</v>
      </c>
    </row>
    <row r="50" spans="1:2" s="1203" customFormat="1">
      <c r="A50" s="1201" t="s">
        <v>574</v>
      </c>
      <c r="B50" s="1202" t="str">
        <f>'预评函-3'!F2</f>
        <v>在建建筑物价值</v>
      </c>
    </row>
    <row r="51" spans="1:2" s="1203" customFormat="1">
      <c r="A51" s="1201" t="s">
        <v>551</v>
      </c>
      <c r="B51" s="1202">
        <f ca="1">'预评函-3'!F4</f>
        <v>54485</v>
      </c>
    </row>
    <row r="52" spans="1:2" s="1203" customFormat="1">
      <c r="A52" s="1201" t="s">
        <v>552</v>
      </c>
      <c r="B52" s="1202">
        <f ca="1">'预评函-3'!G4</f>
        <v>8854</v>
      </c>
    </row>
    <row r="53" spans="1:2" s="1203" customFormat="1">
      <c r="A53" s="1201" t="s">
        <v>580</v>
      </c>
      <c r="B53" s="1202" t="str">
        <f ca="1">'预评函-3'!F5</f>
        <v>伍亿肆仟肆佰捌拾伍万元整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33" sqref="C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4" t="s">
        <v>385</v>
      </c>
      <c r="C54" s="1551" t="s">
        <v>583</v>
      </c>
    </row>
    <row r="55" spans="1:4">
      <c r="A55" s="3486"/>
      <c r="B55" s="1554" t="s">
        <v>386</v>
      </c>
      <c r="C55" s="1551" t="s">
        <v>584</v>
      </c>
    </row>
    <row r="56" spans="1:4">
      <c r="A56" s="3486"/>
      <c r="B56" s="1554" t="s">
        <v>387</v>
      </c>
      <c r="C56" s="1551" t="s">
        <v>588</v>
      </c>
    </row>
    <row r="57" spans="1:4">
      <c r="A57" s="348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487" t="s">
        <v>2580</v>
      </c>
      <c r="J2" s="3487"/>
      <c r="K2" s="3487"/>
      <c r="L2" s="3487"/>
      <c r="M2" s="3487"/>
      <c r="N2" s="3487"/>
      <c r="O2" s="3487"/>
      <c r="P2" s="3487"/>
      <c r="Q2" s="3487"/>
      <c r="R2" s="3487"/>
    </row>
    <row r="3" spans="1:18">
      <c r="A3" s="3017" t="s">
        <v>2501</v>
      </c>
      <c r="B3" s="3018">
        <f>项目基本情况!D3</f>
        <v>45352</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2.8</v>
      </c>
      <c r="D5" s="3022">
        <f>IF(ISERROR(ROUND(POWER(1+E5,A5-C5)*(POWER(1+E5,C5)-1)/(POWER(1+E5,A5)-1),3)),0,ROUND(POWER(1+E5,A5-C5)*(POWER(1+E5,C5)-1)/(POWER(1+E5,A5)-1),4))</f>
        <v>0.13139999999999999</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12.81</v>
      </c>
      <c r="D6" s="3022">
        <f>IF(ISERROR(ROUND(POWER(1+E6,A6-C6)*(POWER(1+E6,C6)-1)/(POWER(1+E6,A6)-1),3)),0,ROUND(POWER(1+E6,A6-C6)*(POWER(1+E6,C6)-1)/(POWER(1+E6,A6)-1),4))</f>
        <v>0.45960000000000001</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32.82</v>
      </c>
      <c r="D7" s="3022">
        <f>IF(ISERROR(ROUND(POWER(1+E7,A7-C7)*(POWER(1+E7,C7)-1)/(POWER(1+E7,A7)-1),3)),0,ROUND(POWER(1+E7,A7-C7)*(POWER(1+E7,C7)-1)/(POWER(1+E7,A7)-1),4))</f>
        <v>0.77359999999999995</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88" t="str">
        <f>IF(B10="北京市","北京市",C10)&amp;F10&amp;IF(结果表!G1="在建","出让国有建设用地使用权及在建建筑物",IF(结果表!G1="土地","出让国有建设用地使用权",))&amp;B9&amp;"预评估"</f>
        <v>北京市北京经济技术开发区荣华中路19号1号楼预评估</v>
      </c>
      <c r="C1" s="3489"/>
      <c r="D1" s="3489"/>
      <c r="E1" s="3489"/>
      <c r="F1" s="3489"/>
      <c r="G1" s="3489"/>
      <c r="H1" s="3489"/>
      <c r="I1" s="349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北京市北京经济技术开发区荣华中路19号1号楼</v>
      </c>
      <c r="T1" s="1745"/>
      <c r="U1" s="1745"/>
      <c r="V1" s="1745"/>
      <c r="W1" s="1745"/>
      <c r="X1" s="1745"/>
      <c r="Y1" s="1745"/>
      <c r="Z1" s="1745"/>
      <c r="AA1" s="1745"/>
      <c r="AB1" s="1745"/>
    </row>
    <row r="2" spans="1:30">
      <c r="A2" s="2367" t="s">
        <v>2169</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北京市北京经济技术开发区荣华中路19号1号楼房地产</v>
      </c>
      <c r="T2" s="1745"/>
      <c r="U2" s="1745"/>
      <c r="V2" s="1745"/>
      <c r="W2" s="1745"/>
      <c r="X2" s="1745"/>
      <c r="Y2" s="1745"/>
      <c r="Z2" s="1745"/>
      <c r="AA2" s="1745"/>
      <c r="AB2" s="1745"/>
    </row>
    <row r="3" spans="1:30">
      <c r="A3" s="302" t="s">
        <v>2170</v>
      </c>
      <c r="B3" s="2373">
        <v>45352</v>
      </c>
      <c r="C3" s="2374" t="s">
        <v>2171</v>
      </c>
      <c r="D3" s="2373">
        <f>B3</f>
        <v>45352</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3375</v>
      </c>
      <c r="C8" s="2390"/>
      <c r="D8" s="3491" t="s">
        <v>2177</v>
      </c>
      <c r="E8" s="2391"/>
      <c r="F8" s="2392"/>
      <c r="G8" s="2661"/>
      <c r="H8" s="2661"/>
      <c r="I8" s="2661"/>
      <c r="J8" s="2438"/>
      <c r="K8" s="2612"/>
      <c r="L8" s="2611"/>
      <c r="M8" s="2611"/>
      <c r="N8" s="2438"/>
      <c r="O8" s="2449"/>
      <c r="P8" s="2438"/>
      <c r="Q8" s="2438"/>
      <c r="R8" s="2438"/>
    </row>
    <row r="9" spans="1:30" ht="13.5" thickBot="1">
      <c r="A9" s="2393" t="s">
        <v>2178</v>
      </c>
      <c r="B9" s="2394"/>
      <c r="C9" s="2395"/>
      <c r="D9" s="3492"/>
      <c r="E9" s="2394"/>
      <c r="F9" s="2396"/>
      <c r="G9" s="2663"/>
      <c r="H9" s="2663"/>
      <c r="I9" s="2663"/>
      <c r="J9" s="2438"/>
      <c r="K9" s="2614"/>
      <c r="L9" s="2611"/>
      <c r="M9" s="2611"/>
      <c r="N9" s="2438"/>
      <c r="O9" s="2449"/>
      <c r="P9" s="2438"/>
      <c r="Q9" s="2438"/>
      <c r="R9" s="2438"/>
    </row>
    <row r="10" spans="1:30" ht="13.5" thickTop="1">
      <c r="A10" s="2397" t="s">
        <v>2179</v>
      </c>
      <c r="B10" s="2398" t="s">
        <v>3380</v>
      </c>
      <c r="C10" s="2399"/>
      <c r="D10" s="2382"/>
      <c r="E10" s="2400" t="s">
        <v>2180</v>
      </c>
      <c r="F10" s="3786" t="s">
        <v>3381</v>
      </c>
      <c r="G10" s="2664"/>
      <c r="H10" s="2665"/>
      <c r="I10" s="2666"/>
      <c r="J10" s="2438"/>
      <c r="K10" s="2614"/>
      <c r="L10" s="2611"/>
      <c r="M10" s="2611"/>
      <c r="N10" s="2438"/>
      <c r="O10" s="2449"/>
      <c r="P10" s="2438"/>
      <c r="Q10" s="2438"/>
      <c r="R10" s="2438"/>
    </row>
    <row r="11" spans="1:30" ht="24">
      <c r="A11" s="2401" t="s">
        <v>2181</v>
      </c>
      <c r="B11" s="2402" t="s">
        <v>3379</v>
      </c>
      <c r="C11" s="3785" t="s">
        <v>3491</v>
      </c>
      <c r="D11" s="2403"/>
      <c r="E11" s="2370"/>
      <c r="F11" s="2370"/>
      <c r="G11" s="2370"/>
      <c r="H11" s="2370"/>
      <c r="I11" s="2370"/>
      <c r="J11" s="3058"/>
      <c r="K11" s="3057"/>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2576</v>
      </c>
      <c r="J12" s="3059"/>
      <c r="K12" s="2611"/>
      <c r="L12" s="2611"/>
      <c r="M12" s="2438"/>
      <c r="N12" s="2449"/>
      <c r="O12" s="2438"/>
      <c r="P12" s="2438"/>
      <c r="Q12" s="2438"/>
      <c r="AD12" s="1745"/>
    </row>
    <row r="13" spans="1:30">
      <c r="A13" s="3420" t="s">
        <v>3331</v>
      </c>
      <c r="B13" s="2406" t="s">
        <v>2190</v>
      </c>
      <c r="C13" s="856"/>
      <c r="D13" s="856"/>
      <c r="E13" s="856">
        <v>56317</v>
      </c>
      <c r="F13" s="856"/>
      <c r="G13" s="856"/>
      <c r="H13" s="856"/>
      <c r="I13" s="856"/>
      <c r="J13" s="3059"/>
      <c r="K13" s="2611"/>
      <c r="L13" s="2611"/>
      <c r="M13" s="2438"/>
      <c r="N13" s="2449"/>
      <c r="O13" s="2438"/>
      <c r="P13" s="2438"/>
      <c r="Q13" s="2438"/>
      <c r="AD13" s="1745"/>
    </row>
    <row r="14" spans="1:30">
      <c r="A14" s="1081"/>
      <c r="B14" s="2406" t="s">
        <v>2191</v>
      </c>
      <c r="C14" s="2407"/>
      <c r="D14" s="2407"/>
      <c r="E14" s="2407">
        <v>50</v>
      </c>
      <c r="F14" s="2407"/>
      <c r="G14" s="2407"/>
      <c r="H14" s="2407"/>
      <c r="I14" s="2407"/>
      <c r="J14" s="3060"/>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30.04</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400" t="s">
        <v>2193</v>
      </c>
      <c r="B16" s="3498"/>
      <c r="C16" s="3499"/>
      <c r="D16" s="3500"/>
      <c r="E16" s="2412" t="s">
        <v>2194</v>
      </c>
      <c r="F16" s="3501"/>
      <c r="G16" s="3502"/>
      <c r="H16" s="3502"/>
      <c r="I16" s="3503"/>
      <c r="J16" s="2438"/>
      <c r="K16" s="2615"/>
      <c r="L16" s="2450"/>
      <c r="M16" s="2450"/>
      <c r="N16" s="2507"/>
      <c r="O16" s="2450"/>
      <c r="P16" s="2507"/>
      <c r="Q16" s="2438"/>
      <c r="R16" s="2438"/>
    </row>
    <row r="17" spans="1:28">
      <c r="A17" s="313" t="s">
        <v>2195</v>
      </c>
      <c r="B17" s="302" t="s">
        <v>2196</v>
      </c>
      <c r="C17" s="8">
        <f>'数据-汇总表'!E3</f>
        <v>61537.210000000036</v>
      </c>
      <c r="D17" s="2322" t="s">
        <v>2197</v>
      </c>
      <c r="E17" s="3504" t="s">
        <v>2198</v>
      </c>
      <c r="F17" s="3505"/>
      <c r="G17" s="3505"/>
      <c r="H17" s="3505"/>
      <c r="I17" s="3506"/>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15323.04</v>
      </c>
      <c r="D18" s="1092" t="s">
        <v>2201</v>
      </c>
      <c r="E18" s="3507" t="s">
        <v>2202</v>
      </c>
      <c r="F18" s="3508"/>
      <c r="G18" s="3508"/>
      <c r="H18" s="3508"/>
      <c r="I18" s="3509"/>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494" t="s">
        <v>2206</v>
      </c>
      <c r="C20" s="3495"/>
      <c r="D20" s="3496" t="s">
        <v>2207</v>
      </c>
      <c r="E20" s="3497"/>
      <c r="F20" s="2645" t="s">
        <v>1056</v>
      </c>
      <c r="G20" s="2662"/>
      <c r="H20" s="2662"/>
      <c r="I20" s="2662"/>
      <c r="J20" s="2438"/>
      <c r="K20" s="349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4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4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11" t="s">
        <v>2214</v>
      </c>
      <c r="B27" s="320" t="s">
        <v>2215</v>
      </c>
      <c r="C27" s="2415" t="s">
        <v>3391</v>
      </c>
      <c r="D27" s="2416"/>
      <c r="E27" s="2662"/>
      <c r="F27" s="2662"/>
      <c r="G27" s="2662"/>
      <c r="H27" s="2662"/>
      <c r="I27" s="2662"/>
      <c r="J27" s="2438"/>
      <c r="K27" s="2615"/>
      <c r="L27" s="2450"/>
      <c r="M27" s="2450"/>
      <c r="N27" s="2507"/>
      <c r="O27" s="2450"/>
      <c r="P27" s="2507"/>
      <c r="Q27" s="2438"/>
      <c r="R27" s="2438"/>
      <c r="S27" s="2438"/>
      <c r="T27" s="2438"/>
      <c r="U27" s="2438"/>
      <c r="V27" s="2438"/>
    </row>
    <row r="28" spans="1:28">
      <c r="A28" s="3511"/>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11"/>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12"/>
      <c r="B30" s="302" t="s">
        <v>2218</v>
      </c>
      <c r="C30" s="3513"/>
      <c r="D30" s="3514"/>
      <c r="E30" s="2662"/>
      <c r="F30" s="2662"/>
      <c r="G30" s="2662"/>
      <c r="H30" s="2662"/>
      <c r="I30" s="2662"/>
      <c r="J30" s="2438"/>
      <c r="K30" s="2614"/>
      <c r="L30" s="2611"/>
      <c r="M30" s="2611"/>
      <c r="N30" s="2438"/>
      <c r="O30" s="2449"/>
      <c r="P30" s="2438"/>
      <c r="Q30" s="2438"/>
      <c r="R30" s="2438"/>
      <c r="S30" s="2438"/>
      <c r="T30" s="2438"/>
      <c r="U30" s="2438"/>
      <c r="V30" s="2438"/>
    </row>
    <row r="31" spans="1:28">
      <c r="A31" s="3515"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16"/>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16"/>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t="s">
        <v>3382</v>
      </c>
      <c r="C34" s="2026" t="s">
        <v>3383</v>
      </c>
      <c r="D34" s="2026" t="s">
        <v>3384</v>
      </c>
      <c r="E34" s="2026" t="s">
        <v>3385</v>
      </c>
      <c r="F34" s="2026" t="s">
        <v>3386</v>
      </c>
      <c r="G34" s="2026" t="s">
        <v>3389</v>
      </c>
      <c r="H34" s="2026" t="s">
        <v>3388</v>
      </c>
      <c r="I34" s="2662"/>
      <c r="J34" s="2438"/>
      <c r="K34" s="2426">
        <f>COUNTIF(B34:H34,"——")</f>
        <v>0</v>
      </c>
      <c r="L34" s="323" t="s">
        <v>2221</v>
      </c>
      <c r="M34" s="323" t="s">
        <v>2222</v>
      </c>
      <c r="N34" s="323" t="s">
        <v>2223</v>
      </c>
      <c r="O34" s="323" t="s">
        <v>2224</v>
      </c>
      <c r="P34" s="323" t="s">
        <v>2225</v>
      </c>
      <c r="Q34" s="323" t="s">
        <v>2226</v>
      </c>
      <c r="R34" s="323" t="s">
        <v>2227</v>
      </c>
      <c r="S34" s="3510" t="s">
        <v>2228</v>
      </c>
      <c r="T34" s="2427" t="str">
        <f>NUMBERSTRING(7-K34,1)&amp;"通"</f>
        <v>七通</v>
      </c>
      <c r="U34" s="2438"/>
      <c r="V34" s="2438"/>
    </row>
    <row r="35" spans="1:30">
      <c r="A35" s="2428"/>
      <c r="B35" s="3517" t="s">
        <v>2229</v>
      </c>
      <c r="C35" s="3517"/>
      <c r="D35" s="3517"/>
      <c r="E35" s="3517"/>
      <c r="F35" s="664">
        <f>C10</f>
        <v>0</v>
      </c>
      <c r="G35" s="2662"/>
      <c r="H35" s="2662"/>
      <c r="I35" s="2662"/>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0"/>
      <c r="T35" s="329" t="str">
        <f>IF(T34="一通",L35,IF(T34="二通",M35,IF(T34="三通",N35,IF(T34="四通",O35,IF(T34="五通",P35,IF(T34="六通",Q35,R35))))))</f>
        <v>通路、通电、通讯、通上水、通下水、通热、燃气</v>
      </c>
      <c r="U35" s="2438"/>
      <c r="V35" s="2438"/>
    </row>
    <row r="36" spans="1:30">
      <c r="A36" s="2429"/>
      <c r="B36" s="664" t="s">
        <v>2185</v>
      </c>
      <c r="C36" s="664" t="s">
        <v>2186</v>
      </c>
      <c r="D36" s="664" t="s">
        <v>2184</v>
      </c>
      <c r="E36" s="664" t="s">
        <v>2189</v>
      </c>
      <c r="F36" s="3062" t="s">
        <v>2579</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t="s">
        <v>3390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J35"/>
  <sheetViews>
    <sheetView topLeftCell="B1" workbookViewId="0">
      <selection activeCell="F22" sqref="F22"/>
    </sheetView>
  </sheetViews>
  <sheetFormatPr defaultRowHeight="13.5"/>
  <cols>
    <col min="1" max="2" width="9" style="3787"/>
    <col min="3" max="3" width="9" style="3788"/>
    <col min="4" max="5" width="9" style="3787"/>
    <col min="6" max="6" width="10.5" style="3787" bestFit="1" customWidth="1"/>
    <col min="7" max="7" width="10.5" style="3787" customWidth="1"/>
    <col min="8" max="16384" width="9" style="3787"/>
  </cols>
  <sheetData>
    <row r="1" spans="2:10">
      <c r="I1" s="3789" t="s">
        <v>3392</v>
      </c>
      <c r="J1" s="3789" t="s">
        <v>3393</v>
      </c>
    </row>
    <row r="2" spans="2:10">
      <c r="B2" s="3789" t="s">
        <v>3394</v>
      </c>
      <c r="C2" s="3790">
        <v>34712.6</v>
      </c>
      <c r="D2" s="3789" t="s">
        <v>3395</v>
      </c>
      <c r="E2" s="3787">
        <f>ROUND((D34-D5-D6-D7)/C2,2)</f>
        <v>3.16</v>
      </c>
      <c r="H2" s="3787">
        <v>101</v>
      </c>
      <c r="I2" s="3787">
        <v>67180.850000000006</v>
      </c>
    </row>
    <row r="3" spans="2:10">
      <c r="H3" s="3791">
        <v>102</v>
      </c>
      <c r="I3" s="3791">
        <v>61537.21</v>
      </c>
      <c r="J3" s="3787">
        <f>ROUND(I3/D34*C2,2)</f>
        <v>15323.04</v>
      </c>
    </row>
    <row r="4" spans="2:10">
      <c r="C4" s="3792"/>
      <c r="D4" s="3793" t="s">
        <v>3396</v>
      </c>
      <c r="E4" s="3793" t="s">
        <v>3397</v>
      </c>
      <c r="F4" s="3793" t="s">
        <v>3398</v>
      </c>
      <c r="G4" s="3793" t="s">
        <v>3399</v>
      </c>
      <c r="H4" s="3794">
        <v>101</v>
      </c>
      <c r="I4" s="3795">
        <v>102</v>
      </c>
    </row>
    <row r="5" spans="2:10">
      <c r="C5" s="3796" t="s">
        <v>3400</v>
      </c>
      <c r="D5" s="3794">
        <v>11879.89</v>
      </c>
      <c r="E5" s="3794">
        <v>8313.44</v>
      </c>
      <c r="F5" s="3794">
        <f>D5-E5</f>
        <v>3566.4499999999989</v>
      </c>
      <c r="G5" s="3794">
        <f>SUM(H5:I5)</f>
        <v>3566.45</v>
      </c>
      <c r="H5" s="3794">
        <v>1783.03</v>
      </c>
      <c r="I5" s="3795">
        <v>1783.42</v>
      </c>
    </row>
    <row r="6" spans="2:10">
      <c r="C6" s="3796" t="s">
        <v>3401</v>
      </c>
      <c r="D6" s="3794">
        <v>11797.71</v>
      </c>
      <c r="E6" s="3794">
        <v>2294.4899999999998</v>
      </c>
      <c r="F6" s="3794">
        <f t="shared" ref="F6:F34" si="0">D6-E6</f>
        <v>9503.2199999999993</v>
      </c>
      <c r="G6" s="3794">
        <f t="shared" ref="G6:G33" si="1">SUM(H6:I6)</f>
        <v>9503.2199999999993</v>
      </c>
      <c r="H6" s="3794">
        <v>8183.29</v>
      </c>
      <c r="I6" s="3795">
        <v>1319.93</v>
      </c>
    </row>
    <row r="7" spans="2:10">
      <c r="C7" s="3796" t="s">
        <v>3402</v>
      </c>
      <c r="D7" s="3794">
        <v>5989.57</v>
      </c>
      <c r="E7" s="3794"/>
      <c r="F7" s="3794">
        <f t="shared" si="0"/>
        <v>5989.57</v>
      </c>
      <c r="G7" s="3794">
        <f t="shared" si="1"/>
        <v>5989.57</v>
      </c>
      <c r="H7" s="3794">
        <v>2992.67</v>
      </c>
      <c r="I7" s="3795">
        <v>2996.9</v>
      </c>
    </row>
    <row r="8" spans="2:10">
      <c r="C8" s="3796" t="s">
        <v>3403</v>
      </c>
      <c r="D8" s="3794">
        <v>5791.12</v>
      </c>
      <c r="E8" s="3794">
        <v>79.56</v>
      </c>
      <c r="F8" s="3794">
        <f t="shared" si="0"/>
        <v>5711.5599999999995</v>
      </c>
      <c r="G8" s="3794">
        <f t="shared" si="1"/>
        <v>5711.56</v>
      </c>
      <c r="H8" s="3794">
        <v>2855.78</v>
      </c>
      <c r="I8" s="3795">
        <v>2855.78</v>
      </c>
    </row>
    <row r="9" spans="2:10">
      <c r="C9" s="3796" t="s">
        <v>3404</v>
      </c>
      <c r="D9" s="3794">
        <v>4425.8999999999996</v>
      </c>
      <c r="E9" s="3794"/>
      <c r="F9" s="3794">
        <f t="shared" si="0"/>
        <v>4425.8999999999996</v>
      </c>
      <c r="G9" s="3794">
        <f t="shared" si="1"/>
        <v>4425.8999999999996</v>
      </c>
      <c r="H9" s="3794">
        <v>2099.12</v>
      </c>
      <c r="I9" s="3795">
        <v>2326.7800000000002</v>
      </c>
    </row>
    <row r="10" spans="2:10">
      <c r="C10" s="3796" t="s">
        <v>3405</v>
      </c>
      <c r="D10" s="3794">
        <v>6208.03</v>
      </c>
      <c r="E10" s="3794"/>
      <c r="F10" s="3794">
        <f t="shared" si="0"/>
        <v>6208.03</v>
      </c>
      <c r="G10" s="3794">
        <f t="shared" si="1"/>
        <v>6208.0300000000007</v>
      </c>
      <c r="H10" s="3794">
        <v>2807.92</v>
      </c>
      <c r="I10" s="3795">
        <v>3400.11</v>
      </c>
    </row>
    <row r="11" spans="2:10">
      <c r="C11" s="3796" t="s">
        <v>3406</v>
      </c>
      <c r="D11" s="3794">
        <v>6800.22</v>
      </c>
      <c r="E11" s="3794"/>
      <c r="F11" s="3794">
        <f t="shared" si="0"/>
        <v>6800.22</v>
      </c>
      <c r="G11" s="3794">
        <f t="shared" si="1"/>
        <v>6800.22</v>
      </c>
      <c r="H11" s="3794">
        <v>3400.11</v>
      </c>
      <c r="I11" s="3795">
        <v>3400.11</v>
      </c>
    </row>
    <row r="12" spans="2:10">
      <c r="C12" s="3796" t="s">
        <v>3407</v>
      </c>
      <c r="D12" s="3794">
        <v>5970.71</v>
      </c>
      <c r="E12" s="3794"/>
      <c r="F12" s="3794">
        <f t="shared" si="0"/>
        <v>5970.71</v>
      </c>
      <c r="G12" s="3794">
        <f t="shared" si="1"/>
        <v>5970.8099999999995</v>
      </c>
      <c r="H12" s="3794">
        <v>2787.85</v>
      </c>
      <c r="I12" s="3795">
        <v>3182.96</v>
      </c>
    </row>
    <row r="13" spans="2:10">
      <c r="C13" s="3796" t="s">
        <v>3408</v>
      </c>
      <c r="D13" s="3794">
        <v>4529.9799999999996</v>
      </c>
      <c r="E13" s="3794"/>
      <c r="F13" s="3794">
        <f t="shared" si="0"/>
        <v>4529.9799999999996</v>
      </c>
      <c r="G13" s="3794">
        <f t="shared" si="1"/>
        <v>4529.9799999999996</v>
      </c>
      <c r="H13" s="3794">
        <v>2264.9699999999998</v>
      </c>
      <c r="I13" s="3795">
        <v>2265.0100000000002</v>
      </c>
    </row>
    <row r="14" spans="2:10">
      <c r="C14" s="3796" t="s">
        <v>3409</v>
      </c>
      <c r="D14" s="3794">
        <v>3860.38</v>
      </c>
      <c r="E14" s="3794"/>
      <c r="F14" s="3794">
        <f t="shared" si="0"/>
        <v>3860.38</v>
      </c>
      <c r="G14" s="3794">
        <f t="shared" si="1"/>
        <v>3860.38</v>
      </c>
      <c r="H14" s="3794">
        <v>1930.19</v>
      </c>
      <c r="I14" s="3795">
        <v>1930.19</v>
      </c>
    </row>
    <row r="15" spans="2:10">
      <c r="C15" s="3796" t="s">
        <v>3410</v>
      </c>
      <c r="D15" s="3794">
        <v>3860.38</v>
      </c>
      <c r="E15" s="3794"/>
      <c r="F15" s="3794">
        <f t="shared" si="0"/>
        <v>3860.38</v>
      </c>
      <c r="G15" s="3794">
        <f t="shared" si="1"/>
        <v>3860.38</v>
      </c>
      <c r="H15" s="3794">
        <v>1930.19</v>
      </c>
      <c r="I15" s="3795">
        <v>1930.19</v>
      </c>
    </row>
    <row r="16" spans="2:10">
      <c r="C16" s="3796" t="s">
        <v>3411</v>
      </c>
      <c r="D16" s="3794">
        <v>3860.38</v>
      </c>
      <c r="E16" s="3794"/>
      <c r="F16" s="3794">
        <f t="shared" si="0"/>
        <v>3860.38</v>
      </c>
      <c r="G16" s="3794">
        <f t="shared" si="1"/>
        <v>3860.38</v>
      </c>
      <c r="H16" s="3794">
        <v>1930.19</v>
      </c>
      <c r="I16" s="3795">
        <v>1930.19</v>
      </c>
    </row>
    <row r="17" spans="3:9">
      <c r="C17" s="3796" t="s">
        <v>3412</v>
      </c>
      <c r="D17" s="3794">
        <v>3860.38</v>
      </c>
      <c r="E17" s="3794"/>
      <c r="F17" s="3794">
        <f t="shared" si="0"/>
        <v>3860.38</v>
      </c>
      <c r="G17" s="3794">
        <f t="shared" si="1"/>
        <v>3860.38</v>
      </c>
      <c r="H17" s="3794">
        <v>1930.19</v>
      </c>
      <c r="I17" s="3795">
        <v>1930.19</v>
      </c>
    </row>
    <row r="18" spans="3:9">
      <c r="C18" s="3796" t="s">
        <v>3413</v>
      </c>
      <c r="D18" s="3794">
        <v>3995.74</v>
      </c>
      <c r="E18" s="3794"/>
      <c r="F18" s="3794">
        <f t="shared" si="0"/>
        <v>3995.74</v>
      </c>
      <c r="G18" s="3794">
        <f t="shared" si="1"/>
        <v>3995.74</v>
      </c>
      <c r="H18" s="3794">
        <v>1997.87</v>
      </c>
      <c r="I18" s="3795">
        <v>1997.87</v>
      </c>
    </row>
    <row r="19" spans="3:9">
      <c r="C19" s="3796" t="s">
        <v>3414</v>
      </c>
      <c r="D19" s="3794">
        <v>3995.74</v>
      </c>
      <c r="E19" s="3794"/>
      <c r="F19" s="3794">
        <f t="shared" si="0"/>
        <v>3995.74</v>
      </c>
      <c r="G19" s="3794">
        <f t="shared" si="1"/>
        <v>3995.74</v>
      </c>
      <c r="H19" s="3794">
        <v>1997.87</v>
      </c>
      <c r="I19" s="3795">
        <v>1997.87</v>
      </c>
    </row>
    <row r="20" spans="3:9">
      <c r="C20" s="3796" t="s">
        <v>3415</v>
      </c>
      <c r="D20" s="3794">
        <v>3995.74</v>
      </c>
      <c r="E20" s="3794"/>
      <c r="F20" s="3794">
        <f t="shared" si="0"/>
        <v>3995.74</v>
      </c>
      <c r="G20" s="3794">
        <f t="shared" si="1"/>
        <v>3995.74</v>
      </c>
      <c r="H20" s="3794">
        <v>1997.87</v>
      </c>
      <c r="I20" s="3795">
        <v>1997.87</v>
      </c>
    </row>
    <row r="21" spans="3:9">
      <c r="C21" s="3796" t="s">
        <v>3416</v>
      </c>
      <c r="D21" s="3794">
        <v>3995.74</v>
      </c>
      <c r="E21" s="3794"/>
      <c r="F21" s="3794">
        <f t="shared" si="0"/>
        <v>3995.74</v>
      </c>
      <c r="G21" s="3794">
        <f t="shared" si="1"/>
        <v>3995.74</v>
      </c>
      <c r="H21" s="3794">
        <v>1997.87</v>
      </c>
      <c r="I21" s="3795">
        <v>1997.87</v>
      </c>
    </row>
    <row r="22" spans="3:9">
      <c r="C22" s="3796" t="s">
        <v>3417</v>
      </c>
      <c r="D22" s="3794">
        <v>3995.74</v>
      </c>
      <c r="E22" s="3794"/>
      <c r="F22" s="3794">
        <f t="shared" si="0"/>
        <v>3995.74</v>
      </c>
      <c r="G22" s="3794">
        <f t="shared" si="1"/>
        <v>3995.74</v>
      </c>
      <c r="H22" s="3794">
        <v>1997.87</v>
      </c>
      <c r="I22" s="3795">
        <v>1997.87</v>
      </c>
    </row>
    <row r="23" spans="3:9">
      <c r="C23" s="3796" t="s">
        <v>3418</v>
      </c>
      <c r="D23" s="3794">
        <v>3995.74</v>
      </c>
      <c r="E23" s="3794"/>
      <c r="F23" s="3794">
        <f t="shared" si="0"/>
        <v>3995.74</v>
      </c>
      <c r="G23" s="3794">
        <f t="shared" si="1"/>
        <v>3995.74</v>
      </c>
      <c r="H23" s="3794">
        <v>1997.87</v>
      </c>
      <c r="I23" s="3795">
        <v>1997.87</v>
      </c>
    </row>
    <row r="24" spans="3:9">
      <c r="C24" s="3796" t="s">
        <v>3419</v>
      </c>
      <c r="D24" s="3794">
        <v>3995.74</v>
      </c>
      <c r="E24" s="3794"/>
      <c r="F24" s="3794">
        <f t="shared" si="0"/>
        <v>3995.74</v>
      </c>
      <c r="G24" s="3794">
        <f t="shared" si="1"/>
        <v>3995.74</v>
      </c>
      <c r="H24" s="3794">
        <v>1997.87</v>
      </c>
      <c r="I24" s="3795">
        <v>1997.87</v>
      </c>
    </row>
    <row r="25" spans="3:9">
      <c r="C25" s="3796" t="s">
        <v>3420</v>
      </c>
      <c r="D25" s="3794">
        <v>3995.74</v>
      </c>
      <c r="E25" s="3794"/>
      <c r="F25" s="3794">
        <f t="shared" si="0"/>
        <v>3995.74</v>
      </c>
      <c r="G25" s="3794">
        <f t="shared" si="1"/>
        <v>3995.74</v>
      </c>
      <c r="H25" s="3794">
        <v>1997.87</v>
      </c>
      <c r="I25" s="3795">
        <v>1997.87</v>
      </c>
    </row>
    <row r="26" spans="3:9">
      <c r="C26" s="3796" t="s">
        <v>3421</v>
      </c>
      <c r="D26" s="3794">
        <v>3995.74</v>
      </c>
      <c r="E26" s="3794"/>
      <c r="F26" s="3794">
        <f t="shared" si="0"/>
        <v>3995.74</v>
      </c>
      <c r="G26" s="3794">
        <f t="shared" si="1"/>
        <v>3995.74</v>
      </c>
      <c r="H26" s="3794">
        <v>1997.87</v>
      </c>
      <c r="I26" s="3795">
        <v>1997.87</v>
      </c>
    </row>
    <row r="27" spans="3:9">
      <c r="C27" s="3796" t="s">
        <v>3422</v>
      </c>
      <c r="D27" s="3794">
        <v>3995.74</v>
      </c>
      <c r="E27" s="3794"/>
      <c r="F27" s="3794">
        <f t="shared" si="0"/>
        <v>3995.74</v>
      </c>
      <c r="G27" s="3794">
        <f t="shared" si="1"/>
        <v>3995.74</v>
      </c>
      <c r="H27" s="3794">
        <v>1997.87</v>
      </c>
      <c r="I27" s="3795">
        <v>1997.87</v>
      </c>
    </row>
    <row r="28" spans="3:9">
      <c r="C28" s="3796" t="s">
        <v>3423</v>
      </c>
      <c r="D28" s="3794">
        <v>3995.74</v>
      </c>
      <c r="E28" s="3794"/>
      <c r="F28" s="3794">
        <f t="shared" si="0"/>
        <v>3995.74</v>
      </c>
      <c r="G28" s="3794">
        <f t="shared" si="1"/>
        <v>3995.74</v>
      </c>
      <c r="H28" s="3794">
        <v>1997.87</v>
      </c>
      <c r="I28" s="3795">
        <v>1997.87</v>
      </c>
    </row>
    <row r="29" spans="3:9">
      <c r="C29" s="3796" t="s">
        <v>3424</v>
      </c>
      <c r="D29" s="3794">
        <v>3995.74</v>
      </c>
      <c r="E29" s="3794"/>
      <c r="F29" s="3794">
        <f t="shared" si="0"/>
        <v>3995.74</v>
      </c>
      <c r="G29" s="3794">
        <f t="shared" si="1"/>
        <v>3995.74</v>
      </c>
      <c r="H29" s="3794">
        <v>1997.87</v>
      </c>
      <c r="I29" s="3795">
        <v>1997.87</v>
      </c>
    </row>
    <row r="30" spans="3:9">
      <c r="C30" s="3796" t="s">
        <v>3425</v>
      </c>
      <c r="D30" s="3794">
        <v>3995.74</v>
      </c>
      <c r="E30" s="3794"/>
      <c r="F30" s="3794">
        <f t="shared" si="0"/>
        <v>3995.74</v>
      </c>
      <c r="G30" s="3794">
        <f t="shared" si="1"/>
        <v>3995.74</v>
      </c>
      <c r="H30" s="3794">
        <v>1997.87</v>
      </c>
      <c r="I30" s="3795">
        <v>1997.87</v>
      </c>
    </row>
    <row r="31" spans="3:9">
      <c r="C31" s="3796" t="s">
        <v>3426</v>
      </c>
      <c r="D31" s="3794">
        <v>3995.74</v>
      </c>
      <c r="E31" s="3794"/>
      <c r="F31" s="3794">
        <f t="shared" si="0"/>
        <v>3995.74</v>
      </c>
      <c r="G31" s="3794">
        <f t="shared" si="1"/>
        <v>3995.74</v>
      </c>
      <c r="H31" s="3794">
        <v>1997.87</v>
      </c>
      <c r="I31" s="3795">
        <v>1997.87</v>
      </c>
    </row>
    <row r="32" spans="3:9">
      <c r="C32" s="3796" t="s">
        <v>3427</v>
      </c>
      <c r="D32" s="3794">
        <v>3995.74</v>
      </c>
      <c r="E32" s="3794"/>
      <c r="F32" s="3794">
        <f t="shared" si="0"/>
        <v>3995.74</v>
      </c>
      <c r="G32" s="3794">
        <f t="shared" si="1"/>
        <v>3995.74</v>
      </c>
      <c r="H32" s="3794">
        <v>1997.87</v>
      </c>
      <c r="I32" s="3795">
        <v>1997.87</v>
      </c>
    </row>
    <row r="33" spans="3:9">
      <c r="C33" s="3796" t="s">
        <v>3428</v>
      </c>
      <c r="D33" s="3794">
        <v>634.79999999999995</v>
      </c>
      <c r="E33" s="3794"/>
      <c r="F33" s="3794">
        <f t="shared" si="0"/>
        <v>634.79999999999995</v>
      </c>
      <c r="G33" s="3794">
        <f t="shared" si="1"/>
        <v>634.79999999999995</v>
      </c>
      <c r="H33" s="3794">
        <v>317.39999999999998</v>
      </c>
      <c r="I33" s="3795">
        <v>317.39999999999998</v>
      </c>
    </row>
    <row r="34" spans="3:9">
      <c r="C34" s="3796" t="s">
        <v>3429</v>
      </c>
      <c r="D34" s="3794">
        <f>SUM(D5:D33)</f>
        <v>139405.55000000008</v>
      </c>
      <c r="E34" s="3794">
        <f>SUM(E5:E33)</f>
        <v>10687.49</v>
      </c>
      <c r="F34" s="3794">
        <f t="shared" si="0"/>
        <v>128718.06000000007</v>
      </c>
      <c r="G34" s="3794">
        <f t="shared" ref="G34:I34" si="2">SUM(G5:G33)</f>
        <v>128718.16000000006</v>
      </c>
      <c r="H34" s="3794">
        <f t="shared" si="2"/>
        <v>67180.950000000026</v>
      </c>
      <c r="I34" s="3795">
        <f t="shared" si="2"/>
        <v>61537.210000000036</v>
      </c>
    </row>
    <row r="35" spans="3:9">
      <c r="C35" s="3792"/>
      <c r="D35" s="3794"/>
      <c r="E35" s="3794"/>
      <c r="F35" s="3794"/>
      <c r="G35" s="3794"/>
      <c r="H35" s="3794"/>
      <c r="I35" s="3794"/>
    </row>
  </sheetData>
  <phoneticPr fontId="13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1"/>
  <sheetViews>
    <sheetView workbookViewId="0">
      <selection activeCell="H16" sqref="H16"/>
    </sheetView>
  </sheetViews>
  <sheetFormatPr defaultRowHeight="13.5"/>
  <cols>
    <col min="1" max="7" width="9" style="3787"/>
    <col min="8" max="8" width="12.75" style="3787" bestFit="1" customWidth="1"/>
    <col min="9" max="16384" width="9" style="3787"/>
  </cols>
  <sheetData>
    <row r="2" spans="2:8">
      <c r="B2" s="3789" t="s">
        <v>3430</v>
      </c>
    </row>
    <row r="3" spans="2:8">
      <c r="B3" s="3797"/>
      <c r="C3" s="3798" t="s">
        <v>3431</v>
      </c>
      <c r="D3" s="3798" t="s">
        <v>3432</v>
      </c>
      <c r="E3" s="3798" t="s">
        <v>3433</v>
      </c>
      <c r="F3" s="3797"/>
      <c r="G3" s="3799" t="s">
        <v>3434</v>
      </c>
    </row>
    <row r="4" spans="2:8">
      <c r="B4" s="3800" t="s">
        <v>3435</v>
      </c>
      <c r="C4" s="3801">
        <f>C5+C6</f>
        <v>61537.210000000036</v>
      </c>
      <c r="D4" s="3801">
        <f>E4/C4</f>
        <v>3198.2621571566215</v>
      </c>
      <c r="E4" s="3801">
        <f>E5+E6</f>
        <v>196812130.00000012</v>
      </c>
      <c r="F4" s="3797"/>
      <c r="G4" s="3802">
        <v>1</v>
      </c>
    </row>
    <row r="5" spans="2:8">
      <c r="B5" s="3798" t="s">
        <v>3436</v>
      </c>
      <c r="C5" s="3803">
        <f>面积表!I34-取值过程!C6</f>
        <v>55436.960000000036</v>
      </c>
      <c r="D5" s="3797">
        <v>3000</v>
      </c>
      <c r="E5" s="3797">
        <f>D5*C5</f>
        <v>166310880.00000012</v>
      </c>
      <c r="F5" s="3797"/>
      <c r="G5" s="3797"/>
    </row>
    <row r="6" spans="2:8">
      <c r="B6" s="3798" t="s">
        <v>3437</v>
      </c>
      <c r="C6" s="3797">
        <f>面积表!I5+面积表!I6+面积表!I7</f>
        <v>6100.25</v>
      </c>
      <c r="D6" s="3797">
        <v>5000</v>
      </c>
      <c r="E6" s="3797">
        <f t="shared" ref="E6:E9" si="0">D6*C6</f>
        <v>30501250</v>
      </c>
      <c r="F6" s="3797"/>
      <c r="G6" s="3797"/>
    </row>
    <row r="7" spans="2:8">
      <c r="B7" s="3800" t="s">
        <v>3438</v>
      </c>
      <c r="C7" s="3801">
        <f>C4</f>
        <v>61537.210000000036</v>
      </c>
      <c r="D7" s="3801">
        <v>500</v>
      </c>
      <c r="E7" s="3801">
        <f>D7*C7</f>
        <v>30768605.000000019</v>
      </c>
      <c r="F7" s="3797"/>
      <c r="G7" s="3802">
        <v>1</v>
      </c>
    </row>
    <row r="8" spans="2:8">
      <c r="B8" s="3800" t="s">
        <v>3439</v>
      </c>
      <c r="C8" s="3801">
        <f>C4</f>
        <v>61537.210000000036</v>
      </c>
      <c r="D8" s="3801">
        <v>2000</v>
      </c>
      <c r="E8" s="3801">
        <f>D8*C8</f>
        <v>123074420.00000007</v>
      </c>
      <c r="F8" s="3797"/>
      <c r="G8" s="3802">
        <v>1</v>
      </c>
    </row>
    <row r="9" spans="2:8">
      <c r="B9" s="3800" t="s">
        <v>3440</v>
      </c>
      <c r="C9" s="3801">
        <v>0</v>
      </c>
      <c r="D9" s="3801">
        <f>D6</f>
        <v>5000</v>
      </c>
      <c r="E9" s="3801">
        <f t="shared" si="0"/>
        <v>0</v>
      </c>
      <c r="F9" s="3797"/>
      <c r="G9" s="3797"/>
    </row>
    <row r="10" spans="2:8">
      <c r="B10" s="3798" t="s">
        <v>3441</v>
      </c>
      <c r="C10" s="3797">
        <f>C4</f>
        <v>61537.210000000036</v>
      </c>
      <c r="D10" s="3797">
        <f>E10/C10</f>
        <v>5698.2621571566215</v>
      </c>
      <c r="E10" s="3797">
        <f>E4+E7+E8+E9</f>
        <v>350655155.00000024</v>
      </c>
      <c r="F10" s="3797"/>
      <c r="G10" s="3800">
        <f>(G4*E4+G7*E7+G8*E8)/E10</f>
        <v>1</v>
      </c>
    </row>
    <row r="14" spans="2:8">
      <c r="B14" s="3789" t="s">
        <v>3442</v>
      </c>
    </row>
    <row r="15" spans="2:8">
      <c r="B15" s="3797"/>
      <c r="C15" s="3798" t="s">
        <v>3443</v>
      </c>
      <c r="D15" s="3798"/>
      <c r="E15" s="3798" t="s">
        <v>3444</v>
      </c>
      <c r="F15" s="3798" t="s">
        <v>3445</v>
      </c>
      <c r="G15" s="3798" t="s">
        <v>3446</v>
      </c>
      <c r="H15" s="3799" t="s">
        <v>3447</v>
      </c>
    </row>
    <row r="16" spans="2:8">
      <c r="B16" s="3800" t="s">
        <v>3448</v>
      </c>
      <c r="C16" s="3801">
        <v>2012</v>
      </c>
      <c r="D16" s="3801">
        <v>2024</v>
      </c>
      <c r="E16" s="3801">
        <v>50</v>
      </c>
      <c r="F16" s="3797">
        <v>60</v>
      </c>
      <c r="G16" s="3797">
        <v>0</v>
      </c>
      <c r="H16" s="3804">
        <f>ROUND((1-G16)-(D16-C16)/F16,2)</f>
        <v>0.8</v>
      </c>
    </row>
    <row r="17" spans="2:10">
      <c r="B17" s="3798" t="s">
        <v>3449</v>
      </c>
      <c r="C17" s="3803"/>
      <c r="D17" s="3797"/>
      <c r="E17" s="3797"/>
      <c r="F17" s="3797"/>
      <c r="G17" s="3797"/>
      <c r="H17" s="3802">
        <v>0.85</v>
      </c>
    </row>
    <row r="18" spans="2:10">
      <c r="B18" s="3798"/>
      <c r="C18" s="3797"/>
      <c r="D18" s="3797"/>
      <c r="E18" s="3797"/>
      <c r="F18" s="3797"/>
      <c r="G18" s="3797"/>
      <c r="H18" s="3805">
        <f>ROUND((H17+H16)/2,2)</f>
        <v>0.83</v>
      </c>
    </row>
    <row r="21" spans="2:10">
      <c r="B21" s="3789" t="s">
        <v>3450</v>
      </c>
      <c r="D21" s="3789" t="s">
        <v>3451</v>
      </c>
      <c r="F21" s="3789"/>
    </row>
    <row r="22" spans="2:10">
      <c r="B22" s="3798" t="s">
        <v>3452</v>
      </c>
      <c r="C22" s="3806" t="s">
        <v>3453</v>
      </c>
      <c r="D22" s="3798" t="s">
        <v>3431</v>
      </c>
      <c r="E22" s="3798" t="s">
        <v>3454</v>
      </c>
      <c r="F22" s="3798" t="s">
        <v>3455</v>
      </c>
      <c r="G22" s="3798"/>
      <c r="H22" s="3787" t="s">
        <v>3456</v>
      </c>
    </row>
    <row r="23" spans="2:10">
      <c r="B23" s="3798">
        <v>1</v>
      </c>
      <c r="C23" s="3797">
        <v>1</v>
      </c>
      <c r="D23" s="3797">
        <f>'[2]数据-基础表'!I14</f>
        <v>1278.48</v>
      </c>
      <c r="E23" s="3797">
        <f>J23*H23</f>
        <v>0</v>
      </c>
      <c r="F23" s="3807">
        <f>F30/C30</f>
        <v>69827.830168397108</v>
      </c>
      <c r="G23" s="3797"/>
      <c r="H23" s="3808">
        <v>0.7</v>
      </c>
      <c r="J23" s="3797"/>
    </row>
    <row r="24" spans="2:10">
      <c r="B24" s="3798">
        <v>2</v>
      </c>
      <c r="C24" s="3803">
        <v>0.7</v>
      </c>
      <c r="D24" s="3797">
        <f>'[2]数据-基础表'!I15</f>
        <v>1161.4100000000001</v>
      </c>
      <c r="E24" s="3797">
        <f t="shared" ref="E24:E28" si="1">J24*H24</f>
        <v>0</v>
      </c>
      <c r="F24" s="3807">
        <f>$F$23*C24</f>
        <v>48879.481117877971</v>
      </c>
      <c r="G24" s="3797"/>
      <c r="H24" s="3808">
        <v>0.9</v>
      </c>
      <c r="J24" s="3797">
        <f>$J$23*C24</f>
        <v>0</v>
      </c>
    </row>
    <row r="25" spans="2:10">
      <c r="B25" s="3798">
        <v>3</v>
      </c>
      <c r="C25" s="3797">
        <v>0.6</v>
      </c>
      <c r="D25" s="3797">
        <f>'[2]数据-基础表'!I16</f>
        <v>1921.63</v>
      </c>
      <c r="E25" s="3797">
        <f t="shared" si="1"/>
        <v>0</v>
      </c>
      <c r="F25" s="3807">
        <f t="shared" ref="F25:F28" si="2">$F$23*C25</f>
        <v>41896.698101038266</v>
      </c>
      <c r="G25" s="3797"/>
      <c r="H25" s="3809">
        <v>0.8</v>
      </c>
      <c r="J25" s="3797">
        <f>$J$23*C25</f>
        <v>0</v>
      </c>
    </row>
    <row r="26" spans="2:10">
      <c r="B26" s="3798">
        <v>4</v>
      </c>
      <c r="C26" s="3803">
        <v>0.55000000000000004</v>
      </c>
      <c r="D26" s="3797">
        <f>'[2]数据-基础表'!I17</f>
        <v>2022.65</v>
      </c>
      <c r="E26" s="3797">
        <f t="shared" si="1"/>
        <v>0</v>
      </c>
      <c r="F26" s="3807">
        <f t="shared" si="2"/>
        <v>38405.306592618414</v>
      </c>
      <c r="G26" s="3797"/>
      <c r="H26" s="3809">
        <v>0.9</v>
      </c>
      <c r="J26" s="3797">
        <f>$J$23*C26</f>
        <v>0</v>
      </c>
    </row>
    <row r="27" spans="2:10">
      <c r="B27" s="3798">
        <v>5</v>
      </c>
      <c r="C27" s="3797">
        <v>0.5</v>
      </c>
      <c r="D27" s="3797">
        <f>'[2]数据-基础表'!I18</f>
        <v>2110.58</v>
      </c>
      <c r="E27" s="3797">
        <f t="shared" si="1"/>
        <v>0</v>
      </c>
      <c r="F27" s="3807">
        <f t="shared" si="2"/>
        <v>34913.915084198554</v>
      </c>
      <c r="G27" s="3797"/>
      <c r="H27" s="3808">
        <v>1</v>
      </c>
      <c r="J27" s="3797">
        <f>$J$23*C27</f>
        <v>0</v>
      </c>
    </row>
    <row r="28" spans="2:10">
      <c r="B28" s="3798" t="s">
        <v>3457</v>
      </c>
      <c r="C28" s="3797">
        <v>0.5</v>
      </c>
      <c r="D28" s="3797">
        <f>'[2]数据-基础表'!K13</f>
        <v>2845.98</v>
      </c>
      <c r="E28" s="3797">
        <f t="shared" si="1"/>
        <v>0</v>
      </c>
      <c r="F28" s="3807">
        <f t="shared" si="2"/>
        <v>34913.915084198554</v>
      </c>
      <c r="G28" s="3797"/>
      <c r="H28" s="3808">
        <v>1</v>
      </c>
      <c r="J28" s="3797">
        <f>J27</f>
        <v>0</v>
      </c>
    </row>
    <row r="29" spans="2:10">
      <c r="B29" s="3798" t="s">
        <v>3458</v>
      </c>
      <c r="C29" s="3797">
        <v>0.3</v>
      </c>
      <c r="D29" s="3797">
        <v>0</v>
      </c>
      <c r="E29" s="3797">
        <v>0</v>
      </c>
      <c r="F29" s="3797"/>
      <c r="G29" s="3797"/>
    </row>
    <row r="30" spans="2:10">
      <c r="B30" s="3798" t="s">
        <v>3459</v>
      </c>
      <c r="C30" s="3810">
        <f>SUMPRODUCT(C23:C28,D23:D28)/D30</f>
        <v>0.60271098068642848</v>
      </c>
      <c r="D30" s="3797">
        <f>SUM(D23:D29)</f>
        <v>11340.73</v>
      </c>
      <c r="E30" s="3810">
        <f>SUMPRODUCT(E23:E28,D23:D28)/D30</f>
        <v>0</v>
      </c>
      <c r="F30" s="3797">
        <f>[2]结果表!G20</f>
        <v>42086</v>
      </c>
      <c r="G30" s="3810"/>
      <c r="H30" s="3811"/>
    </row>
    <row r="31" spans="2:10">
      <c r="B31" s="3798"/>
      <c r="C31" s="3797"/>
      <c r="D31" s="3797"/>
      <c r="E31" s="3797"/>
      <c r="F31" s="3797"/>
      <c r="G31" s="379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面积表!J3</f>
        <v>15323.04</v>
      </c>
      <c r="B3" s="11">
        <f>IF(C3="否",G5-AT5,G5)</f>
        <v>61537.210000000036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61537.210000000036</v>
      </c>
      <c r="H5" s="13">
        <f t="shared" ref="H5:AT5" si="0">SUM(H13:H656)</f>
        <v>61537.210000000036</v>
      </c>
      <c r="I5" s="13">
        <f t="shared" si="0"/>
        <v>55436.960000000036</v>
      </c>
      <c r="J5" s="13">
        <f t="shared" si="0"/>
        <v>0</v>
      </c>
      <c r="K5" s="13">
        <f t="shared" si="0"/>
        <v>6100.25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61537.210000000036</v>
      </c>
      <c r="BA5" s="15">
        <f t="shared" si="1"/>
        <v>61537.210000000036</v>
      </c>
      <c r="BB5" s="15">
        <f t="shared" si="1"/>
        <v>55436.960000000036</v>
      </c>
      <c r="BC5" s="15">
        <f t="shared" si="1"/>
        <v>6100.25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15323.039999999999</v>
      </c>
      <c r="F6" s="13" t="s">
        <v>0</v>
      </c>
      <c r="G6" s="13" t="s">
        <v>1</v>
      </c>
      <c r="H6" s="17">
        <f>SUMIF(I$12:AB$12,"总值",I6:AB6)</f>
        <v>15323.039999999999</v>
      </c>
      <c r="I6" s="13">
        <f t="shared" ref="I6:AB6" si="2">ROUND($A$3*I5/$B$3,2)</f>
        <v>13804.05</v>
      </c>
      <c r="J6" s="13">
        <f t="shared" si="2"/>
        <v>0</v>
      </c>
      <c r="K6" s="13">
        <f t="shared" si="2"/>
        <v>1518.99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15323.04</v>
      </c>
      <c r="AZ6" s="13" t="s">
        <v>2</v>
      </c>
      <c r="BA6" s="13">
        <f>ROUND($AY$6*BA5/$AZ$5,2)</f>
        <v>15323.04</v>
      </c>
      <c r="BB6" s="13">
        <f>ROUND($AY$6*BB5/$AZ$5,2)</f>
        <v>13804.05</v>
      </c>
      <c r="BC6" s="13">
        <f t="shared" ref="BC6:BH6" si="4">ROUND($AY$6*BC5/$AZ$5,2)</f>
        <v>1518.99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3460</v>
      </c>
      <c r="J9" s="809"/>
      <c r="K9" s="1603" t="s">
        <v>3461</v>
      </c>
      <c r="L9" s="809"/>
      <c r="M9" s="1603" t="s">
        <v>3461</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3332</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3464</v>
      </c>
      <c r="E13" s="13">
        <f>IF($C$3="是",ROUND($A$3*G13/$B$3,2),ROUND($A$3*(G13-AT13)/$B$3,2))</f>
        <v>15323.04</v>
      </c>
      <c r="F13" s="29"/>
      <c r="G13" s="30">
        <f>H13+AC13+AT13</f>
        <v>61537.210000000036</v>
      </c>
      <c r="H13" s="17">
        <f>SUMIF(I$12:AB$12,"总值",I13:AB13)</f>
        <v>61537.210000000036</v>
      </c>
      <c r="I13" s="1626">
        <f>面积表!I34-'数据-基础表'!K13-'数据-基础表'!M13</f>
        <v>55436.960000000036</v>
      </c>
      <c r="J13" s="1626"/>
      <c r="K13" s="1626">
        <f>面积表!I5+面积表!I6+面积表!I7</f>
        <v>6100.25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15323.04</v>
      </c>
      <c r="AZ13" s="13">
        <f>BA13+BL13</f>
        <v>61537.210000000036</v>
      </c>
      <c r="BA13" s="13">
        <f>SUM(BB13:BK13)</f>
        <v>61537.210000000036</v>
      </c>
      <c r="BB13" s="13">
        <f>IF($D13="是",I13-J13,0)</f>
        <v>55436.960000000036</v>
      </c>
      <c r="BC13" s="13">
        <f>IF($D13="是",K13-L13,0)</f>
        <v>6100.25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7" t="s">
        <v>1131</v>
      </c>
      <c r="B2" s="3527"/>
      <c r="C2" s="3527"/>
      <c r="D2" s="796" t="s">
        <v>1107</v>
      </c>
      <c r="E2" s="1639" t="s">
        <v>1108</v>
      </c>
      <c r="F2" s="2657"/>
      <c r="G2" s="2648"/>
      <c r="H2" s="2649"/>
      <c r="I2" s="2325" t="s">
        <v>1132</v>
      </c>
      <c r="J2" s="2657"/>
      <c r="K2" s="2657"/>
      <c r="L2" s="2657"/>
      <c r="M2" s="2657"/>
      <c r="N2" s="2659"/>
      <c r="O2" s="2657"/>
      <c r="P2" s="2657"/>
    </row>
    <row r="3" spans="1:16" ht="15.75" thickBot="1">
      <c r="A3" s="3528" t="s">
        <v>1105</v>
      </c>
      <c r="B3" s="3528"/>
      <c r="C3" s="3528"/>
      <c r="D3" s="43">
        <f>'数据-基础表'!AY6</f>
        <v>15323.04</v>
      </c>
      <c r="E3" s="43">
        <f>'数据-基础表'!AZ5</f>
        <v>61537.210000000036</v>
      </c>
      <c r="F3" s="2657"/>
      <c r="G3" s="1145"/>
      <c r="H3" s="1026" t="s">
        <v>1106</v>
      </c>
      <c r="I3" s="855">
        <f>ROUND('数据-基础表'!B3/'数据-基础表'!A3,2)</f>
        <v>4.0199999999999996</v>
      </c>
      <c r="J3" s="2657"/>
      <c r="K3" s="2657"/>
      <c r="L3" s="2657"/>
      <c r="M3" s="2657"/>
      <c r="N3" s="2659"/>
      <c r="O3" s="2657"/>
      <c r="P3" s="2657"/>
    </row>
    <row r="4" spans="1:16" ht="15">
      <c r="A4" s="3529"/>
      <c r="B4" s="3530"/>
      <c r="C4" s="3531"/>
      <c r="D4" s="1641" t="s">
        <v>1107</v>
      </c>
      <c r="E4" s="1642" t="s">
        <v>1108</v>
      </c>
      <c r="F4" s="2657"/>
      <c r="G4" s="2650" t="s">
        <v>1133</v>
      </c>
      <c r="H4" s="1026" t="s">
        <v>1113</v>
      </c>
      <c r="I4" s="855">
        <f>ROUND(SUMIF('数据-基础表'!I9:AS9,"地上",'数据-基础表'!I5:AS5)/'数据-基础表'!A3,2)</f>
        <v>3.62</v>
      </c>
      <c r="J4" s="2657"/>
      <c r="K4" s="2657"/>
      <c r="L4" s="2657"/>
      <c r="M4" s="2657"/>
      <c r="N4" s="2659"/>
      <c r="O4" s="2657"/>
      <c r="P4" s="2657"/>
    </row>
    <row r="5" spans="1:16">
      <c r="A5" s="44" t="s">
        <v>1109</v>
      </c>
      <c r="B5" s="3532" t="s">
        <v>1110</v>
      </c>
      <c r="C5" s="3532"/>
      <c r="D5" s="45">
        <f>ROUND($D$3*E5/$E$3,2)</f>
        <v>0</v>
      </c>
      <c r="E5" s="46">
        <f>SUMIF('数据-基础表'!$11:$11,"住宅",'数据-基础表'!$5:$5)</f>
        <v>0</v>
      </c>
      <c r="F5" s="2657"/>
      <c r="G5" s="1145"/>
      <c r="H5" s="1026" t="s">
        <v>1106</v>
      </c>
      <c r="I5" s="855">
        <f>ROUND(E31/D31,2)</f>
        <v>4.0199999999999996</v>
      </c>
      <c r="J5" s="2657"/>
      <c r="K5" s="2657"/>
      <c r="L5" s="2657"/>
      <c r="M5" s="2657"/>
      <c r="N5" s="2657"/>
      <c r="O5" s="2657"/>
      <c r="P5" s="2657"/>
    </row>
    <row r="6" spans="1:16" ht="15" thickBot="1">
      <c r="A6" s="1644"/>
      <c r="B6" s="3532" t="s">
        <v>1111</v>
      </c>
      <c r="C6" s="3532"/>
      <c r="D6" s="45">
        <f>ROUND($D$3*E6/$E$3,2)</f>
        <v>15323.04</v>
      </c>
      <c r="E6" s="46">
        <f>E3-E5</f>
        <v>61537.210000000036</v>
      </c>
      <c r="F6" s="2657"/>
      <c r="G6" s="2651" t="s">
        <v>1112</v>
      </c>
      <c r="H6" s="1146" t="s">
        <v>1113</v>
      </c>
      <c r="I6" s="2652">
        <f>ROUND(F31/D31,2)</f>
        <v>3.62</v>
      </c>
      <c r="J6" s="2657"/>
      <c r="K6" s="2657"/>
      <c r="L6" s="2657"/>
      <c r="M6" s="2657"/>
      <c r="N6" s="2657"/>
      <c r="O6" s="2657"/>
      <c r="P6" s="2657"/>
    </row>
    <row r="7" spans="1:16" ht="15.75" thickBot="1">
      <c r="A7" s="3524"/>
      <c r="B7" s="3525"/>
      <c r="C7" s="3526"/>
      <c r="D7" s="1641" t="s">
        <v>1107</v>
      </c>
      <c r="E7" s="1645" t="s">
        <v>1114</v>
      </c>
      <c r="F7" s="2657"/>
      <c r="G7" s="2653" t="s">
        <v>1115</v>
      </c>
      <c r="H7" s="2654"/>
      <c r="I7" s="2655">
        <f>面积表!E2</f>
        <v>3.16</v>
      </c>
      <c r="J7" s="2657"/>
      <c r="K7" s="2657"/>
      <c r="L7" s="2657"/>
      <c r="M7" s="2657"/>
      <c r="N7" s="2657"/>
      <c r="O7" s="2657"/>
      <c r="P7" s="2657"/>
    </row>
    <row r="8" spans="1:16">
      <c r="A8" s="44" t="s">
        <v>1116</v>
      </c>
      <c r="B8" s="47" t="s">
        <v>1117</v>
      </c>
      <c r="C8" s="45" t="s">
        <v>1118</v>
      </c>
      <c r="D8" s="45">
        <f t="shared" ref="D8:D15" si="0">ROUND($D$3*E8/$E$3,2)</f>
        <v>13804.05</v>
      </c>
      <c r="E8" s="48">
        <f>SUMIF('数据-基础表'!BB10:BK10,"地上",'数据-基础表'!BB5:BK5)</f>
        <v>55436.960000000036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1518.99</v>
      </c>
      <c r="E11" s="48">
        <f>SUMPRODUCT(('数据-基础表'!BB10:BK10="地下")*('数据-基础表'!BB11:BK11="办公")*('数据-基础表'!BB5:BK5))+'数据-基础表'!BP5</f>
        <v>6100.25</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15323.039999999999</v>
      </c>
      <c r="E16" s="50">
        <f>SUM(E8:E15)</f>
        <v>61537.210000000036</v>
      </c>
      <c r="F16" s="2657"/>
      <c r="G16" s="2658"/>
      <c r="H16" s="1648" t="s">
        <v>1135</v>
      </c>
      <c r="I16" s="1649"/>
      <c r="J16" s="1139"/>
      <c r="K16" s="3521" t="s">
        <v>1135</v>
      </c>
      <c r="L16" s="3522"/>
      <c r="M16" s="3522"/>
      <c r="N16" s="3522"/>
      <c r="O16" s="3522"/>
      <c r="P16" s="3523"/>
    </row>
    <row r="17" spans="1:19" ht="15">
      <c r="A17" s="1650" t="s">
        <v>1136</v>
      </c>
      <c r="B17" s="1651" t="s">
        <v>1137</v>
      </c>
      <c r="C17" s="1652" t="s">
        <v>1138</v>
      </c>
      <c r="D17" s="1653" t="s">
        <v>1126</v>
      </c>
      <c r="E17" s="1654" t="s">
        <v>1127</v>
      </c>
      <c r="F17" s="1655"/>
      <c r="G17" s="1656"/>
      <c r="H17" s="1657" t="s">
        <v>1139</v>
      </c>
      <c r="I17" s="1658" t="s">
        <v>1124</v>
      </c>
      <c r="J17" s="1139"/>
      <c r="K17" s="3518" t="s">
        <v>1140</v>
      </c>
      <c r="L17" s="3519"/>
      <c r="M17" s="3520"/>
      <c r="N17" s="3518" t="s">
        <v>1141</v>
      </c>
      <c r="O17" s="3519"/>
      <c r="P17" s="352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3463</v>
      </c>
      <c r="D19" s="45">
        <f>ROUND($D$3*E19/$E$3,2)</f>
        <v>15323.04</v>
      </c>
      <c r="E19" s="53">
        <f t="shared" ref="E19:E26" si="1">SUM(F19:G19)</f>
        <v>61537.210000000036</v>
      </c>
      <c r="F19" s="2792">
        <f>'数据-基础表'!I13</f>
        <v>55436.960000000036</v>
      </c>
      <c r="G19" s="2793">
        <f>'数据-基础表'!K13+'数据-基础表'!M13</f>
        <v>6100.25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15323.04</v>
      </c>
      <c r="S19" s="1027">
        <f t="shared" si="5"/>
        <v>61537.210000000036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15323.04</v>
      </c>
      <c r="E27" s="1141">
        <f>IF(SUM(E19:E26)='数据-基础表'!BA5,SUM(E19:E26),IF(F27="地上面积有误","面积有误","地下面积有误"))</f>
        <v>61537.210000000036</v>
      </c>
      <c r="F27" s="1140">
        <f>IF(SUM(F19:F26)=E8,SUM(F19:F26),"地上面积有误")</f>
        <v>55436.960000000036</v>
      </c>
      <c r="G27" s="1142">
        <f>SUM(G19:G26)</f>
        <v>6100.25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15323.04</v>
      </c>
      <c r="S27" s="1026">
        <f>IF(SUM(S19:S26)=$E$3,SUM(S19:S26),SUM(S19:S26)&amp;"误差"&amp;ROUND(SUM(S19:S26)-E3,2))</f>
        <v>61537.210000000036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15323.04</v>
      </c>
      <c r="E31" s="676">
        <f>E27+E30</f>
        <v>61537.210000000036</v>
      </c>
      <c r="F31" s="677">
        <f>F27+F30</f>
        <v>55436.960000000036</v>
      </c>
      <c r="G31" s="678">
        <f>G27+G30</f>
        <v>6100.25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O31" sqref="AO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45352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朝林广场B座</v>
      </c>
      <c r="B6" s="1713" t="str">
        <f>IF(A6=0,"","经营性")</f>
        <v>经营性</v>
      </c>
      <c r="C6" s="1714" t="s">
        <v>21</v>
      </c>
      <c r="D6" s="858">
        <f>SUMIF(项目基本情况!C$12:I$12,C6,项目基本情况!C$14:I$14)</f>
        <v>50</v>
      </c>
      <c r="E6" s="857">
        <f>IF(B6="","",SUMIF(项目基本情况!C$12:I$12,C6,项目基本情况!C$13:I$13))</f>
        <v>56317</v>
      </c>
      <c r="F6" s="64">
        <f>SUMIF(项目基本情况!C$12:I$12,C6,项目基本情况!C$15:I$15)</f>
        <v>30.04</v>
      </c>
      <c r="G6" s="65">
        <f>IF(ISERROR(ROUND(POWER(1+H6,D6-F6)*(POWER(1+H6,F6)-1)/(POWER(1+H6,D6)-1),3)),0,ROUND(POWER(1+H6,D6-F6)*(POWER(1+H6,F6)-1)/(POWER(1+H6,D6)-1),3))</f>
        <v>0.84299999999999997</v>
      </c>
      <c r="H6" s="732">
        <v>0.05</v>
      </c>
      <c r="I6" s="3812">
        <v>5.5E-2</v>
      </c>
      <c r="J6" s="66">
        <v>7.0000000000000007E-2</v>
      </c>
      <c r="K6" s="1030">
        <f>SUMIF('数据-汇总表'!C$19:C$33,A6,'数据-汇总表'!E$19:E$33)</f>
        <v>61537.210000000036</v>
      </c>
      <c r="L6" s="733">
        <v>5700</v>
      </c>
      <c r="M6" s="67">
        <f t="shared" ref="M6:M14" si="0">ROUND(K6*L6/10000,0)</f>
        <v>35076</v>
      </c>
      <c r="N6" s="731">
        <f>取值过程!H18</f>
        <v>0.83</v>
      </c>
      <c r="O6" s="67" t="str">
        <f>IF($N$5="成新度","——",ROUND(M6*N6,0))</f>
        <v>——</v>
      </c>
      <c r="P6" s="68" t="str">
        <f>IF($N$5="成新度","——",M6-O6)</f>
        <v>——</v>
      </c>
      <c r="Q6" s="734">
        <v>0.2</v>
      </c>
      <c r="R6" s="69">
        <f ca="1">SUMIF('数据-汇总表'!C$19:C$33,A6,'数据-汇总表'!R$19:R$27)</f>
        <v>15323.04</v>
      </c>
      <c r="S6" s="51">
        <f>IF('数据-汇总表'!$I$17="按面积比例",SUMIF('数据-汇总表'!C$19:C$33,A6,'数据-汇总表'!K$19:K$33),SUMIF('数据-汇总表'!C$19:C$33,A6,'数据-汇总表'!N$19:N$33))</f>
        <v>0</v>
      </c>
      <c r="T6" s="1172">
        <f>ROUND($L$14*S6/10000,0)</f>
        <v>0</v>
      </c>
      <c r="U6" s="3425">
        <v>6</v>
      </c>
      <c r="V6" s="70">
        <v>0.02</v>
      </c>
      <c r="W6" s="70">
        <v>0.1</v>
      </c>
      <c r="X6" s="1040"/>
      <c r="Y6" s="71">
        <f>N6</f>
        <v>0.83</v>
      </c>
      <c r="Z6" s="72"/>
      <c r="AA6" s="66"/>
      <c r="AB6" s="66"/>
      <c r="AC6" s="1040"/>
      <c r="AD6" s="73"/>
      <c r="AE6" s="1041">
        <f ca="1">IF(AN6="",0,SUMIF(INDIRECT("'"&amp;AN6&amp;"'"&amp;"!E:E"),$AE$5,INDIRECT("'"&amp;AN6&amp;"'"&amp;"!F:F")))</f>
        <v>30.04</v>
      </c>
      <c r="AF6" s="1348"/>
      <c r="AG6" s="138">
        <f>IF(AF6="",0,AE6-AF6)</f>
        <v>0</v>
      </c>
      <c r="AH6" s="74"/>
      <c r="AI6" s="76">
        <v>365</v>
      </c>
      <c r="AJ6" s="78"/>
      <c r="AK6" s="78">
        <v>5.0000000000000001E-3</v>
      </c>
      <c r="AL6" s="79">
        <v>1E-3</v>
      </c>
      <c r="AM6" s="80">
        <f>AK6</f>
        <v>5.0000000000000001E-3</v>
      </c>
      <c r="AN6" s="1715" t="s">
        <v>3466</v>
      </c>
      <c r="AO6" s="52">
        <f ca="1">SUMIF(INDIRECT("'"&amp;AN6&amp;"'"&amp;"!A:A"),"总价",INDIRECT("'"&amp;AN6&amp;"'"&amp;"!B:B"))</f>
        <v>179645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0.84299999999999997</v>
      </c>
      <c r="H16" s="90">
        <f>ROUND(SUMPRODUCT(H6:H13,K6:K13)/SUMPRODUCT((H6:H13&gt;0)*(K6:K13)),3)</f>
        <v>0.05</v>
      </c>
      <c r="I16" s="91"/>
      <c r="J16" s="91"/>
      <c r="K16" s="92">
        <f>SUM(K6:K15)</f>
        <v>61537.210000000036</v>
      </c>
      <c r="L16" s="93">
        <f>ROUND(M16*10000/SUM(K6:K14),0)</f>
        <v>5700</v>
      </c>
      <c r="M16" s="93">
        <f>SUM(M6:M14)</f>
        <v>35076</v>
      </c>
      <c r="N16" s="94">
        <f>ROUND(SUMPRODUCT(M6:M14,N6:N14)/M16,3)</f>
        <v>0.83</v>
      </c>
      <c r="O16" s="93">
        <f>SUM(O6:O14)</f>
        <v>0</v>
      </c>
      <c r="P16" s="93">
        <f>SUM(P6:P14)</f>
        <v>0</v>
      </c>
      <c r="Q16" s="95">
        <f>ROUND(SUMPRODUCT(Q6:Q13,K6:K13)/SUMPRODUCT((Q6:Q13&gt;0)*(K6:K13)),2)</f>
        <v>0.2</v>
      </c>
      <c r="R16" s="1034">
        <f ca="1">SUM(R6:R13)</f>
        <v>15323.04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3</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1231</v>
      </c>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f>C59</f>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9" sqref="L1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33" t="s">
        <v>2282</v>
      </c>
      <c r="B1" s="3534"/>
      <c r="C1" s="3534"/>
      <c r="D1" s="3534"/>
      <c r="E1" s="3534"/>
      <c r="F1" s="3534"/>
      <c r="G1" s="353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2463"/>
      <c r="D3" s="2464"/>
      <c r="E3" s="2441" t="s">
        <v>2280</v>
      </c>
      <c r="F3" s="2465" t="s">
        <v>2253</v>
      </c>
      <c r="G3" s="2466" t="s">
        <v>2281</v>
      </c>
      <c r="H3" s="799"/>
      <c r="I3" s="799"/>
      <c r="J3" s="799"/>
      <c r="K3" s="799"/>
      <c r="L3" s="799"/>
      <c r="M3" s="799"/>
      <c r="N3" s="799"/>
      <c r="O3" s="799"/>
      <c r="P3" s="799"/>
      <c r="Q3" s="799"/>
      <c r="R3" s="799"/>
    </row>
    <row r="4" spans="1:29" ht="36">
      <c r="A4" s="2441"/>
      <c r="B4" s="323" t="s">
        <v>2254</v>
      </c>
      <c r="C4" s="3813"/>
      <c r="D4" s="2464"/>
      <c r="E4" s="2467"/>
      <c r="F4" s="1373" t="s">
        <v>2255</v>
      </c>
      <c r="G4" s="2468" t="s">
        <v>2256</v>
      </c>
      <c r="H4" s="799"/>
      <c r="I4" s="799"/>
      <c r="J4" s="799"/>
      <c r="K4" s="799"/>
      <c r="L4" s="799"/>
      <c r="M4" s="799"/>
      <c r="N4" s="799"/>
      <c r="O4" s="799"/>
      <c r="P4" s="799"/>
      <c r="Q4" s="799"/>
      <c r="R4" s="799"/>
    </row>
    <row r="5" spans="1:29" ht="24">
      <c r="A5" s="2441"/>
      <c r="B5" s="323" t="s">
        <v>2257</v>
      </c>
      <c r="C5" s="3813" t="s">
        <v>3467</v>
      </c>
      <c r="D5" s="2464"/>
      <c r="E5" s="2467"/>
      <c r="F5" s="323" t="s">
        <v>2258</v>
      </c>
      <c r="G5" s="2468" t="s">
        <v>2259</v>
      </c>
      <c r="H5" s="799"/>
      <c r="I5" s="799"/>
      <c r="J5" s="799"/>
      <c r="K5" s="799"/>
      <c r="L5" s="799"/>
      <c r="M5" s="799"/>
      <c r="N5" s="799"/>
      <c r="O5" s="799"/>
      <c r="P5" s="799"/>
      <c r="Q5" s="799"/>
      <c r="R5" s="799"/>
    </row>
    <row r="6" spans="1:29">
      <c r="A6" s="2441"/>
      <c r="B6" s="323" t="s">
        <v>2260</v>
      </c>
      <c r="C6" s="3814" t="s">
        <v>3468</v>
      </c>
      <c r="D6" s="2464"/>
      <c r="E6" s="2467"/>
      <c r="F6" s="323" t="s">
        <v>2261</v>
      </c>
      <c r="G6" s="2468" t="s">
        <v>2262</v>
      </c>
      <c r="H6" s="799"/>
      <c r="I6" s="799"/>
      <c r="J6" s="799"/>
      <c r="K6" s="799"/>
      <c r="L6" s="799"/>
      <c r="M6" s="799"/>
      <c r="N6" s="799"/>
      <c r="O6" s="799"/>
      <c r="P6" s="799"/>
      <c r="Q6" s="799"/>
      <c r="R6" s="799"/>
    </row>
    <row r="7" spans="1:29" ht="24.75" thickBot="1">
      <c r="A7" s="2441"/>
      <c r="B7" s="323" t="s">
        <v>2258</v>
      </c>
      <c r="C7" s="2468" t="s">
        <v>3469</v>
      </c>
      <c r="D7" s="2469"/>
      <c r="E7" s="2470"/>
      <c r="F7" s="2471" t="s">
        <v>2263</v>
      </c>
      <c r="G7" s="2472" t="s">
        <v>2264</v>
      </c>
      <c r="H7" s="799"/>
      <c r="I7" s="799"/>
      <c r="J7" s="799"/>
      <c r="K7" s="799"/>
      <c r="L7" s="799"/>
      <c r="M7" s="799"/>
      <c r="N7" s="799"/>
      <c r="O7" s="799"/>
      <c r="P7" s="799"/>
      <c r="Q7" s="799"/>
      <c r="R7" s="799"/>
    </row>
    <row r="8" spans="1:29">
      <c r="A8" s="2441"/>
      <c r="B8" s="323" t="s">
        <v>2261</v>
      </c>
      <c r="C8" s="2468" t="s">
        <v>3470</v>
      </c>
      <c r="D8" s="2469"/>
      <c r="E8" s="2469"/>
      <c r="F8" s="2473"/>
      <c r="G8" s="2473"/>
      <c r="H8" s="799"/>
      <c r="I8" s="799"/>
      <c r="J8" s="799"/>
      <c r="K8" s="799"/>
      <c r="L8" s="799"/>
      <c r="M8" s="799"/>
      <c r="N8" s="799"/>
      <c r="O8" s="799"/>
      <c r="P8" s="799"/>
      <c r="Q8" s="799"/>
      <c r="R8" s="799"/>
    </row>
    <row r="9" spans="1:29">
      <c r="A9" s="2441"/>
      <c r="B9" s="323" t="s">
        <v>2265</v>
      </c>
      <c r="C9" s="3813" t="s">
        <v>3471</v>
      </c>
      <c r="D9" s="2464"/>
      <c r="E9" s="2469"/>
      <c r="F9" s="2473"/>
      <c r="G9" s="2473"/>
      <c r="H9" s="799"/>
      <c r="I9" s="799"/>
      <c r="J9" s="799"/>
      <c r="K9" s="799"/>
      <c r="L9" s="799"/>
      <c r="M9" s="799"/>
      <c r="N9" s="799"/>
      <c r="O9" s="799"/>
      <c r="P9" s="799"/>
      <c r="Q9" s="799"/>
      <c r="R9" s="799"/>
    </row>
    <row r="10" spans="1:29" s="2479" customFormat="1" ht="15" thickBot="1">
      <c r="A10" s="2442"/>
      <c r="B10" s="2474" t="s">
        <v>2266</v>
      </c>
      <c r="C10" s="2475" t="s">
        <v>3472</v>
      </c>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69"/>
      <c r="C12" s="2464"/>
      <c r="D12" s="2482"/>
      <c r="E12" s="2464"/>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2283</v>
      </c>
      <c r="B13" s="2482"/>
      <c r="C13" s="2482"/>
      <c r="D13" s="2480"/>
      <c r="E13" s="2482"/>
      <c r="F13" s="2482"/>
      <c r="G13" s="2482"/>
    </row>
    <row r="14" spans="1:29" ht="15" thickBot="1">
      <c r="A14" s="2492"/>
      <c r="B14" s="2492"/>
      <c r="C14" s="2493" t="s">
        <v>2267</v>
      </c>
      <c r="D14" s="2464"/>
      <c r="E14" s="2494"/>
      <c r="F14" s="2494"/>
      <c r="G14" s="2459" t="s">
        <v>2268</v>
      </c>
    </row>
    <row r="15" spans="1:29" ht="51">
      <c r="A15" s="2443" t="s">
        <v>2269</v>
      </c>
      <c r="B15" s="2495" t="s">
        <v>2252</v>
      </c>
      <c r="C15" s="2496">
        <f>C3</f>
        <v>0</v>
      </c>
      <c r="D15" s="2464"/>
      <c r="E15" s="2444" t="s">
        <v>2270</v>
      </c>
      <c r="F15" s="2495" t="s">
        <v>2271</v>
      </c>
      <c r="G15" s="2497" t="str">
        <f>G3</f>
        <v>估价对象位于XX开发区，园区建设成熟度XX，产业集聚程度XX</v>
      </c>
    </row>
    <row r="16" spans="1:29" ht="38.25">
      <c r="A16" s="2445"/>
      <c r="B16" s="2498" t="s">
        <v>2254</v>
      </c>
      <c r="C16" s="2499">
        <f>C4</f>
        <v>0</v>
      </c>
      <c r="D16" s="2464"/>
      <c r="E16" s="2446"/>
      <c r="F16" s="2500" t="s">
        <v>2255</v>
      </c>
      <c r="G16" s="2501" t="str">
        <f>G4</f>
        <v>估价对象周边道路状况、公共交通通达情况、停车便捷程度，综合评价交通便捷度较好</v>
      </c>
    </row>
    <row r="17" spans="1:18" ht="38.25">
      <c r="A17" s="2445"/>
      <c r="B17" s="2498" t="s">
        <v>2257</v>
      </c>
      <c r="C17" s="2499" t="str">
        <f>C5</f>
        <v>国锐金嵿、大族广场、亦城财富中心</v>
      </c>
      <c r="D17" s="2469"/>
      <c r="E17" s="2446"/>
      <c r="F17" s="2500" t="s">
        <v>2272</v>
      </c>
      <c r="G17" s="2502"/>
    </row>
    <row r="18" spans="1:18" ht="38.25">
      <c r="A18" s="2445"/>
      <c r="B18" s="2500" t="s">
        <v>2260</v>
      </c>
      <c r="C18" s="2501" t="str">
        <f>C6</f>
        <v>较好</v>
      </c>
      <c r="D18" s="2469"/>
      <c r="E18" s="2446"/>
      <c r="F18" s="2500" t="s">
        <v>2263</v>
      </c>
      <c r="G18" s="2501" t="str">
        <f>G7</f>
        <v>该园区内是否有污染型企业，绿化情况，卫生条件，整体环境状况判断</v>
      </c>
    </row>
    <row r="19" spans="1:18" ht="25.5">
      <c r="A19" s="2445"/>
      <c r="B19" s="2500" t="s">
        <v>2273</v>
      </c>
      <c r="C19" s="2502"/>
      <c r="D19" s="2464"/>
      <c r="E19" s="2446"/>
      <c r="F19" s="323" t="s">
        <v>2258</v>
      </c>
      <c r="G19" s="2501" t="str">
        <f>G5</f>
        <v>估价对象所在区域公共配套设施齐备情况</v>
      </c>
    </row>
    <row r="20" spans="1:18" ht="25.5">
      <c r="A20" s="2445"/>
      <c r="B20" s="2500" t="s">
        <v>2274</v>
      </c>
      <c r="C20" s="2499" t="str">
        <f>C9</f>
        <v>博大公园、亦庄新城滨河公园</v>
      </c>
      <c r="D20" s="2469"/>
      <c r="E20" s="2446"/>
      <c r="F20" s="323" t="s">
        <v>2261</v>
      </c>
      <c r="G20" s="2501" t="str">
        <f>G6</f>
        <v>估价对象所在区域基础设施水平</v>
      </c>
    </row>
    <row r="21" spans="1:18" ht="25.5">
      <c r="A21" s="2445"/>
      <c r="B21" s="323" t="s">
        <v>2258</v>
      </c>
      <c r="C21" s="2501" t="str">
        <f>C7</f>
        <v>较好</v>
      </c>
      <c r="D21" s="2464"/>
      <c r="E21" s="2446"/>
      <c r="F21" s="2500" t="s">
        <v>2275</v>
      </c>
      <c r="G21" s="2503"/>
    </row>
    <row r="22" spans="1:18" ht="13.5" customHeight="1">
      <c r="A22" s="2445"/>
      <c r="B22" s="323" t="s">
        <v>2261</v>
      </c>
      <c r="C22" s="2501" t="str">
        <f>C8</f>
        <v>七通</v>
      </c>
      <c r="D22" s="2464"/>
      <c r="E22" s="2446"/>
      <c r="F22" s="2500" t="s">
        <v>2266</v>
      </c>
      <c r="G22" s="2502"/>
    </row>
    <row r="23" spans="1:18" s="799" customFormat="1" ht="15" thickBot="1">
      <c r="A23" s="2445"/>
      <c r="B23" s="2500" t="s">
        <v>2275</v>
      </c>
      <c r="C23" s="2503"/>
      <c r="D23" s="1741"/>
      <c r="E23" s="2447"/>
      <c r="F23" s="2504" t="s">
        <v>2276</v>
      </c>
      <c r="G23" s="2505"/>
      <c r="H23" s="2489"/>
      <c r="I23" s="2490"/>
      <c r="J23" s="2489"/>
      <c r="K23" s="2489"/>
      <c r="L23" s="2490"/>
      <c r="M23" s="2489"/>
      <c r="N23" s="2489"/>
      <c r="O23" s="2490"/>
      <c r="P23" s="2489"/>
      <c r="Q23" s="2489"/>
      <c r="R23" s="2491"/>
    </row>
    <row r="24" spans="1:18" s="799" customFormat="1" ht="15" thickBot="1">
      <c r="A24" s="2448"/>
      <c r="B24" s="2504" t="s">
        <v>2277</v>
      </c>
      <c r="C24" s="2506" t="str">
        <f>C10</f>
        <v>次干道-荣京西街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61537.210000000036</v>
      </c>
      <c r="C1" s="2683"/>
      <c r="D1" s="2683"/>
      <c r="E1" s="2683"/>
      <c r="F1" s="2683"/>
      <c r="G1" s="2684"/>
      <c r="H1" s="2685"/>
      <c r="I1" s="2685"/>
      <c r="J1" s="2685"/>
      <c r="K1" s="2685"/>
    </row>
    <row r="2" spans="1:11" ht="16.5">
      <c r="A2" s="2510" t="s">
        <v>653</v>
      </c>
      <c r="B2" s="2510">
        <f>SUM(C14:C23)</f>
        <v>15323.04</v>
      </c>
      <c r="C2" s="2683"/>
      <c r="D2" s="2683"/>
      <c r="E2" s="2683"/>
      <c r="F2" s="2683"/>
      <c r="G2" s="2684"/>
      <c r="H2" s="2685"/>
      <c r="I2" s="2685"/>
      <c r="J2" s="2685"/>
      <c r="K2" s="2685"/>
    </row>
    <row r="3" spans="1:11" ht="16.5">
      <c r="A3" s="2510" t="s">
        <v>662</v>
      </c>
      <c r="B3" s="2512">
        <f>项目基本情况!D3</f>
        <v>45352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159780</v>
      </c>
      <c r="C5" s="2510">
        <f ca="1">IF(B5=D14,结果表!H102,ROUND(B5*10000/$B$1,0))</f>
        <v>25965</v>
      </c>
      <c r="D5" s="2510">
        <f ca="1">ROUND(B5*10000/$B$2,0)</f>
        <v>104274</v>
      </c>
      <c r="E5" s="2683"/>
      <c r="F5" s="2684"/>
      <c r="G5" s="2684"/>
      <c r="H5" s="2685"/>
      <c r="I5" s="2685"/>
      <c r="J5" s="2685"/>
      <c r="K5" s="2685"/>
    </row>
    <row r="6" spans="1:11" ht="16.5">
      <c r="A6" s="2510" t="s">
        <v>656</v>
      </c>
      <c r="B6" s="2510">
        <f ca="1">SUM(G14:G23)</f>
        <v>159780</v>
      </c>
      <c r="C6" s="2510">
        <f ca="1">IF(B6=G14,结果表!H108,ROUND(B6*10000/$B$1,0))</f>
        <v>25965</v>
      </c>
      <c r="D6" s="2510">
        <f ca="1">ROUND(B6*10000/$B$2,0)</f>
        <v>104274</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3355</v>
      </c>
      <c r="D10" s="2510" t="s">
        <v>3356</v>
      </c>
      <c r="E10" s="3438"/>
      <c r="F10" s="3442" t="s">
        <v>3357</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61537.210000000036</v>
      </c>
      <c r="C14" s="2516">
        <f>结果表!C118</f>
        <v>15323.04</v>
      </c>
      <c r="D14" s="2516">
        <f ca="1">结果表!H118</f>
        <v>159780</v>
      </c>
      <c r="E14" s="2516">
        <f ca="1">ROUND(D14*10000/B14,0)</f>
        <v>25965</v>
      </c>
      <c r="F14" s="2516">
        <f ca="1">ROUND(D14*10000/C14,0)</f>
        <v>104274</v>
      </c>
      <c r="G14" s="2516">
        <f ca="1">D14</f>
        <v>159780</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6" t="str">
        <f>项目基本情况!B1</f>
        <v>北京市北京经济技术开发区荣华中路19号1号楼预评估</v>
      </c>
      <c r="C37" s="3446"/>
      <c r="D37" s="3446"/>
      <c r="E37" s="3446"/>
      <c r="F37" s="3446"/>
      <c r="G37" s="3446"/>
      <c r="H37" s="3446"/>
      <c r="I37" s="344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36" sqref="D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3462</v>
      </c>
      <c r="D1" s="1747"/>
      <c r="E1" s="1747"/>
      <c r="F1" s="1749" t="s">
        <v>1263</v>
      </c>
      <c r="G1" s="1561" t="s">
        <v>3486</v>
      </c>
      <c r="H1" s="1750" t="str">
        <f>IF(G1="现房","——","估价对象范围")</f>
        <v>——</v>
      </c>
      <c r="I1" s="1751" t="s">
        <v>3487</v>
      </c>
    </row>
    <row r="2" spans="1:12" ht="21.75" customHeight="1" thickBot="1">
      <c r="A2" s="3602" t="str">
        <f>项目基本情况!S2</f>
        <v>北京市北京经济技术开发区荣华中路19号1号楼房地产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4" t="s">
        <v>1265</v>
      </c>
      <c r="B4" s="1755" t="s">
        <v>1266</v>
      </c>
      <c r="C4" s="1756" t="s">
        <v>3488</v>
      </c>
      <c r="D4" s="1756" t="s">
        <v>3466</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605">
        <v>25</v>
      </c>
      <c r="C5" s="3608"/>
      <c r="D5" s="3596"/>
      <c r="E5" s="131" t="s">
        <v>1269</v>
      </c>
      <c r="F5" s="1757"/>
      <c r="G5" s="1757"/>
      <c r="H5" s="1757"/>
      <c r="I5" s="1373"/>
    </row>
    <row r="6" spans="1:12" ht="12.75">
      <c r="A6" s="3550"/>
      <c r="B6" s="3605"/>
      <c r="C6" s="3610"/>
      <c r="D6" s="3596"/>
      <c r="E6" s="131" t="s">
        <v>1270</v>
      </c>
      <c r="F6" s="1757"/>
      <c r="G6" s="1757"/>
      <c r="H6" s="1757"/>
      <c r="I6" s="1373"/>
    </row>
    <row r="7" spans="1:12" ht="12.75">
      <c r="A7" s="3550"/>
      <c r="B7" s="3605"/>
      <c r="C7" s="3609"/>
      <c r="D7" s="3596"/>
      <c r="E7" s="131" t="s">
        <v>1271</v>
      </c>
      <c r="F7" s="1757"/>
      <c r="G7" s="1757"/>
      <c r="H7" s="1757"/>
      <c r="I7" s="1373"/>
    </row>
    <row r="8" spans="1:12" ht="12.75">
      <c r="A8" s="3550" t="s">
        <v>1272</v>
      </c>
      <c r="B8" s="3605">
        <v>15</v>
      </c>
      <c r="C8" s="3608"/>
      <c r="D8" s="3596"/>
      <c r="E8" s="131" t="s">
        <v>1273</v>
      </c>
      <c r="F8" s="1757"/>
      <c r="G8" s="1757"/>
      <c r="H8" s="1757"/>
      <c r="I8" s="1373"/>
    </row>
    <row r="9" spans="1:12" ht="12.75">
      <c r="A9" s="3550"/>
      <c r="B9" s="3605"/>
      <c r="C9" s="3609"/>
      <c r="D9" s="3596"/>
      <c r="E9" s="131" t="s">
        <v>1274</v>
      </c>
      <c r="F9" s="1757"/>
      <c r="G9" s="1757"/>
      <c r="H9" s="1757"/>
      <c r="I9" s="1373"/>
    </row>
    <row r="10" spans="1:12" ht="12.75">
      <c r="A10" s="3550" t="s">
        <v>1275</v>
      </c>
      <c r="B10" s="3605">
        <v>15</v>
      </c>
      <c r="C10" s="3608"/>
      <c r="D10" s="3596"/>
      <c r="E10" s="131" t="s">
        <v>1276</v>
      </c>
      <c r="F10" s="1757"/>
      <c r="G10" s="1757"/>
      <c r="H10" s="1757"/>
      <c r="I10" s="1373"/>
    </row>
    <row r="11" spans="1:12" ht="12.75">
      <c r="A11" s="3550"/>
      <c r="B11" s="3605"/>
      <c r="C11" s="3609"/>
      <c r="D11" s="3596"/>
      <c r="E11" s="131" t="s">
        <v>1277</v>
      </c>
      <c r="F11" s="1757"/>
      <c r="G11" s="1757"/>
      <c r="H11" s="1757"/>
      <c r="I11" s="1373"/>
    </row>
    <row r="12" spans="1:12" ht="12.75">
      <c r="A12" s="3550" t="s">
        <v>1278</v>
      </c>
      <c r="B12" s="3605">
        <v>15</v>
      </c>
      <c r="C12" s="3608"/>
      <c r="D12" s="3596"/>
      <c r="E12" s="131" t="s">
        <v>1279</v>
      </c>
      <c r="F12" s="1757"/>
      <c r="G12" s="1757"/>
      <c r="H12" s="1757"/>
      <c r="I12" s="1373"/>
    </row>
    <row r="13" spans="1:12" ht="12.75">
      <c r="A13" s="3550"/>
      <c r="B13" s="3605"/>
      <c r="C13" s="3609"/>
      <c r="D13" s="3596"/>
      <c r="E13" s="131" t="s">
        <v>1280</v>
      </c>
      <c r="F13" s="1757"/>
      <c r="G13" s="1757"/>
      <c r="H13" s="1757"/>
      <c r="I13" s="1373"/>
    </row>
    <row r="14" spans="1:12" ht="12.75">
      <c r="A14" s="3550" t="s">
        <v>1281</v>
      </c>
      <c r="B14" s="3605">
        <v>30</v>
      </c>
      <c r="C14" s="3608">
        <v>4</v>
      </c>
      <c r="D14" s="3596">
        <v>6</v>
      </c>
      <c r="E14" s="131" t="s">
        <v>1282</v>
      </c>
      <c r="F14" s="1757"/>
      <c r="G14" s="1757"/>
      <c r="H14" s="1757"/>
      <c r="I14" s="1373"/>
    </row>
    <row r="15" spans="1:12" ht="12.75">
      <c r="A15" s="3550"/>
      <c r="B15" s="3605"/>
      <c r="C15" s="3610"/>
      <c r="D15" s="3596"/>
      <c r="E15" s="131" t="s">
        <v>1283</v>
      </c>
      <c r="F15" s="1757"/>
      <c r="G15" s="1757"/>
      <c r="H15" s="1757"/>
      <c r="I15" s="1373"/>
    </row>
    <row r="16" spans="1:12" ht="12.75">
      <c r="A16" s="3550"/>
      <c r="B16" s="3605"/>
      <c r="C16" s="3609"/>
      <c r="D16" s="359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27" t="s">
        <v>2131</v>
      </c>
      <c r="F18" s="3628"/>
      <c r="G18" s="3628"/>
      <c r="H18" s="3628"/>
      <c r="I18" s="3628"/>
      <c r="K18" s="302" t="s">
        <v>1289</v>
      </c>
      <c r="L18" s="302">
        <f>IF(C1="",'数据-汇总表'!E3,SUMIF(项目类型,C1,'数据-汇总表'!E17:E26)+SUMIF(项目类型,C1,'数据-汇总表'!I17:I26))</f>
        <v>61537.210000000036</v>
      </c>
      <c r="M18" s="302">
        <f>IF(C1="",'数据-汇总表'!E3,SUMIF(项目类型,C1,'数据-汇总表'!E17:E26))</f>
        <v>61537.210000000036</v>
      </c>
    </row>
    <row r="19" spans="1:36" ht="15">
      <c r="A19" s="1761" t="s">
        <v>1290</v>
      </c>
      <c r="B19" s="1762" t="s">
        <v>1291</v>
      </c>
      <c r="C19" s="134">
        <f ca="1">SUMIF(INDIRECT("'"&amp;C4&amp;"'"&amp;"!A:A"),结果表!B19,INDIRECT("'"&amp;C4&amp;"'"&amp;"!B:B"))</f>
        <v>129983</v>
      </c>
      <c r="D19" s="135">
        <f ca="1">SUMIF(INDIRECT("'"&amp;D4&amp;"'"&amp;"!A:A"),结果表!B19,INDIRECT("'"&amp;D4&amp;"'"&amp;"!B:B"))</f>
        <v>179645</v>
      </c>
      <c r="E19" s="1761" t="s">
        <v>1292</v>
      </c>
      <c r="F19" s="1762" t="s">
        <v>1291</v>
      </c>
      <c r="G19" s="136">
        <f ca="1">ROUND(C19*$C$18+D19*$D$18,0)</f>
        <v>159780</v>
      </c>
      <c r="H19" s="1763" t="s">
        <v>1293</v>
      </c>
      <c r="I19" s="129"/>
      <c r="K19" s="302" t="s">
        <v>1294</v>
      </c>
      <c r="L19" s="302">
        <f>IF(C1="",'数据-汇总表'!D3,SUMIF(项目类型,C1,'数据-汇总表'!D17:D26)+SUMIF(项目类型,C1,'数据-汇总表'!H17:H27))</f>
        <v>15323.04</v>
      </c>
      <c r="M19" s="302">
        <f>IF(C1="",'数据-汇总表'!D3,SUMIF(项目类型,C1,'数据-汇总表'!D17:D26))</f>
        <v>15323.04</v>
      </c>
    </row>
    <row r="20" spans="1:36" ht="15">
      <c r="A20" s="1764"/>
      <c r="B20" s="1026" t="s">
        <v>1295</v>
      </c>
      <c r="C20" s="137">
        <f ca="1">SUMIF(INDIRECT("'"&amp;C4&amp;"'"&amp;"!A:A"),结果表!B20,INDIRECT("'"&amp;C4&amp;"'"&amp;"!B:B"))</f>
        <v>21123</v>
      </c>
      <c r="D20" s="138">
        <f ca="1">SUMIF(INDIRECT("'"&amp;D4&amp;"'"&amp;"!A:A"),结果表!B20,INDIRECT("'"&amp;D4&amp;"'"&amp;"!B:B"))</f>
        <v>29193</v>
      </c>
      <c r="E20" s="1764"/>
      <c r="F20" s="1026" t="s">
        <v>1295</v>
      </c>
      <c r="G20" s="139">
        <f ca="1">ROUND(C20*$C$18+D20*$D$18,0)</f>
        <v>25965</v>
      </c>
      <c r="H20" s="808" t="s">
        <v>1296</v>
      </c>
      <c r="I20" s="129"/>
    </row>
    <row r="21" spans="1:36" ht="15" customHeight="1" thickBot="1">
      <c r="A21" s="828"/>
      <c r="B21" s="1765" t="s">
        <v>1297</v>
      </c>
      <c r="C21" s="719">
        <f ca="1">ROUND(C19*10000/L19,0)</f>
        <v>84828</v>
      </c>
      <c r="D21" s="720">
        <f ca="1">ROUND(D19*10000/L19,0)</f>
        <v>117238</v>
      </c>
      <c r="E21" s="828"/>
      <c r="F21" s="1765" t="s">
        <v>1297</v>
      </c>
      <c r="G21" s="140">
        <f ca="1">ROUND(G19*10000/L19,0)</f>
        <v>104274</v>
      </c>
      <c r="H21" s="1766" t="s">
        <v>1296</v>
      </c>
      <c r="I21" s="129"/>
    </row>
    <row r="22" spans="1:36" ht="15" thickBot="1">
      <c r="A22" s="1688" t="s">
        <v>1298</v>
      </c>
      <c r="B22" s="1767"/>
      <c r="C22" s="1768"/>
      <c r="D22" s="721">
        <f ca="1">IF(C19&lt;D19,D19/C19-1,C19/D19-1)</f>
        <v>0.38206534700691619</v>
      </c>
      <c r="E22" s="129"/>
      <c r="F22" s="129"/>
      <c r="G22" s="129"/>
      <c r="H22" s="129"/>
      <c r="I22" s="129"/>
    </row>
    <row r="23" spans="1:36" ht="13.5" thickBot="1">
      <c r="A23" s="1747"/>
      <c r="B23" s="1747"/>
      <c r="C23" s="1747"/>
      <c r="D23" s="1747"/>
      <c r="E23" s="129"/>
      <c r="F23" s="129"/>
      <c r="G23" s="129"/>
      <c r="H23" s="129"/>
      <c r="I23" s="129"/>
    </row>
    <row r="24" spans="1:36" ht="14.25">
      <c r="A24" s="3620" t="s">
        <v>1299</v>
      </c>
      <c r="B24" s="1762" t="s">
        <v>1291</v>
      </c>
      <c r="C24" s="136">
        <f>IF(B30=0,0,D30)</f>
        <v>0</v>
      </c>
      <c r="D24" s="1769"/>
      <c r="E24" s="129"/>
      <c r="F24" s="129"/>
      <c r="G24" s="129"/>
      <c r="H24" s="129"/>
      <c r="I24" s="129"/>
    </row>
    <row r="25" spans="1:36" ht="14.25">
      <c r="A25" s="362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159780</v>
      </c>
      <c r="D32" s="1775" t="s">
        <v>3490</v>
      </c>
      <c r="E32" s="129"/>
      <c r="F32" s="129"/>
      <c r="G32" s="129"/>
      <c r="H32" s="129"/>
      <c r="I32" s="129"/>
    </row>
    <row r="33" spans="1:15" ht="15">
      <c r="A33" s="786" t="s">
        <v>1306</v>
      </c>
      <c r="B33" s="1776"/>
      <c r="C33" s="1777" t="s">
        <v>3489</v>
      </c>
      <c r="D33" s="1778" t="s">
        <v>3488</v>
      </c>
      <c r="E33" s="1779" t="s">
        <v>1307</v>
      </c>
      <c r="F33" s="1780" t="str">
        <f>IF(D32="楼面单价","取值（单价）","取值（总价）")</f>
        <v>取值（总价）</v>
      </c>
      <c r="G33" s="129"/>
      <c r="H33" s="129"/>
      <c r="I33" s="129"/>
    </row>
    <row r="34" spans="1:15" ht="15">
      <c r="A34" s="1781"/>
      <c r="B34" s="1782" t="s">
        <v>1308</v>
      </c>
      <c r="C34" s="148">
        <f ca="1">IF(C33="自定义",F34,C32-C35)</f>
        <v>105295</v>
      </c>
      <c r="D34" s="861">
        <f ca="1">IF(C33="自定义",ROUND(C34/C32,3),IF(C33="收益比率",SUMIF(INDIRECT("'"&amp;D33&amp;"'"&amp;"!b:b"),"土地收益比率",INDIRECT("'"&amp;D33&amp;"'"&amp;"!c:c")),SUMIF(INDIRECT("'"&amp;D33&amp;"'"&amp;"!b:b"),"土地成本比率",INDIRECT("'"&amp;D33&amp;"'"&amp;"!c:c"))))</f>
        <v>0.65900000000000003</v>
      </c>
      <c r="E34" s="1783" t="s">
        <v>1309</v>
      </c>
      <c r="F34" s="1330"/>
      <c r="G34" s="129"/>
      <c r="H34" s="129"/>
      <c r="I34" s="129"/>
    </row>
    <row r="35" spans="1:15" ht="15.75" thickBot="1">
      <c r="A35" s="1784"/>
      <c r="B35" s="1785" t="s">
        <v>1310</v>
      </c>
      <c r="C35" s="1170">
        <f ca="1">IF(C33="自定义",F35,ROUND(C32*D35,0))</f>
        <v>54485</v>
      </c>
      <c r="D35" s="1171">
        <f ca="1">IF(C33="自定义",ROUND(C35/C32,3),IF(C33="收益比率",SUMIF(INDIRECT("'"&amp;D33&amp;"'"&amp;"!b:b"),"建筑物收益比率",INDIRECT("'"&amp;D33&amp;"'"&amp;"!c:c")),SUMIF(INDIRECT("'"&amp;D33&amp;"'"&amp;"!b:b"),"建筑物成本比率",INDIRECT("'"&amp;D33&amp;"'"&amp;"!c:c"))))</f>
        <v>0.34100000000000003</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7" t="s">
        <v>1326</v>
      </c>
      <c r="B45" s="3618"/>
      <c r="C45" s="3619"/>
      <c r="D45" s="155">
        <f ca="1">ROUND(H101*F45,0)</f>
        <v>159780</v>
      </c>
      <c r="E45" s="156" t="s">
        <v>1327</v>
      </c>
      <c r="F45" s="157">
        <v>1</v>
      </c>
      <c r="G45" s="158" t="s">
        <v>1328</v>
      </c>
      <c r="H45" s="129"/>
      <c r="I45" s="129"/>
      <c r="J45" s="3537" t="s">
        <v>1329</v>
      </c>
      <c r="K45" s="3537"/>
      <c r="L45" s="3537"/>
      <c r="M45" s="3537"/>
      <c r="N45" s="3537"/>
      <c r="O45" s="3537"/>
    </row>
    <row r="46" spans="1:15" ht="14.25" customHeight="1">
      <c r="A46" s="3614" t="s">
        <v>1330</v>
      </c>
      <c r="B46" s="3615"/>
      <c r="C46" s="3615"/>
      <c r="D46" s="3615"/>
      <c r="E46" s="3615"/>
      <c r="F46" s="3615"/>
      <c r="G46" s="3616"/>
      <c r="H46" s="1806"/>
      <c r="I46" s="159"/>
      <c r="J46" s="2521">
        <v>1</v>
      </c>
      <c r="K46" s="3538" t="s">
        <v>1331</v>
      </c>
      <c r="L46" s="3538"/>
      <c r="M46" s="3539"/>
      <c r="N46" s="3539"/>
      <c r="O46" s="3539"/>
    </row>
    <row r="47" spans="1:15" ht="12" customHeight="1">
      <c r="A47" s="160" t="s">
        <v>1332</v>
      </c>
      <c r="B47" s="161"/>
      <c r="C47" s="162"/>
      <c r="D47" s="1087" t="s">
        <v>1333</v>
      </c>
      <c r="E47" s="302" t="s">
        <v>1334</v>
      </c>
      <c r="F47" s="163" t="s">
        <v>1335</v>
      </c>
      <c r="G47" s="2544" t="s">
        <v>1336</v>
      </c>
      <c r="H47" s="2545"/>
      <c r="I47" s="159"/>
      <c r="J47" s="2521">
        <v>2</v>
      </c>
      <c r="K47" s="3538" t="s">
        <v>1337</v>
      </c>
      <c r="L47" s="3538"/>
      <c r="M47" s="3540">
        <f>'数据-取费表'!B2</f>
        <v>45352</v>
      </c>
      <c r="N47" s="3540"/>
      <c r="O47" s="3540"/>
    </row>
    <row r="48" spans="1:15" ht="25.5">
      <c r="A48" s="3600" t="s">
        <v>1338</v>
      </c>
      <c r="B48" s="3601"/>
      <c r="C48" s="3601"/>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38" t="s">
        <v>1340</v>
      </c>
      <c r="L48" s="3538"/>
      <c r="M48" s="3541">
        <f ca="1">H101</f>
        <v>159780</v>
      </c>
      <c r="N48" s="3541"/>
      <c r="O48" s="3541"/>
    </row>
    <row r="49" spans="1:35" ht="25.5" customHeight="1">
      <c r="A49" s="2333" t="s">
        <v>1341</v>
      </c>
      <c r="B49" s="3586" t="s">
        <v>1342</v>
      </c>
      <c r="C49" s="3586"/>
      <c r="D49" s="1590">
        <v>0</v>
      </c>
      <c r="E49" s="324" t="s">
        <v>1343</v>
      </c>
      <c r="F49" s="2423" t="s">
        <v>28</v>
      </c>
      <c r="G49" s="3569"/>
      <c r="H49" s="2310" t="s">
        <v>2134</v>
      </c>
      <c r="I49" s="2311"/>
      <c r="J49" s="2521">
        <v>4</v>
      </c>
      <c r="K49" s="3538" t="str">
        <f>IF(项目基本情况!E8="房地产抵押价值","房地产抵押价值","抵押担保权已注销时的房地产抵押价值")</f>
        <v>抵押担保权已注销时的房地产抵押价值</v>
      </c>
      <c r="L49" s="3538"/>
      <c r="M49" s="3541" t="str">
        <f>IF(项目基本情况!E8="房地产抵押价值",H107,H109)</f>
        <v>——</v>
      </c>
      <c r="N49" s="3541"/>
      <c r="O49" s="3541"/>
    </row>
    <row r="50" spans="1:35" ht="25.5" customHeight="1">
      <c r="A50" s="2549"/>
      <c r="B50" s="3586" t="s">
        <v>1344</v>
      </c>
      <c r="C50" s="3586"/>
      <c r="D50" s="2550"/>
      <c r="E50" s="332"/>
      <c r="F50" s="2423"/>
      <c r="G50" s="3570"/>
      <c r="H50" s="2312" t="s">
        <v>2135</v>
      </c>
      <c r="I50" s="2311"/>
      <c r="J50" s="3537" t="s">
        <v>1345</v>
      </c>
      <c r="K50" s="3537"/>
      <c r="L50" s="3537"/>
      <c r="M50" s="3537"/>
      <c r="N50" s="3537"/>
      <c r="O50" s="3537"/>
    </row>
    <row r="51" spans="1:35" ht="20.45" customHeight="1">
      <c r="A51" s="2551"/>
      <c r="B51" s="3586" t="s">
        <v>1346</v>
      </c>
      <c r="C51" s="3586"/>
      <c r="D51" s="1087"/>
      <c r="E51" s="327"/>
      <c r="F51" s="2423"/>
      <c r="G51" s="3571"/>
      <c r="H51" s="2312" t="s">
        <v>2136</v>
      </c>
      <c r="I51" s="2311"/>
      <c r="J51" s="2522" t="s">
        <v>1347</v>
      </c>
      <c r="K51" s="3538" t="s">
        <v>1348</v>
      </c>
      <c r="L51" s="3538"/>
      <c r="M51" s="2522" t="s">
        <v>1349</v>
      </c>
      <c r="N51" s="2522" t="s">
        <v>1350</v>
      </c>
      <c r="O51" s="2522" t="s">
        <v>1351</v>
      </c>
    </row>
    <row r="52" spans="1:35" ht="24" customHeight="1">
      <c r="A52" s="2335" t="s">
        <v>1352</v>
      </c>
      <c r="B52" s="3586" t="s">
        <v>1353</v>
      </c>
      <c r="C52" s="3586"/>
      <c r="D52" s="1087">
        <f ca="1">ROUND(D45*'数据-取费表'!B41/(1+'数据-取费表'!C42),0)</f>
        <v>8522</v>
      </c>
      <c r="E52" s="2334" t="s">
        <v>1354</v>
      </c>
      <c r="F52" s="2552">
        <f>'数据-取费表'!B41</f>
        <v>5.6000000000000001E-2</v>
      </c>
      <c r="G52" s="2553"/>
      <c r="H52" s="2542"/>
      <c r="I52" s="1807"/>
      <c r="J52" s="2521">
        <v>1</v>
      </c>
      <c r="K52" s="3563" t="s">
        <v>1355</v>
      </c>
      <c r="L52" s="3563"/>
      <c r="M52" s="2523" t="b">
        <f>D48</f>
        <v>0</v>
      </c>
      <c r="N52" s="2521" t="str">
        <f>E48</f>
        <v>销售额×税（费）率</v>
      </c>
      <c r="O52" s="2524">
        <f>F48</f>
        <v>5.6000000000000001E-2</v>
      </c>
    </row>
    <row r="53" spans="1:35" ht="12" customHeight="1">
      <c r="A53" s="2335" t="s">
        <v>1356</v>
      </c>
      <c r="B53" s="3587" t="s">
        <v>2287</v>
      </c>
      <c r="C53" s="3588"/>
      <c r="D53" s="1087">
        <f ca="1">ROUND(D45*'数据-取费表'!B41/(1+'数据-取费表'!C42),0)</f>
        <v>8522</v>
      </c>
      <c r="E53" s="2334" t="s">
        <v>1354</v>
      </c>
      <c r="F53" s="2552">
        <f>'数据-取费表'!B41</f>
        <v>5.6000000000000001E-2</v>
      </c>
      <c r="G53" s="2553"/>
      <c r="H53" s="2542"/>
      <c r="I53" s="1807"/>
      <c r="J53" s="2521">
        <v>2</v>
      </c>
      <c r="K53" s="3563" t="s">
        <v>1357</v>
      </c>
      <c r="L53" s="3563"/>
      <c r="M53" s="2523">
        <f t="shared" ref="M53:O54" ca="1" si="0">D55</f>
        <v>80</v>
      </c>
      <c r="N53" s="2521" t="str">
        <f t="shared" si="0"/>
        <v>销售额×税（费）率</v>
      </c>
      <c r="O53" s="2524" t="str">
        <f t="shared" si="0"/>
        <v>免征</v>
      </c>
    </row>
    <row r="54" spans="1:35" ht="12" customHeight="1">
      <c r="A54" s="2335" t="s">
        <v>1358</v>
      </c>
      <c r="B54" s="3587" t="s">
        <v>2288</v>
      </c>
      <c r="C54" s="3588"/>
      <c r="D54" s="1087">
        <f ca="1">C68</f>
        <v>8522</v>
      </c>
      <c r="E54" s="327" t="s">
        <v>1359</v>
      </c>
      <c r="F54" s="2552">
        <f>'数据-取费表'!B41</f>
        <v>5.6000000000000001E-2</v>
      </c>
      <c r="G54" s="2553"/>
      <c r="H54" s="2554"/>
      <c r="I54" s="1807"/>
      <c r="J54" s="2521">
        <v>3</v>
      </c>
      <c r="K54" s="3563" t="s">
        <v>1360</v>
      </c>
      <c r="L54" s="3563"/>
      <c r="M54" s="2523">
        <f t="shared" ca="1" si="0"/>
        <v>90435</v>
      </c>
      <c r="N54" s="2521" t="str">
        <f t="shared" si="0"/>
        <v>增值额×税（费）率</v>
      </c>
      <c r="O54" s="2525" t="str">
        <f t="shared" si="0"/>
        <v>免征</v>
      </c>
    </row>
    <row r="55" spans="1:35" ht="24" customHeight="1">
      <c r="A55" s="3623" t="s">
        <v>1361</v>
      </c>
      <c r="B55" s="3601"/>
      <c r="C55" s="3601"/>
      <c r="D55" s="2324">
        <f ca="1">IF(H55="个人住宅",0,ROUND(D45*I55,0))</f>
        <v>80</v>
      </c>
      <c r="E55" s="2334" t="s">
        <v>1362</v>
      </c>
      <c r="F55" s="2552" t="str">
        <f>IF(H55="正常",I55,"免征")</f>
        <v>免征</v>
      </c>
      <c r="G55" s="2553"/>
      <c r="H55" s="2548"/>
      <c r="I55" s="165">
        <f>'数据-取费表'!B49</f>
        <v>5.0000000000000001E-4</v>
      </c>
      <c r="J55" s="2521">
        <f>IF(H59="非个人房产","",4)</f>
        <v>4</v>
      </c>
      <c r="K55" s="3563" t="str">
        <f>IF(H59="非个人房产","——","个人所得税")</f>
        <v>个人所得税</v>
      </c>
      <c r="L55" s="3563"/>
      <c r="M55" s="2526">
        <f ca="1">D59</f>
        <v>1522</v>
      </c>
      <c r="N55" s="2040" t="str">
        <f>E59</f>
        <v>差额计税</v>
      </c>
      <c r="O55" s="2527">
        <f>F59</f>
        <v>0.01</v>
      </c>
    </row>
    <row r="56" spans="1:35" ht="24.75">
      <c r="A56" s="3623" t="s">
        <v>1363</v>
      </c>
      <c r="B56" s="3601"/>
      <c r="C56" s="3601"/>
      <c r="D56" s="2324">
        <f ca="1">IF(H56="个人住宅",D57,D58)</f>
        <v>90435</v>
      </c>
      <c r="E56" s="2334" t="s">
        <v>1364</v>
      </c>
      <c r="F56" s="2552" t="str">
        <f>IF(H56="正常",F58,"免征")</f>
        <v>免征</v>
      </c>
      <c r="G56" s="2555" t="s">
        <v>1365</v>
      </c>
      <c r="H56" s="2556"/>
      <c r="I56" s="1808"/>
      <c r="J56" s="2521" t="str">
        <f>IF(项目基本情况!K6="上海银行",IF(J55="",4,J55+1),"")</f>
        <v/>
      </c>
      <c r="K56" s="3544" t="str">
        <f>IF(项目基本情况!K6="上海银行","其他处置费用","")</f>
        <v/>
      </c>
      <c r="L56" s="3545"/>
      <c r="M56" s="2523" t="str">
        <f>IF(项目基本情况!K6="上海银行",M69,"")</f>
        <v/>
      </c>
      <c r="N56" s="3544" t="str">
        <f>IF(项目基本情况!K6="上海银行","包含处置中涉及的律师、诉讼、拍卖、评估等费用","")</f>
        <v/>
      </c>
      <c r="O56" s="3547"/>
    </row>
    <row r="57" spans="1:35" ht="12.75">
      <c r="A57" s="2335" t="s">
        <v>1341</v>
      </c>
      <c r="B57" s="3587" t="s">
        <v>1366</v>
      </c>
      <c r="C57" s="3588"/>
      <c r="D57" s="1590">
        <v>0</v>
      </c>
      <c r="E57" s="324" t="s">
        <v>1343</v>
      </c>
      <c r="F57" s="302"/>
      <c r="G57" s="2553"/>
      <c r="H57" s="2557"/>
      <c r="I57" s="1808"/>
      <c r="J57" s="3563">
        <f>IF(AND(J55="",J56=""),4,IF(项目基本情况!K6="上海银行",结果表!J56+1,结果表!J55+1))</f>
        <v>5</v>
      </c>
      <c r="K57" s="3563" t="s">
        <v>1367</v>
      </c>
      <c r="L57" s="2528" t="s">
        <v>1368</v>
      </c>
      <c r="M57" s="2529"/>
      <c r="N57" s="2530">
        <f ca="1">SUMIF(M52:M56,"&lt;9e307")</f>
        <v>92037</v>
      </c>
      <c r="O57" s="2531"/>
      <c r="P57" s="2687" t="e">
        <f ca="1">N57/M49</f>
        <v>#VALUE!</v>
      </c>
    </row>
    <row r="58" spans="1:35" ht="24.75">
      <c r="A58" s="2335" t="s">
        <v>1352</v>
      </c>
      <c r="B58" s="3587" t="s">
        <v>1369</v>
      </c>
      <c r="C58" s="3586"/>
      <c r="D58" s="2324">
        <f ca="1">IF(H58="转让取得",C81,C97)</f>
        <v>90435</v>
      </c>
      <c r="E58" s="2334" t="s">
        <v>1364</v>
      </c>
      <c r="F58" s="302" t="s">
        <v>28</v>
      </c>
      <c r="G58" s="2553"/>
      <c r="H58" s="2556"/>
      <c r="I58" s="1808"/>
      <c r="J58" s="3563"/>
      <c r="K58" s="3563"/>
      <c r="L58" s="2528" t="s">
        <v>1370</v>
      </c>
      <c r="M58" s="2532"/>
      <c r="N58" s="2533" t="str">
        <f ca="1">NUMBERSTRING(INT(N57*10000),2)&amp;"元整"</f>
        <v>玖亿贰仟零叁拾柒万元整</v>
      </c>
      <c r="O58" s="2534"/>
    </row>
    <row r="59" spans="1:35" ht="24.75" thickBot="1">
      <c r="A59" s="3567" t="s">
        <v>1371</v>
      </c>
      <c r="B59" s="3568"/>
      <c r="C59" s="3568"/>
      <c r="D59" s="2558">
        <f ca="1">IF(H59="非个人房产","——",IF(H59="个人住宅（满五唯一有凭证）",0,IF(H59="个人其他（无凭证）",ROUND(D45*F59,0),ROUND(C67*F59,0))))</f>
        <v>1522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65">
        <f>J57+1</f>
        <v>6</v>
      </c>
      <c r="K59" s="3563" t="s">
        <v>1372</v>
      </c>
      <c r="L59" s="2521" t="s">
        <v>1368</v>
      </c>
      <c r="M59" s="2535"/>
      <c r="N59" s="2536" t="e">
        <f ca="1">M49-N57</f>
        <v>#VALUE!</v>
      </c>
      <c r="O59" s="2537"/>
    </row>
    <row r="60" spans="1:35" ht="12" customHeight="1">
      <c r="A60" s="1809"/>
      <c r="B60" s="1747"/>
      <c r="C60" s="1747"/>
      <c r="D60" s="1747"/>
      <c r="E60" s="1578"/>
      <c r="F60" s="1808"/>
      <c r="G60" s="1808"/>
      <c r="H60" s="1810"/>
      <c r="I60" s="129"/>
      <c r="J60" s="3566"/>
      <c r="K60" s="3563"/>
      <c r="L60" s="2528" t="s">
        <v>1370</v>
      </c>
      <c r="M60" s="2532"/>
      <c r="N60" s="2533" t="e">
        <f ca="1">NUMBERSTRING(INT(N59*10000),2)&amp;"元整"</f>
        <v>#VALUE!</v>
      </c>
      <c r="O60" s="2534"/>
    </row>
    <row r="61" spans="1:35" ht="13.5" thickBot="1">
      <c r="A61" s="3622" t="s">
        <v>1373</v>
      </c>
      <c r="B61" s="3622"/>
      <c r="C61" s="3622"/>
      <c r="D61" s="3622"/>
      <c r="E61" s="3622"/>
      <c r="F61" s="1808"/>
      <c r="G61" s="1808"/>
      <c r="H61" s="1810"/>
      <c r="I61" s="129"/>
      <c r="J61" s="2521">
        <f>J59+1</f>
        <v>7</v>
      </c>
      <c r="K61" s="3563" t="s">
        <v>1374</v>
      </c>
      <c r="L61" s="3563"/>
      <c r="M61" s="2538"/>
      <c r="N61" s="2539" t="e">
        <f ca="1">ROUND(N59*10000/'数据-汇总表'!E3,0)</f>
        <v>#VALUE!</v>
      </c>
      <c r="O61" s="2540"/>
    </row>
    <row r="62" spans="1:35" ht="12.75">
      <c r="A62" s="3582" t="s">
        <v>1375</v>
      </c>
      <c r="B62" s="3583"/>
      <c r="C62" s="2021"/>
      <c r="D62" s="2021" t="s">
        <v>1376</v>
      </c>
      <c r="E62" s="166" t="s">
        <v>1377</v>
      </c>
      <c r="F62" s="1808"/>
      <c r="G62" s="1808"/>
      <c r="H62" s="1810"/>
      <c r="I62" s="129"/>
    </row>
    <row r="63" spans="1:35" ht="12.75">
      <c r="A63" s="173" t="s">
        <v>330</v>
      </c>
      <c r="B63" s="167" t="s">
        <v>1378</v>
      </c>
      <c r="C63" s="2562">
        <f ca="1">ROUND((C64+C65)/(1+'数据-取费表'!C42),0)</f>
        <v>152171</v>
      </c>
      <c r="D63" s="167"/>
      <c r="E63" s="168"/>
      <c r="F63" s="1808"/>
      <c r="G63" s="1808"/>
      <c r="H63" s="1810"/>
      <c r="I63" s="129"/>
      <c r="J63" s="3546"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159780</v>
      </c>
      <c r="D64" s="170" t="s">
        <v>26</v>
      </c>
      <c r="E64" s="172"/>
      <c r="F64" s="1808"/>
      <c r="G64" s="1808"/>
      <c r="H64" s="1810"/>
      <c r="I64" s="129"/>
      <c r="J64" s="354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46"/>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46"/>
      <c r="K66" s="1332" t="s">
        <v>1387</v>
      </c>
      <c r="L66" s="1332" t="e">
        <f>M49*0.5%</f>
        <v>#VALUE!</v>
      </c>
      <c r="M66" s="302" t="e">
        <f>IF(L66&gt;0.5,0.5,ROUND(L66,0))</f>
        <v>#VALUE!</v>
      </c>
      <c r="N66" s="2542" t="s">
        <v>1388</v>
      </c>
      <c r="Z66" s="1752"/>
      <c r="AI66" s="1753"/>
    </row>
    <row r="67" spans="1:35" ht="14.25" customHeight="1">
      <c r="A67" s="173" t="s">
        <v>328</v>
      </c>
      <c r="B67" s="174" t="s">
        <v>1389</v>
      </c>
      <c r="C67" s="2566">
        <f ca="1">C63-C66</f>
        <v>152171</v>
      </c>
      <c r="D67" s="170" t="s">
        <v>26</v>
      </c>
      <c r="E67" s="172"/>
      <c r="F67" s="1808"/>
      <c r="G67" s="1808"/>
      <c r="H67" s="1810"/>
      <c r="I67" s="129"/>
      <c r="J67" s="354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8522</v>
      </c>
      <c r="D68" s="2568">
        <f>'数据-取费表'!B41</f>
        <v>5.6000000000000001E-2</v>
      </c>
      <c r="E68" s="178"/>
      <c r="F68" s="1808"/>
      <c r="G68" s="1808"/>
      <c r="H68" s="1810"/>
      <c r="I68" s="129"/>
      <c r="J68" s="3546"/>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46"/>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152171</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913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7" t="s">
        <v>1402</v>
      </c>
      <c r="F76" s="3586"/>
      <c r="G76" s="3586"/>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913</v>
      </c>
      <c r="D78" s="2575">
        <f>'数据-取费表'!B43</f>
        <v>6.000000000000001E-3</v>
      </c>
      <c r="E78" s="3579" t="s">
        <v>1406</v>
      </c>
      <c r="F78" s="3580"/>
      <c r="G78" s="3580"/>
      <c r="H78" s="358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151258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165.67141292442497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90435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152171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913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48" t="s">
        <v>2129</v>
      </c>
      <c r="H90" s="3549"/>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79" t="s">
        <v>1422</v>
      </c>
      <c r="F92" s="3580"/>
      <c r="G92" s="3580"/>
      <c r="H92" s="3581"/>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913</v>
      </c>
      <c r="D93" s="2575">
        <f>'数据-取费表'!B43</f>
        <v>6.000000000000001E-3</v>
      </c>
      <c r="E93" s="3579" t="s">
        <v>1406</v>
      </c>
      <c r="F93" s="3580"/>
      <c r="G93" s="3580"/>
      <c r="H93" s="358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4" t="s">
        <v>1426</v>
      </c>
      <c r="F94" s="3625"/>
      <c r="G94" s="3625"/>
      <c r="H94" s="36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151258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165.67141292442497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90435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29" t="s">
        <v>1428</v>
      </c>
      <c r="B100" s="3530"/>
      <c r="C100" s="3530"/>
      <c r="D100" s="3564"/>
      <c r="E100" s="3530" t="s">
        <v>1429</v>
      </c>
      <c r="F100" s="3530"/>
      <c r="G100" s="3530"/>
      <c r="H100" s="3564"/>
      <c r="I100" s="129"/>
    </row>
    <row r="101" spans="1:35" ht="18.75" customHeight="1">
      <c r="A101" s="3572" t="s">
        <v>1430</v>
      </c>
      <c r="B101" s="3573"/>
      <c r="C101" s="2583" t="str">
        <f>C4</f>
        <v>成本法</v>
      </c>
      <c r="D101" s="2584" t="str">
        <f>D4</f>
        <v>收益法</v>
      </c>
      <c r="E101" s="3542" t="s">
        <v>1431</v>
      </c>
      <c r="F101" s="3543"/>
      <c r="G101" s="1827" t="s">
        <v>1432</v>
      </c>
      <c r="H101" s="2593">
        <f ca="1">H118</f>
        <v>159780</v>
      </c>
      <c r="I101" s="129"/>
    </row>
    <row r="102" spans="1:35" ht="18.75" customHeight="1">
      <c r="A102" s="3574" t="s">
        <v>1433</v>
      </c>
      <c r="B102" s="2582" t="s">
        <v>1432</v>
      </c>
      <c r="C102" s="2583">
        <f ca="1">IF(D32="楼面单价",ROUND(C19,0),C19)</f>
        <v>129983</v>
      </c>
      <c r="D102" s="2584">
        <f ca="1">IF(D32="楼面单价",ROUND(D19,0),D19)</f>
        <v>179645</v>
      </c>
      <c r="E102" s="3542"/>
      <c r="F102" s="3543"/>
      <c r="G102" s="1827" t="s">
        <v>1434</v>
      </c>
      <c r="H102" s="2553">
        <f ca="1">I118</f>
        <v>25965</v>
      </c>
      <c r="I102" s="129"/>
    </row>
    <row r="103" spans="1:35" ht="42.75" customHeight="1">
      <c r="A103" s="3574"/>
      <c r="B103" s="2582" t="s">
        <v>1434</v>
      </c>
      <c r="C103" s="2585">
        <f ca="1">C20</f>
        <v>21123</v>
      </c>
      <c r="D103" s="2586">
        <f ca="1">D20</f>
        <v>29193</v>
      </c>
      <c r="E103" s="3535" t="s">
        <v>1435</v>
      </c>
      <c r="F103" s="3536"/>
      <c r="G103" s="1828" t="s">
        <v>1436</v>
      </c>
      <c r="H103" s="2593">
        <f>IF(D36="正常操作",H104+H105+H106,H105+H106)</f>
        <v>0</v>
      </c>
      <c r="I103" s="129"/>
    </row>
    <row r="104" spans="1:35" ht="18.75" customHeight="1">
      <c r="A104" s="3574" t="s">
        <v>1437</v>
      </c>
      <c r="B104" s="2587" t="s">
        <v>1432</v>
      </c>
      <c r="C104" s="2588">
        <f ca="1">H118</f>
        <v>159780</v>
      </c>
      <c r="D104" s="2589"/>
      <c r="E104" s="1674" t="s">
        <v>1438</v>
      </c>
      <c r="F104" s="1666"/>
      <c r="G104" s="1828" t="s">
        <v>1436</v>
      </c>
      <c r="H104" s="2594">
        <f>IF(D36="同一抵押权人同一抵押物续贷",C36&amp;"（续贷，未扣减，详见特别提示）",C36)</f>
        <v>0</v>
      </c>
      <c r="I104" s="129"/>
    </row>
    <row r="105" spans="1:35" ht="18.75" customHeight="1" thickBot="1">
      <c r="A105" s="3584"/>
      <c r="B105" s="2590" t="s">
        <v>1434</v>
      </c>
      <c r="C105" s="2591">
        <f ca="1">I118</f>
        <v>25965</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75" t="str">
        <f>IF(项目基本情况!E8="已注销","——","3.房地产抵押价值")</f>
        <v>3.房地产抵押价值</v>
      </c>
      <c r="F107" s="3543"/>
      <c r="G107" s="1827" t="s">
        <v>1432</v>
      </c>
      <c r="H107" s="2593">
        <f ca="1">IF(E107="——","——",H101-H103)</f>
        <v>159780</v>
      </c>
      <c r="I107" s="129"/>
    </row>
    <row r="108" spans="1:35" ht="18.75" customHeight="1">
      <c r="A108" s="129"/>
      <c r="B108" s="129"/>
      <c r="C108" s="129"/>
      <c r="D108" s="129"/>
      <c r="E108" s="3575"/>
      <c r="F108" s="3543"/>
      <c r="G108" s="1827" t="s">
        <v>1434</v>
      </c>
      <c r="H108" s="2553">
        <f ca="1">IF(H107=H101,H102,ROUND(H107*10000/'数据-汇总表'!E3,0))</f>
        <v>25965</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7" t="s">
        <v>1432</v>
      </c>
      <c r="H109" s="2596" t="str">
        <f>IF(E109="——","——",H101-H105-H106)</f>
        <v>——</v>
      </c>
      <c r="I109" s="129"/>
    </row>
    <row r="110" spans="1:35" ht="18.75" customHeight="1">
      <c r="A110" s="129"/>
      <c r="B110" s="129"/>
      <c r="C110" s="129"/>
      <c r="D110" s="129"/>
      <c r="E110" s="3575"/>
      <c r="F110" s="3543"/>
      <c r="G110" s="1827" t="s">
        <v>1434</v>
      </c>
      <c r="H110" s="2553"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7" t="s">
        <v>1432</v>
      </c>
      <c r="H111" s="2593" t="str">
        <f>IF(E111="——","——",N59)</f>
        <v>——</v>
      </c>
      <c r="I111" s="129"/>
    </row>
    <row r="112" spans="1:35" ht="18.75" customHeight="1" thickBot="1">
      <c r="A112" s="129"/>
      <c r="B112" s="129"/>
      <c r="C112" s="129"/>
      <c r="D112" s="129"/>
      <c r="E112" s="3577"/>
      <c r="F112" s="3578"/>
      <c r="G112" s="1830" t="s">
        <v>1434</v>
      </c>
      <c r="H112" s="2597"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3" t="s">
        <v>1442</v>
      </c>
      <c r="B115" s="3594"/>
      <c r="C115" s="3594"/>
      <c r="D115" s="3594"/>
      <c r="E115" s="3594"/>
      <c r="F115" s="3594"/>
      <c r="G115" s="3594"/>
      <c r="H115" s="3594"/>
      <c r="I115" s="3595"/>
    </row>
    <row r="116" spans="1:27" ht="27" customHeight="1">
      <c r="A116" s="3550" t="s">
        <v>1443</v>
      </c>
      <c r="B116" s="3554" t="s">
        <v>1444</v>
      </c>
      <c r="C116" s="3554" t="s">
        <v>1445</v>
      </c>
      <c r="D116" s="3560" t="s">
        <v>1446</v>
      </c>
      <c r="E116" s="3561"/>
      <c r="F116" s="3592" t="s">
        <v>1447</v>
      </c>
      <c r="G116" s="3592"/>
      <c r="H116" s="3550" t="s">
        <v>1448</v>
      </c>
      <c r="I116" s="3550"/>
    </row>
    <row r="117" spans="1:27" ht="18.75" customHeight="1">
      <c r="A117" s="3550"/>
      <c r="B117" s="3555"/>
      <c r="C117" s="3555"/>
      <c r="D117" s="2329" t="s">
        <v>1449</v>
      </c>
      <c r="E117" s="2329" t="s">
        <v>1450</v>
      </c>
      <c r="F117" s="2329" t="s">
        <v>1449</v>
      </c>
      <c r="G117" s="2329" t="s">
        <v>1451</v>
      </c>
      <c r="H117" s="2329" t="s">
        <v>1449</v>
      </c>
      <c r="I117" s="2329" t="s">
        <v>1451</v>
      </c>
    </row>
    <row r="118" spans="1:27" ht="24.75" customHeight="1">
      <c r="A118" s="2598" t="str">
        <f>项目基本情况!S2</f>
        <v>北京市北京经济技术开发区荣华中路19号1号楼房地产</v>
      </c>
      <c r="B118" s="2329">
        <f>M18</f>
        <v>61537.210000000036</v>
      </c>
      <c r="C118" s="2329">
        <f>M19</f>
        <v>15323.04</v>
      </c>
      <c r="D118" s="2329">
        <f ca="1">ROUND(IF(D32="总价",C34,E118*B118/10000),0)</f>
        <v>105295</v>
      </c>
      <c r="E118" s="2329">
        <f ca="1">ROUND(IF(C33="自定义",IF(D32="楼面单价",C34,D118*10000/B118),I118-G118),0)</f>
        <v>17111</v>
      </c>
      <c r="F118" s="2329">
        <f ca="1">ROUND(IF(D32="总价",C35,G118*B118/10000),0)</f>
        <v>54485</v>
      </c>
      <c r="G118" s="2329">
        <f ca="1">ROUND(IF(D32="楼面单价",C35,F118*10000/B118),0)</f>
        <v>8854</v>
      </c>
      <c r="H118" s="2329">
        <f ca="1">ROUND(IF(D32="总价",C32,I118*B118/10000),0)</f>
        <v>159780</v>
      </c>
      <c r="I118" s="2329">
        <f ca="1">ROUND(IF(D32="楼面单价",C32,H118*10000/B118),0)</f>
        <v>25965</v>
      </c>
    </row>
    <row r="119" spans="1:27" ht="18.75" customHeight="1">
      <c r="A119" s="3550" t="s">
        <v>1452</v>
      </c>
      <c r="B119" s="3550"/>
      <c r="C119" s="3550"/>
      <c r="D119" s="3556" t="str">
        <f ca="1">NUMBERSTRING(INT(D118*10000),2)&amp;"元整"</f>
        <v>壹拾亿伍仟贰佰玖拾伍万元整</v>
      </c>
      <c r="E119" s="3557"/>
      <c r="F119" s="3556" t="str">
        <f ca="1">NUMBERSTRING(INT(F118*10000),2)&amp;"元整"</f>
        <v>伍亿肆仟肆佰捌拾伍万元整</v>
      </c>
      <c r="G119" s="3557"/>
      <c r="H119" s="3556" t="str">
        <f ca="1">NUMBERSTRING(INT(H118*10000),2)&amp;"元整"</f>
        <v>壹拾伍亿玖仟柒佰捌拾万元整</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6" t="s">
        <v>1452</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房地产抵押价值</v>
      </c>
      <c r="B122" s="3562"/>
      <c r="C122" s="3562"/>
      <c r="D122" s="3551">
        <f ca="1">H107</f>
        <v>159780</v>
      </c>
      <c r="E122" s="3552"/>
      <c r="F122" s="3552"/>
      <c r="G122" s="3552"/>
      <c r="H122" s="3552"/>
      <c r="I122" s="3553"/>
      <c r="AA122" s="725"/>
    </row>
    <row r="123" spans="1:27" ht="18.75" customHeight="1">
      <c r="A123" s="3550" t="s">
        <v>1452</v>
      </c>
      <c r="B123" s="3550"/>
      <c r="C123" s="3550"/>
      <c r="D123" s="3556" t="str">
        <f ca="1">NUMBERSTRING(INT(D122*10000),2)&amp;"元整"</f>
        <v>壹拾伍亿玖仟柒佰捌拾万元整</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1452</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t="str">
        <f>H111</f>
        <v>——</v>
      </c>
      <c r="E126" s="3552"/>
      <c r="F126" s="3552"/>
      <c r="G126" s="3552"/>
      <c r="H126" s="3552"/>
      <c r="I126" s="3553"/>
      <c r="AA126" s="725"/>
    </row>
    <row r="127" spans="1:27" ht="18.75" customHeight="1">
      <c r="A127" s="3550" t="s">
        <v>1452</v>
      </c>
      <c r="B127" s="3550"/>
      <c r="C127" s="3550"/>
      <c r="D127" s="3556" t="e">
        <f>NUMBERSTRING(INT(D126*10000),2)&amp;"元整"</f>
        <v>#VALUE!</v>
      </c>
      <c r="E127" s="3558"/>
      <c r="F127" s="3558"/>
      <c r="G127" s="3558"/>
      <c r="H127" s="3558"/>
      <c r="I127" s="3557"/>
      <c r="AA127" s="725"/>
    </row>
    <row r="128" spans="1:27" ht="21.75" customHeight="1">
      <c r="A128" s="3559" t="s">
        <v>1453</v>
      </c>
      <c r="B128" s="3559"/>
      <c r="C128" s="3559"/>
      <c r="D128" s="3559"/>
      <c r="E128" s="3559"/>
      <c r="F128" s="3559"/>
      <c r="G128" s="3559"/>
      <c r="H128" s="3559"/>
      <c r="I128" s="355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115" zoomScaleNormal="80" zoomScaleSheetLayoutView="115" workbookViewId="0">
      <selection activeCell="D41" sqref="D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61537.210000000036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56278</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15537</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9145</v>
      </c>
      <c r="C3" s="1999" t="s">
        <v>1941</v>
      </c>
      <c r="D3" s="2000" t="s">
        <v>1942</v>
      </c>
      <c r="E3" s="3417" t="s">
        <v>3473</v>
      </c>
      <c r="F3" s="2004" t="s">
        <v>3474</v>
      </c>
      <c r="G3" s="752">
        <f>IF(F3="宗地容积率",'数据-汇总表'!I4,IF(F3="估价对象容积率",'数据-汇总表'!I6,'数据-汇总表'!I7))</f>
        <v>3.16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12246</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41"/>
      <c r="B4" s="3742"/>
      <c r="C4" s="3742"/>
      <c r="D4" s="3743"/>
      <c r="E4" s="3743"/>
      <c r="F4" s="3743"/>
      <c r="G4" s="3743"/>
      <c r="H4" s="3743"/>
      <c r="I4" s="3743"/>
      <c r="J4" s="374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10350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11030</v>
      </c>
      <c r="D5" s="1339">
        <f>ROUND(C6*C17+C20,0)</f>
        <v>11030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9128</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58">
        <f>ROUND(SUMPRODUCT((B106:B110=R6)*(C105:N105=G2)*(C106:N110)),4)</f>
        <v>0.84799999999999998</v>
      </c>
      <c r="T6" s="3358">
        <f t="shared" si="0"/>
        <v>8773</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3.16</v>
      </c>
      <c r="AA7" s="1216"/>
      <c r="AB7" s="1216"/>
      <c r="AC7" s="1217"/>
      <c r="AD7" s="1218"/>
      <c r="AE7" s="1218"/>
      <c r="AF7" s="1218"/>
      <c r="AG7" s="1218"/>
      <c r="AH7" s="1218"/>
      <c r="AI7" s="1218"/>
      <c r="AJ7" s="1219"/>
    </row>
    <row r="8" spans="1:36" ht="25.5">
      <c r="A8" s="3296"/>
      <c r="B8" s="170" t="s">
        <v>1957</v>
      </c>
      <c r="C8" s="2026" t="s">
        <v>3475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8" t="s">
        <v>1960</v>
      </c>
      <c r="X8" s="373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4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4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v>1</v>
      </c>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5" t="s">
        <v>3254</v>
      </c>
      <c r="B20" s="167" t="s">
        <v>1994</v>
      </c>
      <c r="C20" s="3322">
        <f>ROUND(IF(F21="与级别开发程度一致",0,(G21-E21)/C21),0)</f>
        <v>0</v>
      </c>
      <c r="D20" s="3338" t="s">
        <v>1998</v>
      </c>
      <c r="E20" s="3339"/>
      <c r="F20" s="3751" t="s">
        <v>1995</v>
      </c>
      <c r="G20" s="3752"/>
      <c r="H20" s="3323" t="s">
        <v>3382</v>
      </c>
      <c r="I20" s="3323" t="s">
        <v>3383</v>
      </c>
      <c r="J20" s="3324" t="s">
        <v>3384</v>
      </c>
      <c r="K20" s="2047" t="s">
        <v>3385</v>
      </c>
      <c r="L20" s="2047" t="s">
        <v>3386</v>
      </c>
      <c r="M20" s="2047" t="s">
        <v>3387</v>
      </c>
      <c r="N20" s="2047" t="s">
        <v>3388</v>
      </c>
      <c r="O20" s="2048" t="s">
        <v>3389</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3476</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50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45352</v>
      </c>
      <c r="H23" s="3340" t="s">
        <v>3255</v>
      </c>
      <c r="I23" s="3341" t="str">
        <f>IF(H23="季度增幅（自定义）",SUMIF(N25:N28,E2,O25:O28),"")</f>
        <v/>
      </c>
      <c r="J23" s="3443" t="s">
        <v>3477</v>
      </c>
      <c r="K23" s="1125"/>
      <c r="L23" s="2055" t="s">
        <v>2004</v>
      </c>
      <c r="M23" s="1328">
        <f>ROUND(SUMIF(地价!B2:G2,E2,地价!B16:G16),0)</f>
        <v>350</v>
      </c>
      <c r="N23" s="2056" t="s">
        <v>2005</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0.85880000000000001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30.04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3334</v>
      </c>
      <c r="C25" s="771">
        <f>IF(B25="容积率修正",IF(G3&lt;10,D26,J26),C27)</f>
        <v>0.95379999999999998</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3256</v>
      </c>
      <c r="D26" s="1352">
        <f>IF(E26=G26,F26,IF(G3&lt;10,ROUND(F26+(H26-F26)*(G3-E26)/(G26-E26),4),"——"))</f>
        <v>0.95379999999999998</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42" t="s">
        <v>3257</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56278</v>
      </c>
      <c r="D30" s="2083"/>
      <c r="E30" s="2046"/>
      <c r="F30" s="2084"/>
      <c r="G30" s="2046"/>
      <c r="H30" s="2046"/>
      <c r="I30" s="2046"/>
      <c r="J30" s="2085"/>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395</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9867</v>
      </c>
      <c r="D33" s="2098">
        <f>'数据-基础表'!I13</f>
        <v>55436.960000000036</v>
      </c>
      <c r="E33" s="773">
        <f>ROUND(C33*D33/10000,0)</f>
        <v>54700</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2467</v>
      </c>
      <c r="D34" s="2103"/>
      <c r="E34" s="773">
        <f>ROUND(IF(B25="楼层修正",SUM(V2:V16)*M40,C34*D34/10000),0)</f>
        <v>0</v>
      </c>
      <c r="F34" s="2104" t="s">
        <v>2032</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3264</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9"/>
      <c r="B37" s="2113" t="s">
        <v>2036</v>
      </c>
      <c r="C37" s="175">
        <f>ROUND(D5*C22*C23*C24*C28*F37,0)</f>
        <v>6207</v>
      </c>
      <c r="D37" s="2098"/>
      <c r="E37" s="171">
        <f>ROUND(C37*D37/10000,0)</f>
        <v>0</v>
      </c>
      <c r="F37" s="171">
        <f>SUMIF(修正!A57:A68,G2,修正!B57:B68)</f>
        <v>0.6</v>
      </c>
      <c r="G37" s="171">
        <f>ROUND(IF(E2="工业",C37*$M$42,C37*$M$41),0)</f>
        <v>1552</v>
      </c>
      <c r="H37" s="171">
        <f>D37</f>
        <v>0</v>
      </c>
      <c r="I37" s="171">
        <f>ROUND(G37*H37/10000,0)</f>
        <v>0</v>
      </c>
      <c r="J37" s="3009"/>
      <c r="K37" s="3356" t="s">
        <v>3265</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0"/>
      <c r="B38" s="2041" t="s">
        <v>2037</v>
      </c>
      <c r="C38" s="175">
        <f>ROUND(D5*C22*C23*C24*C28*F38,0)</f>
        <v>3103</v>
      </c>
      <c r="D38" s="2098"/>
      <c r="E38" s="171">
        <f t="shared" ref="E38:E42" si="4">ROUND(C38*D38/10000,0)</f>
        <v>0</v>
      </c>
      <c r="F38" s="171">
        <f>SUMIF(修正!A57:A68,G2,修正!C57:C68)</f>
        <v>0.3</v>
      </c>
      <c r="G38" s="171">
        <f>ROUND(IF(E2="工业",C38*$M$42,C38*$M$41),0)</f>
        <v>776</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0"/>
      <c r="B39" s="2041" t="s">
        <v>3258</v>
      </c>
      <c r="C39" s="175">
        <f>ROUND(D5*C22*C23*C24*C28*F39,0)</f>
        <v>2586</v>
      </c>
      <c r="D39" s="2098"/>
      <c r="E39" s="171">
        <f t="shared" si="4"/>
        <v>0</v>
      </c>
      <c r="F39" s="171">
        <f>SUMIF(修正!A57:A68,G2,修正!D57:D68)</f>
        <v>0.25</v>
      </c>
      <c r="G39" s="171">
        <f>ROUND(IF(E2="工业",C39*$M$42,C39*$M$41),0)</f>
        <v>647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2586</v>
      </c>
      <c r="D40" s="2098">
        <f>'数据-汇总表'!G19</f>
        <v>6100.25</v>
      </c>
      <c r="E40" s="171">
        <f t="shared" si="4"/>
        <v>1578</v>
      </c>
      <c r="F40" s="175">
        <f>SUMIF(修正!A57:A68,G2,修正!E57:E68)</f>
        <v>0.25</v>
      </c>
      <c r="G40" s="171">
        <f>ROUND(IF(E2="工业",C40*$M$42,C40*$M$41),0)</f>
        <v>647</v>
      </c>
      <c r="H40" s="171">
        <f t="shared" si="5"/>
        <v>6100.25</v>
      </c>
      <c r="I40" s="171">
        <f t="shared" si="6"/>
        <v>395</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2586</v>
      </c>
      <c r="D41" s="2098"/>
      <c r="E41" s="171">
        <f t="shared" si="4"/>
        <v>0</v>
      </c>
      <c r="F41" s="175">
        <f>SUMIF(修正!A57:A68,G2,修正!F57:F68)</f>
        <v>0.25</v>
      </c>
      <c r="G41" s="171">
        <f>ROUND(IF(E2="工业",C41*$M$42,C41*$M$41),0)</f>
        <v>647</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1552</v>
      </c>
      <c r="D42" s="2103"/>
      <c r="E42" s="187">
        <f t="shared" si="4"/>
        <v>0</v>
      </c>
      <c r="F42" s="767">
        <f>SUMIF(修正!A57:A68,G2,修正!G57:G68)</f>
        <v>0.15</v>
      </c>
      <c r="G42" s="187">
        <f>ROUND(IF(E2="工业",C42*$M$42,C42*$M$41),0)</f>
        <v>388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0.85880000000000001</v>
      </c>
      <c r="D44" s="171" t="s">
        <v>1999</v>
      </c>
      <c r="E44" s="2153">
        <f>G24</f>
        <v>5.5E-2</v>
      </c>
      <c r="F44" s="171" t="s">
        <v>2008</v>
      </c>
      <c r="G44" s="183">
        <f>I24</f>
        <v>30.04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3268</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次干道-荣京西街</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博大公园、亦庄新城滨河公园</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5.5">
      <c r="A61" s="2130" t="s">
        <v>2064</v>
      </c>
      <c r="B61" s="2133" t="str">
        <f>估价对象房地状况!C17</f>
        <v>国锐金嵿、大族广场、亦城财富中心</v>
      </c>
      <c r="C61" s="2044" t="s">
        <v>3469</v>
      </c>
      <c r="D61" s="1065">
        <f t="shared" ref="D61:D69" si="12">SUMIF($J$60:$N$60,C61,J61:N61)</f>
        <v>1.5699999999999999E-2</v>
      </c>
      <c r="E61" s="744">
        <f>ROUND(SUM(D61:D69),4)</f>
        <v>6.0600000000000001E-2</v>
      </c>
      <c r="F61" s="1814">
        <f>IF(E2="办公",SUMIF(L1:L12,G2,N1:N12),"——")</f>
        <v>0.126</v>
      </c>
      <c r="G61" s="1063">
        <v>1.5699999999999999E-2</v>
      </c>
      <c r="H61" s="1066">
        <f t="shared" ref="H61:H69" si="13">IFERROR(ROUNDDOWN($F$61*I61/2,4),"——")</f>
        <v>1.5699999999999999E-2</v>
      </c>
      <c r="I61" s="3364">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t="s">
        <v>3469</v>
      </c>
      <c r="D62" s="1065">
        <f t="shared" si="12"/>
        <v>1.6299999999999999E-2</v>
      </c>
      <c r="E62" s="745"/>
      <c r="F62" s="1814"/>
      <c r="G62" s="1063">
        <v>1.6299999999999999E-2</v>
      </c>
      <c r="H62" s="1066">
        <f t="shared" si="13"/>
        <v>1.6299999999999999E-2</v>
      </c>
      <c r="I62" s="3364">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t="s">
        <v>3469</v>
      </c>
      <c r="D63" s="1065">
        <f t="shared" si="12"/>
        <v>6.8999999999999999E-3</v>
      </c>
      <c r="E63" s="745"/>
      <c r="F63" s="1814"/>
      <c r="G63" s="1063">
        <v>6.8999999999999999E-3</v>
      </c>
      <c r="H63" s="1066">
        <f t="shared" si="13"/>
        <v>6.8999999999999999E-3</v>
      </c>
      <c r="I63" s="3364">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3469</v>
      </c>
      <c r="D64" s="1065">
        <f t="shared" si="12"/>
        <v>3.0999999999999999E-3</v>
      </c>
      <c r="E64" s="745"/>
      <c r="F64" s="1814"/>
      <c r="G64" s="1063">
        <v>3.0999999999999999E-3</v>
      </c>
      <c r="H64" s="1066">
        <f t="shared" si="13"/>
        <v>3.0999999999999999E-3</v>
      </c>
      <c r="I64" s="3364">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t="str">
        <f>估价对象房地状况!C24</f>
        <v>次干道-荣京西街</v>
      </c>
      <c r="C65" s="2044" t="s">
        <v>3478</v>
      </c>
      <c r="D65" s="1065">
        <f t="shared" si="12"/>
        <v>0</v>
      </c>
      <c r="E65" s="745"/>
      <c r="F65" s="1814"/>
      <c r="G65" s="1063">
        <v>3.0999999999999999E-3</v>
      </c>
      <c r="H65" s="1066">
        <f t="shared" si="13"/>
        <v>3.0999999999999999E-3</v>
      </c>
      <c r="I65" s="3364">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3469</v>
      </c>
      <c r="D66" s="1065">
        <f t="shared" si="12"/>
        <v>3.7000000000000002E-3</v>
      </c>
      <c r="E66" s="745"/>
      <c r="F66" s="1814"/>
      <c r="G66" s="1063">
        <v>3.7000000000000002E-3</v>
      </c>
      <c r="H66" s="1066">
        <f t="shared" si="13"/>
        <v>3.7000000000000002E-3</v>
      </c>
      <c r="I66" s="3364">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t="s">
        <v>3469</v>
      </c>
      <c r="D67" s="1065">
        <f t="shared" si="12"/>
        <v>3.7000000000000002E-3</v>
      </c>
      <c r="E67" s="745"/>
      <c r="F67" s="1814"/>
      <c r="G67" s="1063">
        <v>3.7000000000000002E-3</v>
      </c>
      <c r="H67" s="1066">
        <f t="shared" si="13"/>
        <v>3.7000000000000002E-3</v>
      </c>
      <c r="I67" s="3364">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3479</v>
      </c>
      <c r="D68" s="1065">
        <f t="shared" si="12"/>
        <v>1.12E-2</v>
      </c>
      <c r="E68" s="745"/>
      <c r="F68" s="1814"/>
      <c r="G68" s="1063">
        <v>5.5999999999999999E-3</v>
      </c>
      <c r="H68" s="1066">
        <f t="shared" si="13"/>
        <v>5.5999999999999999E-3</v>
      </c>
      <c r="I68" s="3364">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博大公园、亦庄新城滨河公园</v>
      </c>
      <c r="C69" s="2044" t="s">
        <v>3478</v>
      </c>
      <c r="D69" s="1065">
        <f t="shared" si="12"/>
        <v>0</v>
      </c>
      <c r="E69" s="746"/>
      <c r="F69" s="1814"/>
      <c r="G69" s="1063">
        <v>4.4000000000000003E-3</v>
      </c>
      <c r="H69" s="1066">
        <f t="shared" si="13"/>
        <v>4.4000000000000003E-3</v>
      </c>
      <c r="I69" s="3365">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次干道-荣京西街</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博大公园、亦庄新城滨河公园</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2612</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3272</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t="str">
        <f>估价对象房地状况!C24</f>
        <v>次干道-荣京西街</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3276</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3277</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3278</v>
      </c>
      <c r="B101" s="3384" t="str">
        <f>估价对象房地状况!C20</f>
        <v>博大公园、亦庄新城滨河公园</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7" t="s">
        <v>3293</v>
      </c>
      <c r="B103" s="3747"/>
      <c r="C103" s="3747"/>
      <c r="D103" s="3747"/>
      <c r="E103" s="3747"/>
      <c r="F103" s="3747"/>
      <c r="G103" s="3747"/>
      <c r="H103" s="3747"/>
      <c r="I103" s="3747"/>
      <c r="J103" s="3747"/>
      <c r="K103" s="3387"/>
      <c r="L103" s="3387"/>
      <c r="M103" s="3387"/>
      <c r="N103" s="3387"/>
    </row>
    <row r="104" spans="1:14">
      <c r="A104" s="3748" t="s">
        <v>3294</v>
      </c>
      <c r="B104" s="3748" t="s">
        <v>3295</v>
      </c>
      <c r="C104" s="3388" t="s">
        <v>3296</v>
      </c>
      <c r="D104" s="3389"/>
      <c r="E104" s="3389"/>
      <c r="F104" s="3389"/>
      <c r="G104" s="3389"/>
      <c r="H104" s="3389"/>
      <c r="I104" s="3389"/>
      <c r="J104" s="3390"/>
      <c r="K104" s="3391"/>
      <c r="L104" s="3391"/>
      <c r="M104" s="3391"/>
      <c r="N104" s="3391"/>
    </row>
    <row r="105" spans="1:14">
      <c r="A105" s="3748"/>
      <c r="B105" s="374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3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7" t="s">
        <v>3310</v>
      </c>
      <c r="B113" s="3737"/>
      <c r="C113" s="3737"/>
      <c r="D113" s="3737"/>
      <c r="E113" s="3737"/>
      <c r="F113" s="3737"/>
      <c r="G113" s="3737"/>
      <c r="H113" s="3737"/>
      <c r="I113" s="3737"/>
      <c r="J113" s="373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3.16</v>
      </c>
      <c r="C116" s="3397" t="s">
        <v>3312</v>
      </c>
      <c r="D116" s="3398">
        <f>SUMPRODUCT((A118:A122=F116)*(B117:M117=H116)*B118:M122)</f>
        <v>0.89659999999999995</v>
      </c>
      <c r="E116" s="2000" t="s">
        <v>3313</v>
      </c>
      <c r="F116" s="3399" t="str">
        <f>E2</f>
        <v>办公</v>
      </c>
      <c r="G116" s="2000" t="s">
        <v>3314</v>
      </c>
      <c r="H116" s="3399" t="str">
        <f>G2</f>
        <v>六级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0.96199999999999997</v>
      </c>
      <c r="C118" s="3385">
        <f>B118</f>
        <v>0.96199999999999997</v>
      </c>
      <c r="D118" s="3385">
        <f>ROUND(0.949-0.014*B116,4)</f>
        <v>0.90480000000000005</v>
      </c>
      <c r="E118" s="3385">
        <f>D118</f>
        <v>0.90480000000000005</v>
      </c>
      <c r="F118" s="3385">
        <f>E118</f>
        <v>0.90480000000000005</v>
      </c>
      <c r="G118" s="3385">
        <f>F118</f>
        <v>0.90480000000000005</v>
      </c>
      <c r="H118" s="3385">
        <f>G118</f>
        <v>0.90480000000000005</v>
      </c>
      <c r="I118" s="3385">
        <f>ROUND(0.8486-0.018*B116,4)</f>
        <v>0.79169999999999996</v>
      </c>
      <c r="J118" s="3385">
        <f t="shared" ref="J118:M122" si="35">I118</f>
        <v>0.79169999999999996</v>
      </c>
      <c r="K118" s="3385">
        <f t="shared" si="35"/>
        <v>0.79169999999999996</v>
      </c>
      <c r="L118" s="3385">
        <f t="shared" si="35"/>
        <v>0.79169999999999996</v>
      </c>
      <c r="M118" s="3408">
        <f t="shared" si="35"/>
        <v>0.79169999999999996</v>
      </c>
      <c r="N118" s="3395"/>
    </row>
    <row r="119" spans="1:14">
      <c r="A119" s="3407" t="s">
        <v>3328</v>
      </c>
      <c r="B119" s="3385">
        <f>ROUND(0.993-0.0112*B116,4)</f>
        <v>0.95760000000000001</v>
      </c>
      <c r="C119" s="3385">
        <f>B119</f>
        <v>0.95760000000000001</v>
      </c>
      <c r="D119" s="3385">
        <f>ROUND(0.9415-0.0142*B116,4)</f>
        <v>0.89659999999999995</v>
      </c>
      <c r="E119" s="3385">
        <f t="shared" ref="E119:H120" si="36">D119</f>
        <v>0.89659999999999995</v>
      </c>
      <c r="F119" s="3385">
        <f t="shared" si="36"/>
        <v>0.89659999999999995</v>
      </c>
      <c r="G119" s="3385">
        <f t="shared" si="36"/>
        <v>0.89659999999999995</v>
      </c>
      <c r="H119" s="3385">
        <f t="shared" si="36"/>
        <v>0.89659999999999995</v>
      </c>
      <c r="I119" s="3385">
        <f>ROUND(0.838-0.0182*B116,4)</f>
        <v>0.78049999999999997</v>
      </c>
      <c r="J119" s="3385">
        <f t="shared" si="35"/>
        <v>0.78049999999999997</v>
      </c>
      <c r="K119" s="3385">
        <f t="shared" si="35"/>
        <v>0.78049999999999997</v>
      </c>
      <c r="L119" s="3385">
        <f t="shared" si="35"/>
        <v>0.78049999999999997</v>
      </c>
      <c r="M119" s="3408">
        <f t="shared" si="35"/>
        <v>0.78049999999999997</v>
      </c>
      <c r="N119" s="3395"/>
    </row>
    <row r="120" spans="1:14">
      <c r="A120" s="3407" t="s">
        <v>3329</v>
      </c>
      <c r="B120" s="3385">
        <f>ROUND(0.9448-0.0115*B116,4)</f>
        <v>0.90849999999999997</v>
      </c>
      <c r="C120" s="3385">
        <f>B120</f>
        <v>0.90849999999999997</v>
      </c>
      <c r="D120" s="3385">
        <f>ROUND(0.937-0.0145*B116,4)</f>
        <v>0.89119999999999999</v>
      </c>
      <c r="E120" s="3385">
        <f t="shared" si="36"/>
        <v>0.89119999999999999</v>
      </c>
      <c r="F120" s="3385">
        <f t="shared" si="36"/>
        <v>0.89119999999999999</v>
      </c>
      <c r="G120" s="3385">
        <f t="shared" si="36"/>
        <v>0.89119999999999999</v>
      </c>
      <c r="H120" s="3385">
        <f t="shared" si="36"/>
        <v>0.89119999999999999</v>
      </c>
      <c r="I120" s="3385">
        <f>ROUND(0.7965-0.0185*B116,4)</f>
        <v>0.73799999999999999</v>
      </c>
      <c r="J120" s="3385">
        <f t="shared" si="35"/>
        <v>0.73799999999999999</v>
      </c>
      <c r="K120" s="3385">
        <f t="shared" si="35"/>
        <v>0.73799999999999999</v>
      </c>
      <c r="L120" s="3385">
        <f t="shared" si="35"/>
        <v>0.73799999999999999</v>
      </c>
      <c r="M120" s="3408">
        <f t="shared" si="35"/>
        <v>0.73799999999999999</v>
      </c>
      <c r="N120" s="3395"/>
    </row>
    <row r="121" spans="1:14" ht="13.5" thickBot="1">
      <c r="A121" s="3409" t="s">
        <v>3330</v>
      </c>
      <c r="B121" s="3410">
        <f>ROUND(0.7836-0.012*B116,4)</f>
        <v>0.74570000000000003</v>
      </c>
      <c r="C121" s="3410">
        <f>B121</f>
        <v>0.74570000000000003</v>
      </c>
      <c r="D121" s="3410">
        <f>ROUND(0.753-0.015*B116,4)</f>
        <v>0.7056</v>
      </c>
      <c r="E121" s="3410">
        <f>D121</f>
        <v>0.7056</v>
      </c>
      <c r="F121" s="3410">
        <f>E121</f>
        <v>0.7056</v>
      </c>
      <c r="G121" s="3410">
        <f>ROUND(0.6612-0.018*B116,4)</f>
        <v>0.60429999999999995</v>
      </c>
      <c r="H121" s="3410">
        <f>G121</f>
        <v>0.60429999999999995</v>
      </c>
      <c r="I121" s="3410">
        <f>ROUND(0.5905-0.019*B116,4)</f>
        <v>0.53049999999999997</v>
      </c>
      <c r="J121" s="3410">
        <f t="shared" si="35"/>
        <v>0.53049999999999997</v>
      </c>
      <c r="K121" s="3410">
        <f t="shared" si="35"/>
        <v>0.53049999999999997</v>
      </c>
      <c r="L121" s="3410">
        <f t="shared" si="35"/>
        <v>0.53049999999999997</v>
      </c>
      <c r="M121" s="3411">
        <f t="shared" si="35"/>
        <v>0.53049999999999997</v>
      </c>
      <c r="N121" s="3395"/>
    </row>
    <row r="122" spans="1:14">
      <c r="A122" s="3412" t="s">
        <v>2612</v>
      </c>
      <c r="B122" s="3385">
        <f>ROUND(0.9404-0.0106*B116,4)</f>
        <v>0.90690000000000004</v>
      </c>
      <c r="C122" s="3385">
        <f>B122</f>
        <v>0.90690000000000004</v>
      </c>
      <c r="D122" s="3385">
        <f>ROUND(0.8955-0.0135*B116,4)</f>
        <v>0.8528</v>
      </c>
      <c r="E122" s="3385">
        <f t="shared" ref="E122:H122" si="37">D122</f>
        <v>0.8528</v>
      </c>
      <c r="F122" s="3385">
        <f t="shared" si="37"/>
        <v>0.8528</v>
      </c>
      <c r="G122" s="3385">
        <f t="shared" si="37"/>
        <v>0.8528</v>
      </c>
      <c r="H122" s="3385">
        <f t="shared" si="37"/>
        <v>0.8528</v>
      </c>
      <c r="I122" s="3385">
        <f>ROUND(0.7632-0.0166*B116,4)</f>
        <v>0.7107</v>
      </c>
      <c r="J122" s="3385">
        <f t="shared" si="35"/>
        <v>0.7107</v>
      </c>
      <c r="K122" s="3385">
        <f t="shared" si="35"/>
        <v>0.7107</v>
      </c>
      <c r="L122" s="3385">
        <f t="shared" si="35"/>
        <v>0.7107</v>
      </c>
      <c r="M122" s="3408">
        <f t="shared" si="35"/>
        <v>0.7107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H24" sqref="H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3462</v>
      </c>
      <c r="C1" s="198"/>
      <c r="D1" s="198"/>
      <c r="E1" s="198"/>
      <c r="F1" s="198"/>
      <c r="G1" s="1126">
        <f>MATCH(B1,'数据-取费表'!A6:A16,0)+5</f>
        <v>6</v>
      </c>
    </row>
    <row r="2" spans="1:9" s="200" customFormat="1" ht="18" customHeight="1">
      <c r="A2" s="201" t="s">
        <v>1462</v>
      </c>
      <c r="B2" s="202">
        <f ca="1">IF(D2="——",C52,C52-E2)</f>
        <v>129983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21123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59225</v>
      </c>
      <c r="D5" s="211" t="s">
        <v>1469</v>
      </c>
      <c r="E5" s="212" t="s">
        <v>1470</v>
      </c>
      <c r="F5" s="212" t="s">
        <v>1471</v>
      </c>
      <c r="G5" s="213"/>
    </row>
    <row r="6" spans="1:9" s="214" customFormat="1" ht="13.5" customHeight="1">
      <c r="A6" s="778" t="s">
        <v>1472</v>
      </c>
      <c r="B6" s="215" t="s">
        <v>1473</v>
      </c>
      <c r="C6" s="216">
        <f>基准地价修正!B2</f>
        <v>56278</v>
      </c>
      <c r="D6" s="217"/>
      <c r="E6" s="218"/>
      <c r="F6" s="218"/>
      <c r="G6" s="219"/>
    </row>
    <row r="7" spans="1:9" s="214" customFormat="1" ht="13.5" customHeight="1">
      <c r="A7" s="778" t="s">
        <v>1474</v>
      </c>
      <c r="B7" s="215" t="s">
        <v>1475</v>
      </c>
      <c r="C7" s="220">
        <f>ROUND(C6*F7,0)</f>
        <v>1716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v>
      </c>
      <c r="D8" s="222"/>
      <c r="E8" s="220"/>
      <c r="F8" s="221"/>
      <c r="G8" s="1856" t="s">
        <v>3480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3482</v>
      </c>
      <c r="H9" s="1137"/>
      <c r="I9" s="1858" t="s">
        <v>1479</v>
      </c>
    </row>
    <row r="10" spans="1:9" s="214" customFormat="1" ht="13.5" customHeight="1">
      <c r="A10" s="779" t="s">
        <v>356</v>
      </c>
      <c r="B10" s="224" t="s">
        <v>1480</v>
      </c>
      <c r="C10" s="225">
        <f ca="1">ROUND(D10*E10/10000,0)</f>
        <v>1231</v>
      </c>
      <c r="D10" s="845">
        <f ca="1">IF(B1="",'数据-汇总表'!E6,IF(INDIRECT("'数据-取费表'!c"&amp;$G$1)="住宅",INDIRECT("'数据-取费表'!s"&amp;$G$1),INDIRECT("'数据-取费表'!k"&amp;$G$1)+INDIRECT("'数据-取费表'!s"&amp;$G$1)))</f>
        <v>61537.210000000036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61537.210000000036</v>
      </c>
      <c r="E19" s="211">
        <f>'数据-取费表'!B31</f>
        <v>200</v>
      </c>
      <c r="F19" s="231"/>
      <c r="G19" s="1856" t="s">
        <v>3481</v>
      </c>
    </row>
    <row r="20" spans="1:7" s="214" customFormat="1" ht="13.5" customHeight="1">
      <c r="A20" s="255" t="s">
        <v>1493</v>
      </c>
      <c r="B20" s="210" t="s">
        <v>1494</v>
      </c>
      <c r="C20" s="232">
        <f ca="1">ROUND((C5+C19)*F20,0)</f>
        <v>1185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6406</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6344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12082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12082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85601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38587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35076</v>
      </c>
      <c r="D34" s="217"/>
      <c r="E34" s="220"/>
      <c r="F34" s="257">
        <f ca="1">IF('数据-取费表'!B24=0,1,IF(B1="",'数据-取费表'!N16,INDIRECT("'数据-取费表'!n"&amp;$G$1)))</f>
        <v>1</v>
      </c>
      <c r="G34" s="219" t="s">
        <v>1526</v>
      </c>
    </row>
    <row r="35" spans="1:7" ht="13.5" customHeight="1">
      <c r="A35" s="780" t="s">
        <v>351</v>
      </c>
      <c r="B35" s="215" t="s">
        <v>1527</v>
      </c>
      <c r="C35" s="220">
        <f ca="1">ROUND(C34*F35,0)</f>
        <v>1754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1231</v>
      </c>
      <c r="D37" s="217">
        <f ca="1">D19</f>
        <v>61537.210000000036</v>
      </c>
      <c r="E37" s="249">
        <f>'数据-取费表'!B35</f>
        <v>200</v>
      </c>
      <c r="F37" s="259"/>
      <c r="G37" s="261" t="s">
        <v>1532</v>
      </c>
    </row>
    <row r="38" spans="1:7" ht="13.5" customHeight="1">
      <c r="A38" s="780" t="s">
        <v>354</v>
      </c>
      <c r="B38" s="215" t="s">
        <v>1533</v>
      </c>
      <c r="C38" s="220">
        <f ca="1">ROUND(C34*F38,0)</f>
        <v>526</v>
      </c>
      <c r="D38" s="220"/>
      <c r="E38" s="220"/>
      <c r="F38" s="259">
        <f>'数据-取费表'!B36</f>
        <v>1.4999999999999999E-2</v>
      </c>
      <c r="G38" s="219" t="s">
        <v>1528</v>
      </c>
    </row>
    <row r="39" spans="1:7" s="214" customFormat="1" ht="13.5" customHeight="1">
      <c r="A39" s="255" t="s">
        <v>1534</v>
      </c>
      <c r="B39" s="210" t="s">
        <v>1535</v>
      </c>
      <c r="C39" s="232">
        <f ca="1">ROUND(C33*F20,0)</f>
        <v>772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2014</v>
      </c>
      <c r="D42" s="238"/>
      <c r="E42" s="238"/>
      <c r="F42" s="239"/>
      <c r="G42" s="3629" t="s">
        <v>1544</v>
      </c>
    </row>
    <row r="43" spans="1:7" ht="13.5" customHeight="1">
      <c r="A43" s="780" t="s">
        <v>347</v>
      </c>
      <c r="B43" s="215" t="s">
        <v>1545</v>
      </c>
      <c r="C43" s="238">
        <f ca="1">ROUND(IF('数据-取费表'!B22&lt;=1,C39*F22*'数据-取费表'!B21/2,C39*(POWER((1+F22),'数据-取费表'!B21/2)-1)),0)</f>
        <v>40</v>
      </c>
      <c r="D43" s="238"/>
      <c r="E43" s="238"/>
      <c r="F43" s="239"/>
      <c r="G43" s="3630"/>
    </row>
    <row r="44" spans="1:7" ht="13.5" customHeight="1">
      <c r="A44" s="780" t="s">
        <v>348</v>
      </c>
      <c r="B44" s="215" t="s">
        <v>1546</v>
      </c>
      <c r="C44" s="238">
        <f ca="1">ROUND(IF('数据-取费表'!B22&lt;=1,C40*F22*'数据-取费表'!B21/2,C40*(POWER((1+F22),'数据-取费表'!B21/2)-1)),4)</f>
        <v>1E-3</v>
      </c>
      <c r="D44" s="238"/>
      <c r="E44" s="238"/>
      <c r="F44" s="239"/>
      <c r="G44" s="3631"/>
    </row>
    <row r="45" spans="1:7" s="214" customFormat="1" ht="13.5" customHeight="1">
      <c r="A45" s="255" t="s">
        <v>1547</v>
      </c>
      <c r="B45" s="244" t="s">
        <v>1513</v>
      </c>
      <c r="C45" s="245">
        <f ca="1">C46</f>
        <v>7872</v>
      </c>
      <c r="D45" s="235">
        <f ca="1">C47</f>
        <v>4.0000000000000001E-3</v>
      </c>
      <c r="E45" s="236" t="s">
        <v>1539</v>
      </c>
      <c r="F45" s="246">
        <f ca="1">F27</f>
        <v>0.2</v>
      </c>
      <c r="G45" s="247" t="s">
        <v>1548</v>
      </c>
    </row>
    <row r="46" spans="1:7" s="214" customFormat="1" ht="13.5" customHeight="1">
      <c r="A46" s="780" t="s">
        <v>346</v>
      </c>
      <c r="B46" s="248" t="s">
        <v>1549</v>
      </c>
      <c r="C46" s="249">
        <f ca="1">ROUND((C33+C39)*F27,0)</f>
        <v>7872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53472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44382</v>
      </c>
      <c r="D51" s="232"/>
      <c r="E51" s="232"/>
      <c r="F51" s="264"/>
      <c r="G51" s="234" t="s">
        <v>1560</v>
      </c>
    </row>
    <row r="52" spans="1:7" s="208" customFormat="1" ht="16.5" thickBot="1">
      <c r="A52" s="265" t="s">
        <v>1561</v>
      </c>
      <c r="B52" s="266"/>
      <c r="C52" s="267">
        <f ca="1">C31+C51</f>
        <v>129983</v>
      </c>
      <c r="D52" s="266"/>
      <c r="E52" s="266"/>
      <c r="F52" s="266"/>
      <c r="G52" s="268"/>
    </row>
    <row r="55" spans="1:7" ht="15">
      <c r="B55" s="270" t="s">
        <v>1562</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47938.9686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7790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12307442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12307442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12307442</v>
      </c>
      <c r="D10" s="845">
        <f ca="1">IF(B1="",'数据-汇总表'!E6,IF(INDIRECT("'数据-取费表'!c"&amp;$G$1)="住宅",INDIRECT("'数据-取费表'!s"&amp;$G$1),INDIRECT("'数据-取费表'!k"&amp;$G$1)+INDIRECT("'数据-取费表'!s"&amp;$G$1)))</f>
        <v>61537.210000000036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12307442</v>
      </c>
      <c r="D19" s="849">
        <f ca="1">D9+D10</f>
        <v>61537.210000000036</v>
      </c>
      <c r="E19" s="211">
        <f>'数据-取费表'!B31</f>
        <v>200</v>
      </c>
      <c r="F19" s="231"/>
      <c r="G19" s="1856"/>
    </row>
    <row r="20" spans="1:7" s="214" customFormat="1" ht="13.5" customHeight="1">
      <c r="A20" s="255" t="s">
        <v>1574</v>
      </c>
      <c r="B20" s="210" t="s">
        <v>1575</v>
      </c>
      <c r="C20" s="232">
        <f ca="1">ROUND((C5+C19)*F20,0)</f>
        <v>492298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2662239</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1318272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1318272</v>
      </c>
      <c r="D24" s="238"/>
      <c r="E24" s="238"/>
      <c r="F24" s="239"/>
      <c r="G24" s="240" t="s">
        <v>1586</v>
      </c>
    </row>
    <row r="25" spans="1:7" s="214" customFormat="1" ht="24">
      <c r="A25" s="780" t="s">
        <v>1476</v>
      </c>
      <c r="B25" s="215" t="s">
        <v>1587</v>
      </c>
      <c r="C25" s="1128">
        <f ca="1">ROUND(IF('数据-取费表'!B22&lt;=1,C20*F22*'数据-取费表'!B22/2,C20*(POWER((1+F22),'数据-取费表'!B22/2)-1)),0)</f>
        <v>25695</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5021436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5021436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35576497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385869075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350762097</v>
      </c>
      <c r="D34" s="217"/>
      <c r="E34" s="220"/>
      <c r="F34" s="257"/>
      <c r="G34" s="219"/>
    </row>
    <row r="35" spans="1:7" ht="13.5" customHeight="1">
      <c r="A35" s="780" t="s">
        <v>351</v>
      </c>
      <c r="B35" s="215" t="s">
        <v>1527</v>
      </c>
      <c r="C35" s="220">
        <f ca="1">ROUND(C34*F35,0)</f>
        <v>17538105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12307442</v>
      </c>
      <c r="D37" s="217">
        <f ca="1">D19</f>
        <v>61537.210000000036</v>
      </c>
      <c r="E37" s="249">
        <f>'数据-取费表'!B35</f>
        <v>200</v>
      </c>
      <c r="F37" s="259"/>
      <c r="G37" s="261"/>
    </row>
    <row r="38" spans="1:7" ht="13.5" customHeight="1">
      <c r="A38" s="780" t="s">
        <v>354</v>
      </c>
      <c r="B38" s="215" t="s">
        <v>1533</v>
      </c>
      <c r="C38" s="220">
        <f ca="1">ROUND(C34*F38,0)</f>
        <v>5261431</v>
      </c>
      <c r="D38" s="220"/>
      <c r="E38" s="220"/>
      <c r="F38" s="259">
        <f>'数据-取费表'!B36</f>
        <v>1.4999999999999999E-2</v>
      </c>
      <c r="G38" s="219" t="s">
        <v>1528</v>
      </c>
    </row>
    <row r="39" spans="1:7" s="214" customFormat="1" ht="13.5" customHeight="1">
      <c r="A39" s="255" t="s">
        <v>1534</v>
      </c>
      <c r="B39" s="210" t="s">
        <v>1535</v>
      </c>
      <c r="C39" s="232">
        <f ca="1">ROUND(C33*F20,0)</f>
        <v>7717382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20542777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20139977</v>
      </c>
      <c r="D42" s="238"/>
      <c r="E42" s="238"/>
      <c r="F42" s="239"/>
      <c r="G42" s="3629" t="s">
        <v>1591</v>
      </c>
    </row>
    <row r="43" spans="1:7" ht="13.5" customHeight="1">
      <c r="A43" s="780" t="s">
        <v>347</v>
      </c>
      <c r="B43" s="215" t="s">
        <v>1545</v>
      </c>
      <c r="C43" s="238">
        <f ca="1">ROUND(IF('数据-取费表'!B22&lt;=1,C39*F22*'数据-取费表'!B20/2,C39*(POWER((1+F22),'数据-取费表'!B20/2)-1)),0)</f>
        <v>402800</v>
      </c>
      <c r="D43" s="238"/>
      <c r="E43" s="238"/>
      <c r="F43" s="239"/>
      <c r="G43" s="3630"/>
    </row>
    <row r="44" spans="1:7" ht="13.5" customHeight="1">
      <c r="A44" s="780" t="s">
        <v>348</v>
      </c>
      <c r="B44" s="215" t="s">
        <v>1546</v>
      </c>
      <c r="C44" s="238">
        <f ca="1">ROUND(IF('数据-取费表'!B22&lt;=1,C40*F22*'数据-取费表'!B20/2,C40*(POWER((1+F22),'数据-取费表'!B20/2)-1)),4)</f>
        <v>1E-3</v>
      </c>
      <c r="D44" s="238"/>
      <c r="E44" s="238"/>
      <c r="F44" s="239"/>
      <c r="G44" s="3631"/>
    </row>
    <row r="45" spans="1:7" s="214" customFormat="1" ht="13.5" customHeight="1">
      <c r="A45" s="255" t="s">
        <v>1547</v>
      </c>
      <c r="B45" s="244" t="s">
        <v>1513</v>
      </c>
      <c r="C45" s="245">
        <f ca="1">C46</f>
        <v>78717291</v>
      </c>
      <c r="D45" s="235">
        <f ca="1">C47</f>
        <v>4.0000000000000001E-3</v>
      </c>
      <c r="E45" s="236" t="s">
        <v>1539</v>
      </c>
      <c r="F45" s="246">
        <f ca="1">F27</f>
        <v>0.2</v>
      </c>
      <c r="G45" s="247" t="s">
        <v>1548</v>
      </c>
    </row>
    <row r="46" spans="1:7" s="214" customFormat="1" ht="13.5" customHeight="1">
      <c r="A46" s="780" t="s">
        <v>346</v>
      </c>
      <c r="B46" s="248" t="s">
        <v>1549</v>
      </c>
      <c r="C46" s="249">
        <f ca="1">ROUND((C33+C39)*F27,0)</f>
        <v>78717291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534714685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443813189</v>
      </c>
      <c r="D51" s="232"/>
      <c r="E51" s="232"/>
      <c r="F51" s="264"/>
      <c r="G51" s="234" t="s">
        <v>1560</v>
      </c>
    </row>
    <row r="52" spans="1:7" s="208" customFormat="1" ht="16.5" thickBot="1">
      <c r="A52" s="265" t="s">
        <v>1561</v>
      </c>
      <c r="B52" s="266"/>
      <c r="C52" s="267">
        <f ca="1">C31+C51</f>
        <v>479389686</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61537.210000000036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61537.210000000036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1231</v>
      </c>
      <c r="D20" s="846">
        <f ca="1">IF(C1="",'数据-汇总表'!E6,IF(INDIRECT("'数据-取费表'!c"&amp;$K$1)="住宅",INDIRECT("'数据-取费表'!s"&amp;$K$1),INDIRECT("'数据-取费表'!k"&amp;$K$1)+INDIRECT("'数据-取费表'!s"&amp;$K$1)))</f>
        <v>61537.210000000036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3462</v>
      </c>
      <c r="D1" s="1362" t="s">
        <v>43</v>
      </c>
      <c r="E1" s="1363" t="s">
        <v>678</v>
      </c>
      <c r="F1" s="1062">
        <f ca="1">J53</f>
        <v>30.04</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179645</v>
      </c>
      <c r="C2" s="1387" t="s">
        <v>805</v>
      </c>
      <c r="D2" s="1387"/>
      <c r="E2" s="1388"/>
      <c r="F2" s="1389"/>
      <c r="G2" s="2703"/>
      <c r="H2" s="2692"/>
      <c r="I2" s="2692"/>
      <c r="J2" s="2692"/>
      <c r="K2" s="2693"/>
      <c r="L2" s="2692"/>
      <c r="M2" s="2692"/>
    </row>
    <row r="3" spans="1:37" ht="18" customHeight="1" thickBot="1">
      <c r="A3" s="1390" t="s">
        <v>806</v>
      </c>
      <c r="B3" s="1391">
        <f ca="1">IF(ISERROR(B2*10000/F43),0,ROUND(B2*10000/F43,0))</f>
        <v>29193</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12144</v>
      </c>
      <c r="D5" s="1364" t="s">
        <v>693</v>
      </c>
      <c r="E5" s="1071"/>
      <c r="F5" s="1072"/>
      <c r="G5" s="1384"/>
      <c r="H5" s="299">
        <v>1</v>
      </c>
      <c r="I5" s="300" t="s">
        <v>692</v>
      </c>
      <c r="J5" s="1070">
        <f ca="1">J6+J10+J12</f>
        <v>0</v>
      </c>
      <c r="K5" s="1364" t="s">
        <v>693</v>
      </c>
      <c r="L5" s="1071"/>
      <c r="M5" s="1072"/>
    </row>
    <row r="6" spans="1:37" ht="18" customHeight="1">
      <c r="A6" s="1069" t="s">
        <v>398</v>
      </c>
      <c r="B6" s="3634" t="s">
        <v>694</v>
      </c>
      <c r="C6" s="1074">
        <f ca="1">ROUND(F6*F8*F7*(1-F9)/10000,0)</f>
        <v>12129</v>
      </c>
      <c r="D6" s="155" t="s">
        <v>2109</v>
      </c>
      <c r="E6" s="302" t="s">
        <v>696</v>
      </c>
      <c r="F6" s="303">
        <f ca="1">INDIRECT("'数据-取费表'!u"&amp;$G$1)</f>
        <v>6</v>
      </c>
      <c r="G6" s="1384"/>
      <c r="H6" s="1069" t="s">
        <v>398</v>
      </c>
      <c r="I6" s="3634" t="s">
        <v>694</v>
      </c>
      <c r="J6" s="301">
        <f ca="1">ROUND(M6*M8*M7*(1-M9)/10000,0)</f>
        <v>0</v>
      </c>
      <c r="K6" s="155" t="s">
        <v>2108</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61537.210000000036</v>
      </c>
      <c r="G7" s="1384"/>
      <c r="H7" s="304"/>
      <c r="I7" s="3635"/>
      <c r="J7" s="306"/>
      <c r="K7" s="307"/>
      <c r="L7" s="302" t="s">
        <v>697</v>
      </c>
      <c r="M7" s="303">
        <f ca="1">F7</f>
        <v>61537.210000000036</v>
      </c>
    </row>
    <row r="8" spans="1:37" ht="18" customHeight="1">
      <c r="A8" s="304"/>
      <c r="B8" s="3635"/>
      <c r="C8" s="306"/>
      <c r="D8" s="307"/>
      <c r="E8" s="302" t="s">
        <v>698</v>
      </c>
      <c r="F8" s="303">
        <f ca="1">INDIRECT("'数据-取费表'!ai"&amp;$G$1)</f>
        <v>365</v>
      </c>
      <c r="G8" s="1384"/>
      <c r="H8" s="304"/>
      <c r="I8" s="3635"/>
      <c r="J8" s="306"/>
      <c r="K8" s="307"/>
      <c r="L8" s="302" t="s">
        <v>698</v>
      </c>
      <c r="M8" s="303">
        <f ca="1">INDIRECT("'数据-取费表'!ai"&amp;$G$1)</f>
        <v>365</v>
      </c>
    </row>
    <row r="9" spans="1:37" ht="18" customHeight="1">
      <c r="A9" s="304"/>
      <c r="B9" s="3636"/>
      <c r="C9" s="306"/>
      <c r="D9" s="307"/>
      <c r="E9" s="302" t="s">
        <v>699</v>
      </c>
      <c r="F9" s="312">
        <f ca="1">INDIRECT("'数据-取费表'!w"&amp;$G$1)</f>
        <v>0.1</v>
      </c>
      <c r="G9" s="1384"/>
      <c r="H9" s="304"/>
      <c r="I9" s="3636"/>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2117</v>
      </c>
      <c r="E10" s="313" t="s">
        <v>701</v>
      </c>
      <c r="F10" s="1116" t="s">
        <v>3483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44382</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35076</v>
      </c>
      <c r="D14" s="1345" t="s">
        <v>708</v>
      </c>
      <c r="E14" s="1342"/>
      <c r="F14" s="319"/>
      <c r="G14" s="1384"/>
      <c r="H14" s="982" t="s">
        <v>398</v>
      </c>
      <c r="I14" s="302" t="s">
        <v>709</v>
      </c>
      <c r="J14" s="21">
        <f ca="1">C29</f>
        <v>53472</v>
      </c>
      <c r="K14" s="12"/>
      <c r="L14" s="807"/>
      <c r="M14" s="808"/>
    </row>
    <row r="15" spans="1:37" s="1397" customFormat="1" ht="18" customHeight="1" thickBot="1">
      <c r="A15" s="982" t="s">
        <v>399</v>
      </c>
      <c r="B15" s="302" t="s">
        <v>710</v>
      </c>
      <c r="C15" s="21">
        <f ca="1">ROUND(C14*F15,0)</f>
        <v>1754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270</v>
      </c>
      <c r="K16" s="1087" t="s">
        <v>715</v>
      </c>
      <c r="L16" s="1088"/>
      <c r="M16" s="1072"/>
    </row>
    <row r="17" spans="1:37" s="1397" customFormat="1" ht="18" customHeight="1">
      <c r="A17" s="982" t="s">
        <v>681</v>
      </c>
      <c r="B17" s="302" t="s">
        <v>716</v>
      </c>
      <c r="C17" s="21">
        <f ca="1">ROUND(F17*(F43+INDIRECT("'数据-取费表'!S"&amp;$G$1))/10000,0)</f>
        <v>1231</v>
      </c>
      <c r="D17" s="302" t="s">
        <v>717</v>
      </c>
      <c r="E17" s="302" t="s">
        <v>718</v>
      </c>
      <c r="F17" s="23">
        <f>'数据-取费表'!B35</f>
        <v>200</v>
      </c>
      <c r="G17" s="1396"/>
      <c r="H17" s="982" t="s">
        <v>398</v>
      </c>
      <c r="I17" s="302" t="s">
        <v>719</v>
      </c>
      <c r="J17" s="2316">
        <f ca="1">ROUND(IF(AND(项目基本情况!B11="自然人",项目基本情况!B10="北京市"),J6*M17/(1+'数据-取费表'!C42),J18+J19+J20),2)</f>
        <v>2.2999999999999998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38587</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772</v>
      </c>
      <c r="D20" s="323" t="s">
        <v>729</v>
      </c>
      <c r="E20" s="302" t="s">
        <v>712</v>
      </c>
      <c r="F20" s="322">
        <f>'数据-取费表'!B37</f>
        <v>0.02</v>
      </c>
      <c r="G20" s="1396"/>
      <c r="H20" s="982" t="s">
        <v>680</v>
      </c>
      <c r="I20" s="155" t="s">
        <v>730</v>
      </c>
      <c r="J20" s="22">
        <f ca="1">ROUND(M20*M21/10000,2)</f>
        <v>2.2999999999999998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15323.04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267.36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2054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-270</v>
      </c>
      <c r="K25" s="1095" t="s">
        <v>753</v>
      </c>
      <c r="L25" s="1096"/>
      <c r="M25" s="1097"/>
    </row>
    <row r="26" spans="1:37">
      <c r="A26" s="982" t="s">
        <v>397</v>
      </c>
      <c r="B26" s="302" t="s">
        <v>754</v>
      </c>
      <c r="C26" s="21">
        <f ca="1">ROUND((C19+C20)*F26,0)</f>
        <v>7872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53472</v>
      </c>
      <c r="D29" s="1092"/>
      <c r="E29" s="1090"/>
      <c r="F29" s="1093"/>
      <c r="G29" s="1396"/>
      <c r="H29" s="334" t="s">
        <v>396</v>
      </c>
      <c r="I29" s="335" t="s">
        <v>768</v>
      </c>
      <c r="J29" s="336">
        <f ca="1">ROUND(J26/(1+F40)^F41,0)</f>
        <v>0</v>
      </c>
      <c r="K29" s="337" t="s">
        <v>769</v>
      </c>
      <c r="L29" s="338"/>
      <c r="M29" s="339">
        <f ca="1">INDIRECT("'数据-取费表'!k"&amp;$G$1)</f>
        <v>61537.210000000036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2408</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2035.35</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IF(项目基本情况!B11="自然人","——",ROUND(C6*F32/(1+'数据-取费表'!C42),2))</f>
        <v>646.88</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1386.17</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2.2999999999999998</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15323.04</v>
      </c>
      <c r="G35" s="1384"/>
      <c r="H35" s="2694"/>
      <c r="I35" s="1398"/>
      <c r="J35" s="1399"/>
      <c r="K35" s="2698"/>
      <c r="L35" s="2697"/>
      <c r="M35" s="2697"/>
    </row>
    <row r="36" spans="1:18" ht="18" customHeight="1">
      <c r="A36" s="1102" t="s">
        <v>402</v>
      </c>
      <c r="B36" s="302" t="s">
        <v>738</v>
      </c>
      <c r="C36" s="21">
        <f ca="1">ROUND(C29*F36,2)</f>
        <v>267.36</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ROUND(C13*F37,2)</f>
        <v>44.38</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ROUND(C5*F38,2)</f>
        <v>60.72</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9736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177209</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30.04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28797</v>
      </c>
      <c r="D43" s="337" t="s">
        <v>777</v>
      </c>
      <c r="E43" s="338" t="s">
        <v>778</v>
      </c>
      <c r="F43" s="339">
        <f ca="1">INDIRECT("'数据-取费表'!k"&amp;$G$1)</f>
        <v>61537.210000000036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-181775</v>
      </c>
      <c r="D46" s="1406" t="str">
        <f>C2</f>
        <v>万元</v>
      </c>
      <c r="E46" s="1400"/>
      <c r="F46" s="1400"/>
      <c r="I46" s="1407" t="s">
        <v>810</v>
      </c>
      <c r="J46" s="1408"/>
      <c r="K46" s="1409"/>
      <c r="L46" s="1410">
        <f ca="1">IF(M47="住宅",0,IF(L48&gt;J51,L60,J60))</f>
        <v>2436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3484</v>
      </c>
      <c r="K47" s="1416" t="s">
        <v>816</v>
      </c>
      <c r="L47" s="1417">
        <f ca="1">INDIRECT("'数据-取费表'!d"&amp;$G$1)</f>
        <v>50</v>
      </c>
      <c r="M47" s="1380" t="str">
        <f>IF(ISNUMBER(FIND("住宅",C1)),"住宅","非住宅")</f>
        <v>非住宅</v>
      </c>
      <c r="O47" s="1418" t="s">
        <v>403</v>
      </c>
      <c r="P47" s="1419" t="s">
        <v>817</v>
      </c>
      <c r="Q47" s="1420">
        <f ca="1">C40+J29</f>
        <v>177209</v>
      </c>
      <c r="R47" s="1420" t="s">
        <v>818</v>
      </c>
    </row>
    <row r="48" spans="1:18" s="1384" customFormat="1" ht="28.5" thickBot="1">
      <c r="A48" s="1110" t="s">
        <v>438</v>
      </c>
      <c r="B48" s="300" t="s">
        <v>692</v>
      </c>
      <c r="C48" s="1359">
        <f ca="1">C49+C53+C55</f>
        <v>0</v>
      </c>
      <c r="D48" s="1112"/>
      <c r="E48" s="1113"/>
      <c r="F48" s="962"/>
      <c r="G48" s="722"/>
      <c r="H48" s="723"/>
      <c r="I48" s="1421" t="s">
        <v>819</v>
      </c>
      <c r="J48" s="1422" t="s">
        <v>3485</v>
      </c>
      <c r="K48" s="1423" t="s">
        <v>820</v>
      </c>
      <c r="L48" s="1424">
        <f ca="1">INDIRECT("'数据-取费表'!f"&amp;$G$1)</f>
        <v>30.04</v>
      </c>
      <c r="O48" s="1418" t="s">
        <v>404</v>
      </c>
      <c r="P48" s="1419" t="s">
        <v>821</v>
      </c>
      <c r="Q48" s="1420">
        <f ca="1">J60</f>
        <v>2436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取值过程!C16</f>
        <v>2012</v>
      </c>
      <c r="K49" s="1423" t="s">
        <v>824</v>
      </c>
      <c r="L49" s="1427"/>
      <c r="O49" s="1428" t="s">
        <v>405</v>
      </c>
      <c r="P49" s="1419" t="s">
        <v>825</v>
      </c>
      <c r="Q49" s="1420">
        <f ca="1">C29</f>
        <v>53472</v>
      </c>
      <c r="R49" s="1420" t="s">
        <v>818</v>
      </c>
    </row>
    <row r="50" spans="1:18" s="1384" customFormat="1" ht="13.5" thickBot="1">
      <c r="A50" s="976"/>
      <c r="B50" s="979"/>
      <c r="C50" s="1118"/>
      <c r="D50" s="953"/>
      <c r="E50" s="1056" t="s">
        <v>697</v>
      </c>
      <c r="F50" s="1057">
        <f ca="1">F7</f>
        <v>61537.210000000036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119838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30.04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30.04</v>
      </c>
      <c r="K53" s="3632" t="s">
        <v>837</v>
      </c>
      <c r="L53" s="3633"/>
      <c r="O53" s="1418" t="s">
        <v>409</v>
      </c>
      <c r="P53" s="1419" t="s">
        <v>838</v>
      </c>
      <c r="Q53" s="1420">
        <f ca="1">Q47+Q48</f>
        <v>179645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44382</v>
      </c>
      <c r="D56" s="1447"/>
      <c r="E56" s="1448"/>
      <c r="F56" s="1440"/>
      <c r="I56" s="1449" t="s">
        <v>842</v>
      </c>
      <c r="J56" s="1450"/>
      <c r="K56" s="1421" t="s">
        <v>843</v>
      </c>
      <c r="L56" s="1424" t="str">
        <f ca="1">IF(L48&lt;J51,"——",L48-J53)</f>
        <v>——</v>
      </c>
      <c r="O56" s="1418" t="s">
        <v>403</v>
      </c>
      <c r="P56" s="1419" t="s">
        <v>817</v>
      </c>
      <c r="Q56" s="1420">
        <f ca="1">C40+J29</f>
        <v>177209</v>
      </c>
      <c r="R56" s="1420" t="s">
        <v>818</v>
      </c>
    </row>
    <row r="57" spans="1:18" s="1384" customFormat="1" ht="24.75" thickBot="1">
      <c r="A57" s="1451"/>
      <c r="B57" s="950" t="s">
        <v>767</v>
      </c>
      <c r="C57" s="238">
        <f ca="1">C29</f>
        <v>53472</v>
      </c>
      <c r="D57" s="1452"/>
      <c r="E57" s="1453"/>
      <c r="F57" s="1454"/>
      <c r="I57" s="1455" t="s">
        <v>844</v>
      </c>
      <c r="J57" s="1456">
        <f ca="1">IF(OR(M47="住宅",J51&lt;L48,J56="是"),"——",J51-L48)</f>
        <v>17.96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2.2999999999999998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177209</v>
      </c>
      <c r="R62" s="1420" t="s">
        <v>410</v>
      </c>
    </row>
    <row r="63" spans="1:18" s="1384" customFormat="1" ht="13.5" thickBot="1">
      <c r="A63" s="326"/>
      <c r="B63" s="956"/>
      <c r="C63" s="26"/>
      <c r="D63" s="966"/>
      <c r="E63" s="950" t="s">
        <v>788</v>
      </c>
      <c r="F63" s="303">
        <f t="shared" ca="1" si="0"/>
        <v>15323.04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267.36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44.38</v>
      </c>
      <c r="D65" s="964" t="s">
        <v>743</v>
      </c>
      <c r="E65" s="950" t="s">
        <v>744</v>
      </c>
      <c r="F65" s="330">
        <f t="shared" ca="1" si="0"/>
        <v>1E-3</v>
      </c>
      <c r="I65" s="1462" t="s">
        <v>867</v>
      </c>
      <c r="J65" s="1463">
        <v>40</v>
      </c>
      <c r="K65" s="1463">
        <v>30</v>
      </c>
      <c r="L65" s="1463">
        <v>50</v>
      </c>
      <c r="M65" s="1465">
        <v>0.02</v>
      </c>
      <c r="O65" s="1418" t="s">
        <v>403</v>
      </c>
      <c r="P65" s="1419" t="s">
        <v>868</v>
      </c>
      <c r="Q65" s="1420">
        <f ca="1">C40+J29</f>
        <v>177209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-314</v>
      </c>
      <c r="D67" s="963" t="s">
        <v>753</v>
      </c>
      <c r="E67" s="968"/>
      <c r="F67" s="969"/>
      <c r="O67" s="1428" t="s">
        <v>405</v>
      </c>
      <c r="P67" s="1419" t="s">
        <v>850</v>
      </c>
      <c r="Q67" s="1466">
        <f ca="1">L51</f>
        <v>119838</v>
      </c>
      <c r="R67" s="1420" t="s">
        <v>870</v>
      </c>
    </row>
    <row r="68" spans="1:18" s="1384" customFormat="1" ht="16.5" thickBot="1">
      <c r="A68" s="947" t="s">
        <v>395</v>
      </c>
      <c r="B68" s="948" t="s">
        <v>774</v>
      </c>
      <c r="C68" s="301">
        <f ca="1">ROUND(C67*(1-((1+F70)/(1+F68))^F69)/(F68-F70),0)</f>
        <v>-4566</v>
      </c>
      <c r="D68" s="965" t="s">
        <v>758</v>
      </c>
      <c r="E68" s="950" t="s">
        <v>759</v>
      </c>
      <c r="F68" s="312">
        <f ca="1">F40</f>
        <v>5.5E-2</v>
      </c>
      <c r="O68" s="1428" t="s">
        <v>406</v>
      </c>
      <c r="P68" s="1467" t="s">
        <v>871</v>
      </c>
      <c r="Q68" s="1420">
        <f ca="1">ROUND(Q69-Q70*Q71,0)</f>
        <v>6629</v>
      </c>
      <c r="R68" s="1420" t="s">
        <v>414</v>
      </c>
    </row>
    <row r="69" spans="1:18" s="1384" customFormat="1" ht="13.5" thickBot="1">
      <c r="A69" s="951"/>
      <c r="B69" s="952"/>
      <c r="C69" s="306"/>
      <c r="D69" s="970" t="s">
        <v>762</v>
      </c>
      <c r="E69" s="950" t="s">
        <v>763</v>
      </c>
      <c r="F69" s="333">
        <f ca="1">F41</f>
        <v>30.04</v>
      </c>
      <c r="O69" s="1428" t="s">
        <v>411</v>
      </c>
      <c r="P69" s="1467" t="s">
        <v>872</v>
      </c>
      <c r="Q69" s="1420">
        <f ca="1">C39</f>
        <v>9736</v>
      </c>
      <c r="R69" s="1420" t="s">
        <v>818</v>
      </c>
    </row>
    <row r="70" spans="1:18" s="1384" customFormat="1" ht="13.5" thickBot="1">
      <c r="A70" s="954"/>
      <c r="B70" s="955"/>
      <c r="C70" s="310"/>
      <c r="D70" s="966"/>
      <c r="E70" s="950" t="s">
        <v>766</v>
      </c>
      <c r="F70" s="1054"/>
      <c r="O70" s="1428" t="s">
        <v>412</v>
      </c>
      <c r="P70" s="1467" t="s">
        <v>873</v>
      </c>
      <c r="Q70" s="1420">
        <f ca="1">C13</f>
        <v>44382</v>
      </c>
      <c r="R70" s="1420" t="s">
        <v>818</v>
      </c>
    </row>
    <row r="71" spans="1:18" s="1384" customFormat="1" ht="13.5" thickBot="1">
      <c r="A71" s="971" t="s">
        <v>396</v>
      </c>
      <c r="B71" s="972" t="s">
        <v>776</v>
      </c>
      <c r="C71" s="336">
        <f ca="1">ROUND(C68*10000/F71,0)</f>
        <v>-742</v>
      </c>
      <c r="D71" s="973" t="s">
        <v>777</v>
      </c>
      <c r="E71" s="974" t="s">
        <v>778</v>
      </c>
      <c r="F71" s="339">
        <f ca="1">F43</f>
        <v>61537.210000000036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3107</v>
      </c>
      <c r="D75" s="1384"/>
      <c r="E75" s="1384"/>
      <c r="F75" s="1384"/>
      <c r="K75" s="1402"/>
      <c r="L75" s="1384"/>
      <c r="O75" s="1418" t="s">
        <v>409</v>
      </c>
      <c r="P75" s="1419" t="s">
        <v>838</v>
      </c>
      <c r="Q75" s="1420">
        <f ca="1">Q65+Q66</f>
        <v>177209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0.68100000000000005</v>
      </c>
    </row>
    <row r="80" spans="1:18">
      <c r="B80" s="340" t="s">
        <v>800</v>
      </c>
      <c r="C80" s="274">
        <f ca="1">ROUND(C75/C39,3)</f>
        <v>0.31900000000000001</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4" t="s">
        <v>694</v>
      </c>
      <c r="C6" s="1074">
        <f ca="1">ROUND(F6*F8*F7*(1-F9),0)</f>
        <v>0</v>
      </c>
      <c r="D6" s="155" t="s">
        <v>2106</v>
      </c>
      <c r="E6" s="302" t="s">
        <v>696</v>
      </c>
      <c r="F6" s="303">
        <f ca="1">INDIRECT("'数据-取费表'!u"&amp;$G$1)</f>
        <v>0</v>
      </c>
      <c r="G6" s="1384"/>
      <c r="H6" s="1069" t="s">
        <v>398</v>
      </c>
      <c r="I6" s="3634" t="s">
        <v>694</v>
      </c>
      <c r="J6" s="301">
        <f ca="1">ROUND(M6*M8*M7*(1-M9),0)</f>
        <v>0</v>
      </c>
      <c r="K6" s="1376" t="s">
        <v>2107</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0</v>
      </c>
      <c r="G7" s="1384"/>
      <c r="H7" s="304"/>
      <c r="I7" s="3635"/>
      <c r="J7" s="306"/>
      <c r="K7" s="307"/>
      <c r="L7" s="302" t="s">
        <v>697</v>
      </c>
      <c r="M7" s="303">
        <f ca="1">F7</f>
        <v>0</v>
      </c>
    </row>
    <row r="8" spans="1:37" ht="18" customHeight="1">
      <c r="A8" s="304"/>
      <c r="B8" s="3635"/>
      <c r="C8" s="306"/>
      <c r="D8" s="307"/>
      <c r="E8" s="302" t="s">
        <v>698</v>
      </c>
      <c r="F8" s="303">
        <f ca="1">INDIRECT("'数据-取费表'!ai"&amp;$G$1)</f>
        <v>0</v>
      </c>
      <c r="G8" s="1384"/>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4"/>
      <c r="H9" s="304"/>
      <c r="I9" s="363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t="e">
        <f ca="1">ROUND((C68-C40)/10000,4)</f>
        <v>#DIV/0!</v>
      </c>
      <c r="D45" s="3429"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2" t="s">
        <v>837</v>
      </c>
      <c r="L53" s="363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5" t="s">
        <v>2315</v>
      </c>
      <c r="B2" s="2840" t="e">
        <f>IF(D2="——",C40,C40+E2)</f>
        <v>#DIV/0!</v>
      </c>
      <c r="C2" s="2841" t="s">
        <v>2316</v>
      </c>
      <c r="D2" s="3440" t="s">
        <v>3358</v>
      </c>
      <c r="E2" s="3441"/>
      <c r="F2" s="2843"/>
      <c r="G2" s="2844"/>
      <c r="H2" s="2845"/>
      <c r="I2" s="2846"/>
      <c r="J2" s="3637" t="s">
        <v>2317</v>
      </c>
      <c r="K2" s="3638"/>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639" t="s">
        <v>2327</v>
      </c>
      <c r="K3" s="3640"/>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639" t="s">
        <v>2329</v>
      </c>
      <c r="K4" s="3640"/>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641" t="s">
        <v>2333</v>
      </c>
      <c r="B6" s="3642"/>
      <c r="C6" s="3643"/>
      <c r="D6" s="2867"/>
      <c r="E6" s="2868"/>
      <c r="F6" s="2869"/>
      <c r="G6" s="2870"/>
      <c r="H6" s="2845"/>
      <c r="I6" s="2846"/>
      <c r="J6" s="3644">
        <v>1</v>
      </c>
      <c r="K6" s="3645"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644"/>
      <c r="K7" s="3646"/>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648" t="s">
        <v>2347</v>
      </c>
      <c r="C8" s="3649"/>
      <c r="D8" s="2886" t="s">
        <v>2348</v>
      </c>
      <c r="E8" s="2887" t="s">
        <v>2349</v>
      </c>
      <c r="F8" s="2888" t="s">
        <v>2350</v>
      </c>
      <c r="G8" s="2889"/>
      <c r="H8" s="2845"/>
      <c r="I8" s="2846"/>
      <c r="J8" s="3644"/>
      <c r="K8" s="3646"/>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648" t="s">
        <v>2353</v>
      </c>
      <c r="C9" s="3649"/>
      <c r="D9" s="2886">
        <f>ROUND(D6*E9,0)</f>
        <v>0</v>
      </c>
      <c r="E9" s="2890"/>
      <c r="F9" s="2891" t="s">
        <v>2354</v>
      </c>
      <c r="G9" s="2870"/>
      <c r="H9" s="2845"/>
      <c r="I9" s="2846"/>
      <c r="J9" s="3644"/>
      <c r="K9" s="3646"/>
      <c r="L9" s="2880" t="s">
        <v>2355</v>
      </c>
      <c r="M9" s="2881"/>
      <c r="N9" s="2857"/>
      <c r="O9" s="2882"/>
      <c r="P9" s="2882"/>
      <c r="Q9" s="2883">
        <v>365</v>
      </c>
      <c r="R9" s="2884">
        <f t="shared" si="0"/>
        <v>0</v>
      </c>
      <c r="S9" s="2838"/>
      <c r="T9" s="2838"/>
      <c r="U9" s="2838"/>
      <c r="V9" s="2846"/>
    </row>
    <row r="10" spans="1:22" s="2850" customFormat="1" ht="13.15" customHeight="1">
      <c r="A10" s="2885">
        <v>2</v>
      </c>
      <c r="B10" s="3648" t="s">
        <v>2356</v>
      </c>
      <c r="C10" s="3649"/>
      <c r="D10" s="2886">
        <f>ROUND(D6*E10,0)</f>
        <v>0</v>
      </c>
      <c r="E10" s="2890"/>
      <c r="F10" s="2891" t="s">
        <v>2357</v>
      </c>
      <c r="G10" s="2870"/>
      <c r="H10" s="2845"/>
      <c r="I10" s="2846"/>
      <c r="J10" s="3644"/>
      <c r="K10" s="3646"/>
      <c r="L10" s="2880" t="s">
        <v>2358</v>
      </c>
      <c r="M10" s="2881"/>
      <c r="N10" s="2857"/>
      <c r="O10" s="2882"/>
      <c r="P10" s="2882"/>
      <c r="Q10" s="2883">
        <v>365</v>
      </c>
      <c r="R10" s="2884">
        <f t="shared" si="0"/>
        <v>0</v>
      </c>
      <c r="S10" s="2838"/>
      <c r="T10" s="2838"/>
      <c r="U10" s="2838"/>
      <c r="V10" s="2846"/>
    </row>
    <row r="11" spans="1:22" s="2850" customFormat="1" ht="13.15" customHeight="1">
      <c r="A11" s="2885">
        <v>3</v>
      </c>
      <c r="B11" s="3648" t="s">
        <v>2359</v>
      </c>
      <c r="C11" s="3649"/>
      <c r="D11" s="2886">
        <f>D12+D14+D15+D16</f>
        <v>0</v>
      </c>
      <c r="E11" s="2892" t="e">
        <f>D11/D6</f>
        <v>#DIV/0!</v>
      </c>
      <c r="F11" s="2888"/>
      <c r="G11" s="2889"/>
      <c r="H11" s="2845"/>
      <c r="I11" s="2846"/>
      <c r="J11" s="3644"/>
      <c r="K11" s="3646"/>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650" t="s">
        <v>2362</v>
      </c>
      <c r="C12" s="3651"/>
      <c r="D12" s="2894">
        <f>ROUND(D13*1.2%*(1-30%),0)</f>
        <v>0</v>
      </c>
      <c r="E12" s="2895">
        <v>1.2E-2</v>
      </c>
      <c r="F12" s="2888" t="s">
        <v>2363</v>
      </c>
      <c r="G12" s="2889"/>
      <c r="H12" s="2845"/>
      <c r="I12" s="2846"/>
      <c r="J12" s="3644"/>
      <c r="K12" s="3646"/>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644"/>
      <c r="K13" s="3646"/>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650" t="s">
        <v>2368</v>
      </c>
      <c r="C14" s="3651"/>
      <c r="D14" s="2894">
        <f>ROUND(E14*B5/10000,0)</f>
        <v>0</v>
      </c>
      <c r="E14" s="2883"/>
      <c r="F14" s="2888" t="s">
        <v>2369</v>
      </c>
      <c r="G14" s="2889"/>
      <c r="H14" s="2845"/>
      <c r="I14" s="2846"/>
      <c r="J14" s="3644"/>
      <c r="K14" s="3647"/>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650" t="s">
        <v>2372</v>
      </c>
      <c r="C15" s="3651"/>
      <c r="D15" s="2894">
        <f>ROUND(D6*E15,0)</f>
        <v>0</v>
      </c>
      <c r="E15" s="2895">
        <v>5.5E-2</v>
      </c>
      <c r="F15" s="2888" t="s">
        <v>2373</v>
      </c>
      <c r="G15" s="2870"/>
      <c r="H15" s="2845"/>
      <c r="I15" s="2846"/>
      <c r="J15" s="3644">
        <v>2</v>
      </c>
      <c r="K15" s="3645"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650" t="s">
        <v>2381</v>
      </c>
      <c r="C16" s="3651"/>
      <c r="D16" s="2905">
        <f>D6*E16</f>
        <v>0</v>
      </c>
      <c r="E16" s="2906"/>
      <c r="F16" s="2891" t="s">
        <v>2382</v>
      </c>
      <c r="G16" s="2870"/>
      <c r="H16" s="2845"/>
      <c r="I16" s="2846"/>
      <c r="J16" s="3644"/>
      <c r="K16" s="3646"/>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652" t="s">
        <v>2384</v>
      </c>
      <c r="C17" s="3653"/>
      <c r="D17" s="2908">
        <f>ROUND(D6*E17,0)</f>
        <v>0</v>
      </c>
      <c r="E17" s="2909"/>
      <c r="F17" s="2910" t="s">
        <v>2385</v>
      </c>
      <c r="G17" s="2870"/>
      <c r="H17" s="2845"/>
      <c r="I17" s="2846"/>
      <c r="J17" s="3644"/>
      <c r="K17" s="3646"/>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644"/>
      <c r="K18" s="3646"/>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644"/>
      <c r="K19" s="3647"/>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4">
        <v>3</v>
      </c>
      <c r="K20" s="3645"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644"/>
      <c r="K21" s="3646"/>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644"/>
      <c r="K22" s="3646"/>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644"/>
      <c r="K23" s="3646"/>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644"/>
      <c r="K24" s="3647"/>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654">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65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637" t="s">
        <v>2317</v>
      </c>
      <c r="K32" s="3638"/>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639" t="s">
        <v>2327</v>
      </c>
      <c r="K33" s="3640"/>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639" t="s">
        <v>2329</v>
      </c>
      <c r="K34" s="364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644">
        <v>1</v>
      </c>
      <c r="K36" s="3645"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644"/>
      <c r="K37" s="3646"/>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4"/>
      <c r="K38" s="3646"/>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644"/>
      <c r="K39" s="3646"/>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644"/>
      <c r="K40" s="3647"/>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4">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65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179645</v>
      </c>
      <c r="C2" s="1872" t="s">
        <v>1651</v>
      </c>
      <c r="D2" s="1873" t="s">
        <v>1652</v>
      </c>
      <c r="E2" s="2605">
        <f>SUM(E6:E13)</f>
        <v>61537.210000000036</v>
      </c>
      <c r="F2" s="2704"/>
      <c r="G2" s="1489"/>
      <c r="H2" s="1489"/>
      <c r="I2" s="1489"/>
      <c r="J2" s="1489"/>
      <c r="K2" s="1489"/>
      <c r="L2" s="1489"/>
      <c r="M2" s="1489"/>
      <c r="N2" s="1489"/>
      <c r="O2" s="1489"/>
      <c r="P2" s="1489"/>
      <c r="Q2" s="1489"/>
      <c r="R2" s="1489"/>
      <c r="S2" s="1489"/>
    </row>
    <row r="3" spans="1:22" ht="15.75">
      <c r="A3" s="1870" t="s">
        <v>686</v>
      </c>
      <c r="B3" s="2599">
        <f ca="1">ROUND(B2*10000/E2,0)</f>
        <v>29193</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656" t="s">
        <v>1654</v>
      </c>
      <c r="C5" s="3657"/>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179645</v>
      </c>
      <c r="C6" s="1872" t="s">
        <v>1651</v>
      </c>
      <c r="D6" s="2706"/>
      <c r="E6" s="2604">
        <f>IF(OR(A6=0,F6="否"),0,'数据-取费表'!K6+'数据-取费表'!S6)</f>
        <v>61537.210000000036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61537.210000000036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2"/>
      <c r="M4" s="2713"/>
      <c r="N4" s="2713"/>
      <c r="O4" s="2713"/>
      <c r="P4" s="3680" t="s">
        <v>1672</v>
      </c>
      <c r="Q4" s="3681"/>
      <c r="R4" s="3663" t="s">
        <v>1668</v>
      </c>
      <c r="S4" s="3664"/>
      <c r="T4" s="3663" t="s">
        <v>1669</v>
      </c>
      <c r="U4" s="3664"/>
      <c r="V4" s="3688" t="s">
        <v>1670</v>
      </c>
      <c r="W4" s="3688"/>
      <c r="X4" s="1355"/>
      <c r="Y4" s="3663" t="s">
        <v>1672</v>
      </c>
      <c r="Z4" s="3664"/>
      <c r="AA4" s="3658" t="s">
        <v>1668</v>
      </c>
      <c r="AB4" s="3658" t="s">
        <v>1669</v>
      </c>
      <c r="AC4" s="3658" t="s">
        <v>1670</v>
      </c>
    </row>
    <row r="5" spans="1:29" ht="15">
      <c r="A5" s="358"/>
      <c r="B5" s="359"/>
      <c r="C5" s="3669" t="s">
        <v>1673</v>
      </c>
      <c r="D5" s="3670"/>
      <c r="E5" s="3667" t="s">
        <v>1674</v>
      </c>
      <c r="F5" s="3668"/>
      <c r="G5" s="3669" t="s">
        <v>1675</v>
      </c>
      <c r="H5" s="3670"/>
      <c r="I5" s="3669" t="s">
        <v>1676</v>
      </c>
      <c r="J5" s="3670"/>
      <c r="K5" s="1890"/>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1890" t="s">
        <v>1678</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5"/>
      <c r="Q11" s="1343"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5"/>
      <c r="Q12" s="1343">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5"/>
      <c r="Q13" s="1343">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5"/>
      <c r="Q14" s="1343">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85.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博大公园、亦庄新城滨河公园</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受贵公司委托，我公司对北京市北京经济技术开发区荣华中路19号1号楼进行了预评估。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19号1号楼房地产，为北京朝林实业有限公司所有。根据《国有土地使用证》[]，估价对象（分摊）出让国有建设用地使用权面积为15323.04平方米，建筑面积为61537.21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19号1号楼房地产,属北京朝林实业有限公司开发建设的办公项目，该项目尚在开发建设中。根据《国有土地使用证》[]，估价对象（分摊）出让国有建设用地使用权面积为15323.04平方米，规划建筑面积为61537.21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61537.210000000036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2"/>
      <c r="M4" s="2713"/>
      <c r="N4" s="2713"/>
      <c r="O4" s="2713"/>
      <c r="P4" s="3680" t="s">
        <v>1775</v>
      </c>
      <c r="Q4" s="3681"/>
      <c r="R4" s="3663" t="s">
        <v>1771</v>
      </c>
      <c r="S4" s="3664"/>
      <c r="T4" s="3663" t="s">
        <v>1772</v>
      </c>
      <c r="U4" s="3664"/>
      <c r="V4" s="3688" t="s">
        <v>1773</v>
      </c>
      <c r="W4" s="3688"/>
      <c r="X4" s="1355"/>
      <c r="Y4" s="3663" t="s">
        <v>1775</v>
      </c>
      <c r="Z4" s="3664"/>
      <c r="AA4" s="3658" t="s">
        <v>1771</v>
      </c>
      <c r="AB4" s="3688" t="s">
        <v>1772</v>
      </c>
      <c r="AC4" s="3658" t="s">
        <v>1773</v>
      </c>
    </row>
    <row r="5" spans="1:29" ht="15">
      <c r="A5" s="358"/>
      <c r="B5" s="359"/>
      <c r="C5" s="3669" t="s">
        <v>1673</v>
      </c>
      <c r="D5" s="3670"/>
      <c r="E5" s="3667" t="s">
        <v>1674</v>
      </c>
      <c r="F5" s="3668"/>
      <c r="G5" s="3669" t="s">
        <v>1675</v>
      </c>
      <c r="H5" s="3670"/>
      <c r="I5" s="3669" t="s">
        <v>1676</v>
      </c>
      <c r="J5" s="3670"/>
      <c r="K5" s="559"/>
      <c r="L5" s="2712"/>
      <c r="M5" s="2713"/>
      <c r="N5" s="2713"/>
      <c r="O5" s="2713"/>
      <c r="P5" s="3682"/>
      <c r="Q5" s="3683"/>
      <c r="R5" s="3665"/>
      <c r="S5" s="3666"/>
      <c r="T5" s="3665"/>
      <c r="U5" s="3666"/>
      <c r="V5" s="3688"/>
      <c r="W5" s="3688"/>
      <c r="X5" s="1355"/>
      <c r="Y5" s="3665"/>
      <c r="Z5" s="3666"/>
      <c r="AA5" s="3659"/>
      <c r="AB5" s="3688"/>
      <c r="AC5" s="3659"/>
    </row>
    <row r="6" spans="1:29" ht="15.75" thickBot="1">
      <c r="A6" s="360"/>
      <c r="B6" s="361"/>
      <c r="C6" s="3671" t="s">
        <v>1677</v>
      </c>
      <c r="D6" s="3672"/>
      <c r="E6" s="3673" t="s">
        <v>1677</v>
      </c>
      <c r="F6" s="3674"/>
      <c r="G6" s="3671" t="s">
        <v>1677</v>
      </c>
      <c r="H6" s="3672"/>
      <c r="I6" s="3671" t="s">
        <v>1677</v>
      </c>
      <c r="J6" s="3672"/>
      <c r="K6" s="559" t="s">
        <v>1678</v>
      </c>
      <c r="L6" s="2712"/>
      <c r="M6" s="2713"/>
      <c r="N6" s="2713"/>
      <c r="O6" s="2713"/>
      <c r="P6" s="3684"/>
      <c r="Q6" s="3685"/>
      <c r="R6" s="3665"/>
      <c r="S6" s="3666"/>
      <c r="T6" s="3686"/>
      <c r="U6" s="3687"/>
      <c r="V6" s="3688"/>
      <c r="W6" s="3688"/>
      <c r="X6" s="1355"/>
      <c r="Y6" s="3686"/>
      <c r="Z6" s="3687"/>
      <c r="AA6" s="3660"/>
      <c r="AB6" s="3688"/>
      <c r="AC6" s="3660"/>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5"/>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71.2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博大公园、亦庄新城滨河公园</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93" t="str">
        <f>A47</f>
        <v>成交单价（元/平方米）</v>
      </c>
      <c r="Q47" s="3693"/>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61537.210000000036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2"/>
      <c r="M4" s="2713"/>
      <c r="N4" s="2713"/>
      <c r="O4" s="2713"/>
      <c r="P4" s="3710" t="s">
        <v>1775</v>
      </c>
      <c r="Q4" s="3711"/>
      <c r="R4" s="3705" t="s">
        <v>1771</v>
      </c>
      <c r="S4" s="3706"/>
      <c r="T4" s="3705" t="s">
        <v>1772</v>
      </c>
      <c r="U4" s="3706"/>
      <c r="V4" s="3714" t="s">
        <v>1773</v>
      </c>
      <c r="W4" s="3714"/>
      <c r="X4" s="1958"/>
      <c r="Y4" s="3705" t="s">
        <v>1775</v>
      </c>
      <c r="Z4" s="3706"/>
      <c r="AA4" s="3704" t="s">
        <v>1771</v>
      </c>
      <c r="AB4" s="3704" t="s">
        <v>1772</v>
      </c>
      <c r="AC4" s="3707" t="s">
        <v>1773</v>
      </c>
    </row>
    <row r="5" spans="1:29" ht="15">
      <c r="A5" s="358"/>
      <c r="B5" s="359"/>
      <c r="C5" s="3669" t="s">
        <v>1673</v>
      </c>
      <c r="D5" s="3670"/>
      <c r="E5" s="3667" t="s">
        <v>1674</v>
      </c>
      <c r="F5" s="3668"/>
      <c r="G5" s="3669" t="s">
        <v>1675</v>
      </c>
      <c r="H5" s="3670"/>
      <c r="I5" s="3669" t="s">
        <v>1676</v>
      </c>
      <c r="J5" s="3670"/>
      <c r="K5" s="559"/>
      <c r="L5" s="2712"/>
      <c r="M5" s="2713"/>
      <c r="N5" s="2713"/>
      <c r="O5" s="2713"/>
      <c r="P5" s="3712"/>
      <c r="Q5" s="3683"/>
      <c r="R5" s="3665"/>
      <c r="S5" s="3666"/>
      <c r="T5" s="3665"/>
      <c r="U5" s="3666"/>
      <c r="V5" s="3688"/>
      <c r="W5" s="3688"/>
      <c r="X5" s="1355"/>
      <c r="Y5" s="3665"/>
      <c r="Z5" s="3666"/>
      <c r="AA5" s="3659"/>
      <c r="AB5" s="3659"/>
      <c r="AC5" s="3708"/>
    </row>
    <row r="6" spans="1:29" ht="15.75" thickBot="1">
      <c r="A6" s="360"/>
      <c r="B6" s="361"/>
      <c r="C6" s="3671" t="s">
        <v>1677</v>
      </c>
      <c r="D6" s="3672"/>
      <c r="E6" s="3673" t="s">
        <v>1677</v>
      </c>
      <c r="F6" s="3674"/>
      <c r="G6" s="3671" t="s">
        <v>1677</v>
      </c>
      <c r="H6" s="3672"/>
      <c r="I6" s="3671" t="s">
        <v>1677</v>
      </c>
      <c r="J6" s="3672"/>
      <c r="K6" s="559" t="s">
        <v>1678</v>
      </c>
      <c r="L6" s="2712"/>
      <c r="M6" s="2713"/>
      <c r="N6" s="2713"/>
      <c r="O6" s="2713"/>
      <c r="P6" s="3713"/>
      <c r="Q6" s="3685"/>
      <c r="R6" s="3665"/>
      <c r="S6" s="3666"/>
      <c r="T6" s="3686"/>
      <c r="U6" s="3687"/>
      <c r="V6" s="3688"/>
      <c r="W6" s="3688"/>
      <c r="X6" s="1355"/>
      <c r="Y6" s="3686"/>
      <c r="Z6" s="3687"/>
      <c r="AA6" s="3660"/>
      <c r="AB6" s="3660"/>
      <c r="AC6" s="3709"/>
    </row>
    <row r="7" spans="1:29" s="108" customFormat="1" ht="15.75" thickBot="1">
      <c r="A7" s="362" t="s">
        <v>1679</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5"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5"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5"/>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9">
        <f t="shared" si="5"/>
        <v>1</v>
      </c>
    </row>
    <row r="15" spans="1:29" ht="71.25">
      <c r="A15" s="391" t="s">
        <v>1690</v>
      </c>
      <c r="B15" s="577" t="s">
        <v>1811</v>
      </c>
      <c r="C15" s="1961" t="str">
        <f>估价对象房地状况!C5</f>
        <v>国锐金嵿、大族广场、亦城财富中心</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博大公园、亦庄新城滨河公园</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75"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61537.210000000036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913"/>
      <c r="M5" s="914"/>
      <c r="N5" s="914"/>
      <c r="O5" s="9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913"/>
      <c r="M6" s="914"/>
      <c r="N6" s="914"/>
      <c r="O6" s="9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9"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2"/>
      <c r="M4" s="2713"/>
      <c r="N4" s="2713"/>
      <c r="O4" s="2713"/>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3"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博大公园、亦庄新城滨河公园</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1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1"/>
      <c r="M37" s="2722"/>
      <c r="N37" s="2713"/>
      <c r="O37" s="2722"/>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2"/>
      <c r="M4" s="2713"/>
      <c r="N4" s="2713"/>
      <c r="O4" s="2713"/>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45352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3"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博大公园、亦庄新城滨河公园</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1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2"/>
      <c r="M4" s="2713"/>
      <c r="N4" s="2713"/>
      <c r="O4" s="2713"/>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30" ht="15">
      <c r="A5" s="358"/>
      <c r="B5" s="359"/>
      <c r="C5" s="3669" t="s">
        <v>1673</v>
      </c>
      <c r="D5" s="3670"/>
      <c r="E5" s="3667" t="s">
        <v>1674</v>
      </c>
      <c r="F5" s="3668"/>
      <c r="G5" s="3669" t="s">
        <v>1675</v>
      </c>
      <c r="H5" s="3670"/>
      <c r="I5" s="3669" t="s">
        <v>1676</v>
      </c>
      <c r="J5" s="3670"/>
      <c r="K5" s="559"/>
      <c r="L5" s="2712"/>
      <c r="M5" s="2713"/>
      <c r="N5" s="2713"/>
      <c r="O5" s="2713"/>
      <c r="P5" s="3682"/>
      <c r="Q5" s="3683"/>
      <c r="R5" s="3665"/>
      <c r="S5" s="3666"/>
      <c r="T5" s="3665"/>
      <c r="U5" s="3666"/>
      <c r="V5" s="3688"/>
      <c r="W5" s="3688"/>
      <c r="X5" s="1355"/>
      <c r="Y5" s="3665"/>
      <c r="Z5" s="3666"/>
      <c r="AA5" s="3659"/>
      <c r="AB5" s="3659"/>
      <c r="AC5" s="3659"/>
    </row>
    <row r="6" spans="1:30" ht="15.75" thickBot="1">
      <c r="A6" s="360"/>
      <c r="B6" s="361"/>
      <c r="C6" s="3671" t="s">
        <v>1677</v>
      </c>
      <c r="D6" s="3672"/>
      <c r="E6" s="3673" t="s">
        <v>1677</v>
      </c>
      <c r="F6" s="3674"/>
      <c r="G6" s="3671" t="s">
        <v>1677</v>
      </c>
      <c r="H6" s="3672"/>
      <c r="I6" s="3671" t="s">
        <v>1677</v>
      </c>
      <c r="J6" s="3672"/>
      <c r="K6" s="559" t="s">
        <v>1678</v>
      </c>
      <c r="L6" s="2712"/>
      <c r="M6" s="2713"/>
      <c r="N6" s="2713"/>
      <c r="O6" s="2713"/>
      <c r="P6" s="3684"/>
      <c r="Q6" s="3685"/>
      <c r="R6" s="3665"/>
      <c r="S6" s="3666"/>
      <c r="T6" s="3686"/>
      <c r="U6" s="3687"/>
      <c r="V6" s="3688"/>
      <c r="W6" s="3688"/>
      <c r="X6" s="1355"/>
      <c r="Y6" s="3686"/>
      <c r="Z6" s="3687"/>
      <c r="AA6" s="3660"/>
      <c r="AB6" s="3660"/>
      <c r="AC6" s="3660"/>
    </row>
    <row r="7" spans="1:30" s="108" customFormat="1" ht="15.75" thickBot="1">
      <c r="A7" s="362" t="s">
        <v>1679</v>
      </c>
      <c r="B7" s="363"/>
      <c r="C7" s="364">
        <f>'数据-取费表'!B2</f>
        <v>45352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6"/>
      <c r="M10" s="2717"/>
      <c r="N10" s="2717"/>
      <c r="O10" s="2770"/>
      <c r="P10" s="3693"/>
      <c r="Q10" s="1343" t="str">
        <f t="shared" si="6"/>
        <v>土地使用年限（年）</v>
      </c>
      <c r="R10" s="701" t="s">
        <v>14</v>
      </c>
      <c r="S10" s="702">
        <f t="shared" si="0"/>
        <v>119</v>
      </c>
      <c r="T10" s="701" t="s">
        <v>14</v>
      </c>
      <c r="U10" s="702">
        <f t="shared" si="1"/>
        <v>119</v>
      </c>
      <c r="V10" s="701" t="s">
        <v>14</v>
      </c>
      <c r="W10" s="702">
        <f t="shared" si="2"/>
        <v>119</v>
      </c>
      <c r="X10" s="703"/>
      <c r="Y10" s="3605"/>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3"/>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3"/>
      <c r="Q12" s="1343"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9.7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71.2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国锐金嵿、大族广场、亦城财富中心</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博大公园、亦庄新城滨河公园</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19"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93" t="str">
        <f>A46</f>
        <v>成交单价</v>
      </c>
      <c r="Q46" s="3693"/>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93" t="str">
        <f>A47</f>
        <v>比较价值（元/平方米）</v>
      </c>
      <c r="Q47" s="3693"/>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90" t="str">
        <f>A48</f>
        <v>估价对象XX用房的比较价值（楼面单价，元/平方米）</v>
      </c>
      <c r="Q48" s="3691"/>
      <c r="R48" s="3722" t="e">
        <f>ROUND(IF(D47="简单平均",AVERAGE(R47:W47),R47*F47+T47*H47+V47*J47),0)</f>
        <v>#DIV/0!</v>
      </c>
      <c r="S48" s="3722"/>
      <c r="T48" s="3722"/>
      <c r="U48" s="3722"/>
      <c r="V48" s="3722"/>
      <c r="W48" s="372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76" t="s">
        <v>1887</v>
      </c>
      <c r="H55" s="3723"/>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55436.960000000036</v>
      </c>
      <c r="F56" s="886" t="e">
        <f t="shared" ref="F56:F64" si="15">ROUND(B56*E56/10000,0)</f>
        <v>#DIV/0!</v>
      </c>
      <c r="G56" s="3675"/>
      <c r="H56" s="369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5">
        <v>0.25</v>
      </c>
      <c r="E60" s="217">
        <f>'数据-汇总表'!E11</f>
        <v>6100.25</v>
      </c>
      <c r="F60" s="886" t="e">
        <f t="shared" si="15"/>
        <v>#DIV/0!</v>
      </c>
      <c r="G60" s="1987" t="s">
        <v>1896</v>
      </c>
      <c r="H60" s="887" t="str">
        <f>项目基本情况!C37</f>
        <v>六级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61537.210000000036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2"/>
      <c r="M4" s="2713"/>
      <c r="N4" s="2713"/>
      <c r="O4" s="2713"/>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724" t="s">
        <v>1919</v>
      </c>
      <c r="D6" s="3725"/>
      <c r="E6" s="3726" t="s">
        <v>1919</v>
      </c>
      <c r="F6" s="3727"/>
      <c r="G6" s="3724" t="s">
        <v>1919</v>
      </c>
      <c r="H6" s="3725"/>
      <c r="I6" s="3724" t="s">
        <v>1919</v>
      </c>
      <c r="J6" s="3725"/>
      <c r="K6" s="559" t="s">
        <v>1678</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45352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6"/>
      <c r="M10" s="2717"/>
      <c r="N10" s="2717"/>
      <c r="O10" s="2770"/>
      <c r="P10" s="3693"/>
      <c r="Q10" s="1343" t="str">
        <f t="shared" si="6"/>
        <v>土地使用年限（年）</v>
      </c>
      <c r="R10" s="701" t="s">
        <v>14</v>
      </c>
      <c r="S10" s="702">
        <f t="shared" si="0"/>
        <v>119</v>
      </c>
      <c r="T10" s="701" t="s">
        <v>14</v>
      </c>
      <c r="U10" s="702">
        <f t="shared" si="1"/>
        <v>119</v>
      </c>
      <c r="V10" s="701" t="s">
        <v>14</v>
      </c>
      <c r="W10" s="702">
        <f t="shared" si="2"/>
        <v>119</v>
      </c>
      <c r="X10" s="703"/>
      <c r="Y10" s="3605"/>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3"/>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19"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93" t="str">
        <f>A41</f>
        <v>成交单价</v>
      </c>
      <c r="Q41" s="3693"/>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93" t="str">
        <f>A42</f>
        <v>比较价值（元/平方米）</v>
      </c>
      <c r="Q42" s="3693"/>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90" t="str">
        <f>A43</f>
        <v>估价对象XX用房的比较价值（楼面单价，元/平方米）</v>
      </c>
      <c r="Q43" s="3691"/>
      <c r="R43" s="3722" t="e">
        <f>ROUND(IF(D42="简单平均",AVERAGE(R42:W42),R42*F42+T42*H42+V42*J42),0)</f>
        <v>#DIV/0!</v>
      </c>
      <c r="S43" s="3722"/>
      <c r="T43" s="3722"/>
      <c r="U43" s="3722"/>
      <c r="V43" s="3722"/>
      <c r="W43" s="372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76" t="s">
        <v>1887</v>
      </c>
      <c r="H50" s="3723"/>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55436.960000000036</v>
      </c>
      <c r="F51" s="639" t="e">
        <f t="shared" ref="F51:F60" si="15">ROUND(B51*E51/10000,0)</f>
        <v>#DIV/0!</v>
      </c>
      <c r="G51" s="3675"/>
      <c r="H51" s="369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5">
        <v>0.25</v>
      </c>
      <c r="E56" s="217">
        <f>'数据-汇总表'!E11</f>
        <v>6100.25</v>
      </c>
      <c r="F56" s="639" t="e">
        <f t="shared" si="15"/>
        <v>#DIV/0!</v>
      </c>
      <c r="G56" s="1987" t="s">
        <v>1896</v>
      </c>
      <c r="H56" s="887" t="str">
        <f>项目基本情况!C37</f>
        <v>六级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15323.04</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1" t="s">
        <v>2084</v>
      </c>
      <c r="D1" s="3732"/>
      <c r="E1" s="3732"/>
      <c r="F1" s="3732"/>
      <c r="G1" s="3732"/>
      <c r="H1" s="3732"/>
      <c r="I1" s="3732"/>
      <c r="J1" s="3732"/>
      <c r="K1" s="3732"/>
      <c r="L1" s="3732"/>
      <c r="M1" s="3732"/>
      <c r="N1" s="3732"/>
      <c r="O1" s="3732"/>
      <c r="P1" s="3732"/>
      <c r="Q1" s="3732"/>
      <c r="R1" s="3732"/>
      <c r="S1" s="373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56278</v>
      </c>
      <c r="C2" s="2145" t="s">
        <v>2074</v>
      </c>
      <c r="D2" s="2145" t="s">
        <v>2075</v>
      </c>
      <c r="E2" s="2610">
        <f ca="1">SUMIF(E6:E13,"&lt;&gt;#ref!",E6:E13)</f>
        <v>61537.210000000036</v>
      </c>
      <c r="F2" s="2790"/>
      <c r="G2" s="2790"/>
      <c r="H2" s="2790"/>
      <c r="I2" s="2790"/>
      <c r="J2" s="2790"/>
      <c r="K2" s="2790"/>
      <c r="L2" s="2790"/>
      <c r="M2" s="2790"/>
      <c r="N2" s="2790"/>
      <c r="O2" s="2790"/>
      <c r="P2" s="2790"/>
    </row>
    <row r="3" spans="1:16" ht="15.75">
      <c r="A3" s="2145" t="s">
        <v>2076</v>
      </c>
      <c r="B3" s="2600">
        <f ca="1">ROUND(B2*10000/E2,0)</f>
        <v>9145</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56278</v>
      </c>
      <c r="C6" s="2145" t="s">
        <v>2074</v>
      </c>
      <c r="D6" s="2790"/>
      <c r="E6" s="2610">
        <f ca="1">SUMIF(INDIRECT("'"&amp;A6&amp;"'"&amp;"!C:C"),"建筑面积",INDIRECT("'"&amp;A6&amp;"'"&amp;"!D:D"))</f>
        <v>61537.210000000036</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60" t="s">
        <v>2607</v>
      </c>
      <c r="B20" s="3753" t="s">
        <v>2628</v>
      </c>
      <c r="C20" s="3100" t="s">
        <v>2439</v>
      </c>
      <c r="D20" s="3101"/>
      <c r="E20" s="3102">
        <v>1</v>
      </c>
      <c r="F20" s="3103" t="s">
        <v>2440</v>
      </c>
      <c r="G20" s="3103"/>
    </row>
    <row r="21" spans="1:13" ht="19.5" customHeight="1">
      <c r="A21" s="3761"/>
      <c r="B21" s="3754"/>
      <c r="C21" s="3104" t="s">
        <v>2441</v>
      </c>
      <c r="D21" s="3105"/>
      <c r="E21" s="3106">
        <v>1</v>
      </c>
      <c r="F21" s="3103" t="s">
        <v>2442</v>
      </c>
      <c r="G21" s="3103"/>
    </row>
    <row r="22" spans="1:13" ht="19.5" customHeight="1">
      <c r="A22" s="3761"/>
      <c r="B22" s="3754"/>
      <c r="C22" s="3104" t="s">
        <v>2443</v>
      </c>
      <c r="D22" s="3105"/>
      <c r="E22" s="3106">
        <v>0.9</v>
      </c>
      <c r="F22" s="3103" t="s">
        <v>2444</v>
      </c>
      <c r="G22" s="3103"/>
    </row>
    <row r="23" spans="1:13" ht="19.5" customHeight="1">
      <c r="A23" s="3761"/>
      <c r="B23" s="3754"/>
      <c r="C23" s="3104" t="s">
        <v>2445</v>
      </c>
      <c r="D23" s="3105"/>
      <c r="E23" s="3106">
        <v>0.9</v>
      </c>
      <c r="F23" s="3103" t="s">
        <v>2446</v>
      </c>
      <c r="G23" s="3103"/>
    </row>
    <row r="24" spans="1:13" ht="19.5" customHeight="1">
      <c r="A24" s="3761"/>
      <c r="B24" s="3754"/>
      <c r="C24" s="3104" t="s">
        <v>2447</v>
      </c>
      <c r="D24" s="3105"/>
      <c r="E24" s="3106">
        <v>0.8</v>
      </c>
      <c r="F24" s="3103" t="s">
        <v>2448</v>
      </c>
      <c r="G24" s="3103"/>
    </row>
    <row r="25" spans="1:13" ht="19.5" customHeight="1" thickBot="1">
      <c r="A25" s="3762"/>
      <c r="B25" s="3755"/>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56" t="s">
        <v>2631</v>
      </c>
      <c r="B27" s="3753" t="s">
        <v>2612</v>
      </c>
      <c r="C27" s="3100" t="s">
        <v>2452</v>
      </c>
      <c r="D27" s="3101"/>
      <c r="E27" s="3102">
        <v>1</v>
      </c>
      <c r="F27" s="3103" t="s">
        <v>2453</v>
      </c>
      <c r="G27" s="3103"/>
    </row>
    <row r="28" spans="1:13" ht="19.5" customHeight="1">
      <c r="A28" s="3757"/>
      <c r="B28" s="3754"/>
      <c r="C28" s="3104" t="s">
        <v>2454</v>
      </c>
      <c r="D28" s="3105"/>
      <c r="E28" s="3106">
        <v>1</v>
      </c>
      <c r="F28" s="3103" t="s">
        <v>2455</v>
      </c>
      <c r="G28" s="3103"/>
    </row>
    <row r="29" spans="1:13" ht="19.5" customHeight="1">
      <c r="A29" s="3757"/>
      <c r="B29" s="3754"/>
      <c r="C29" s="3104" t="s">
        <v>2456</v>
      </c>
      <c r="D29" s="3105"/>
      <c r="E29" s="3106">
        <v>0.8</v>
      </c>
      <c r="F29" s="3103" t="s">
        <v>2457</v>
      </c>
      <c r="G29" s="3103"/>
    </row>
    <row r="30" spans="1:13" ht="19.5" customHeight="1">
      <c r="A30" s="3757"/>
      <c r="B30" s="3754"/>
      <c r="C30" s="3104" t="s">
        <v>2458</v>
      </c>
      <c r="D30" s="3105"/>
      <c r="E30" s="3106">
        <v>0.8</v>
      </c>
      <c r="F30" s="3103" t="s">
        <v>2459</v>
      </c>
      <c r="G30" s="3103"/>
    </row>
    <row r="31" spans="1:13" ht="19.5" customHeight="1">
      <c r="A31" s="3757"/>
      <c r="B31" s="3754"/>
      <c r="C31" s="3104" t="s">
        <v>2460</v>
      </c>
      <c r="D31" s="3105"/>
      <c r="E31" s="3106">
        <v>0.8</v>
      </c>
      <c r="F31" s="3103" t="s">
        <v>2461</v>
      </c>
      <c r="G31" s="3103"/>
    </row>
    <row r="32" spans="1:13" ht="19.5" customHeight="1">
      <c r="A32" s="3757"/>
      <c r="B32" s="3754"/>
      <c r="C32" s="3104" t="s">
        <v>2462</v>
      </c>
      <c r="D32" s="3105"/>
      <c r="E32" s="3106">
        <v>0.7</v>
      </c>
      <c r="F32" s="3103" t="s">
        <v>2463</v>
      </c>
      <c r="G32" s="3103"/>
    </row>
    <row r="33" spans="1:7" ht="19.5" customHeight="1">
      <c r="A33" s="3757"/>
      <c r="B33" s="3754"/>
      <c r="C33" s="3104" t="s">
        <v>2464</v>
      </c>
      <c r="D33" s="3105"/>
      <c r="E33" s="3106">
        <v>0.8</v>
      </c>
      <c r="F33" s="3103" t="s">
        <v>2465</v>
      </c>
      <c r="G33" s="3103"/>
    </row>
    <row r="34" spans="1:7" ht="19.5" customHeight="1">
      <c r="A34" s="3757"/>
      <c r="B34" s="3754"/>
      <c r="C34" s="3104" t="s">
        <v>2466</v>
      </c>
      <c r="D34" s="3105"/>
      <c r="E34" s="3106">
        <v>0.6</v>
      </c>
      <c r="F34" s="3103" t="s">
        <v>2467</v>
      </c>
      <c r="G34" s="3103"/>
    </row>
    <row r="35" spans="1:7" ht="19.5" customHeight="1">
      <c r="A35" s="3757"/>
      <c r="B35" s="3754"/>
      <c r="C35" s="3104" t="s">
        <v>2468</v>
      </c>
      <c r="D35" s="3105"/>
      <c r="E35" s="3106">
        <v>0.2</v>
      </c>
      <c r="F35" s="3103" t="s">
        <v>2469</v>
      </c>
      <c r="G35" s="3103"/>
    </row>
    <row r="36" spans="1:7" ht="19.5" customHeight="1">
      <c r="A36" s="3757"/>
      <c r="B36" s="3754"/>
      <c r="C36" s="3104" t="s">
        <v>2470</v>
      </c>
      <c r="D36" s="3105"/>
      <c r="E36" s="3106">
        <v>0.2</v>
      </c>
      <c r="F36" s="3103" t="s">
        <v>2471</v>
      </c>
      <c r="G36" s="3103"/>
    </row>
    <row r="37" spans="1:7" ht="19.5" customHeight="1">
      <c r="A37" s="3757"/>
      <c r="B37" s="3759" t="s">
        <v>2632</v>
      </c>
      <c r="C37" s="3104" t="s">
        <v>2472</v>
      </c>
      <c r="D37" s="3105"/>
      <c r="E37" s="3106">
        <v>0.6</v>
      </c>
      <c r="F37" s="3103" t="s">
        <v>2473</v>
      </c>
      <c r="G37" s="3103"/>
    </row>
    <row r="38" spans="1:7" ht="19.5" customHeight="1">
      <c r="A38" s="3757"/>
      <c r="B38" s="3754"/>
      <c r="C38" s="3104" t="s">
        <v>2474</v>
      </c>
      <c r="D38" s="3105"/>
      <c r="E38" s="3106">
        <v>0.6</v>
      </c>
      <c r="F38" s="3103" t="s">
        <v>2475</v>
      </c>
      <c r="G38" s="3103"/>
    </row>
    <row r="39" spans="1:7" ht="19.5" customHeight="1" thickBot="1">
      <c r="A39" s="3758"/>
      <c r="B39" s="3755"/>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60" t="s">
        <v>2610</v>
      </c>
      <c r="B41" s="3753" t="s">
        <v>2634</v>
      </c>
      <c r="C41" s="3100" t="s">
        <v>2479</v>
      </c>
      <c r="D41" s="3101"/>
      <c r="E41" s="3102">
        <v>1</v>
      </c>
      <c r="F41" s="3103" t="s">
        <v>2480</v>
      </c>
      <c r="G41" s="3103"/>
    </row>
    <row r="42" spans="1:7" ht="19.5" customHeight="1">
      <c r="A42" s="3761"/>
      <c r="B42" s="3754"/>
      <c r="C42" s="3104" t="s">
        <v>2481</v>
      </c>
      <c r="D42" s="3105"/>
      <c r="E42" s="3106">
        <v>1</v>
      </c>
      <c r="F42" s="3103" t="s">
        <v>2482</v>
      </c>
      <c r="G42" s="3103"/>
    </row>
    <row r="43" spans="1:7" ht="19.5" customHeight="1">
      <c r="A43" s="3761"/>
      <c r="B43" s="3763"/>
      <c r="C43" s="3104" t="s">
        <v>2483</v>
      </c>
      <c r="D43" s="3105"/>
      <c r="E43" s="3106">
        <v>1.5</v>
      </c>
      <c r="F43" s="3103" t="s">
        <v>2484</v>
      </c>
      <c r="G43" s="3103"/>
    </row>
    <row r="44" spans="1:7" ht="19.5" customHeight="1">
      <c r="A44" s="3761"/>
      <c r="B44" s="3115" t="s">
        <v>2635</v>
      </c>
      <c r="C44" s="3104" t="s">
        <v>2636</v>
      </c>
      <c r="D44" s="3105"/>
      <c r="E44" s="3106">
        <v>2</v>
      </c>
      <c r="F44" s="3103" t="s">
        <v>2485</v>
      </c>
      <c r="G44" s="3103"/>
    </row>
    <row r="45" spans="1:7" ht="19.5" customHeight="1">
      <c r="A45" s="3761"/>
      <c r="B45" s="3759" t="s">
        <v>2637</v>
      </c>
      <c r="C45" s="3104" t="s">
        <v>2486</v>
      </c>
      <c r="D45" s="3105"/>
      <c r="E45" s="3106">
        <v>1</v>
      </c>
      <c r="F45" s="3103" t="s">
        <v>2487</v>
      </c>
      <c r="G45" s="3103"/>
    </row>
    <row r="46" spans="1:7" ht="19.5" customHeight="1">
      <c r="A46" s="3761"/>
      <c r="B46" s="3754"/>
      <c r="C46" s="3104" t="s">
        <v>2488</v>
      </c>
      <c r="D46" s="3105"/>
      <c r="E46" s="3106">
        <v>1</v>
      </c>
      <c r="F46" s="3103" t="s">
        <v>2489</v>
      </c>
      <c r="G46" s="3103"/>
    </row>
    <row r="47" spans="1:7" ht="19.5" customHeight="1">
      <c r="A47" s="3761"/>
      <c r="B47" s="3754"/>
      <c r="C47" s="3104" t="s">
        <v>2490</v>
      </c>
      <c r="D47" s="3105"/>
      <c r="E47" s="3106">
        <v>1</v>
      </c>
      <c r="F47" s="3103" t="s">
        <v>2491</v>
      </c>
      <c r="G47" s="3103"/>
    </row>
    <row r="48" spans="1:7" ht="19.5" customHeight="1">
      <c r="A48" s="3761"/>
      <c r="B48" s="3754"/>
      <c r="C48" s="3104" t="s">
        <v>2492</v>
      </c>
      <c r="D48" s="3105"/>
      <c r="E48" s="3106">
        <v>1</v>
      </c>
      <c r="F48" s="3103" t="s">
        <v>2493</v>
      </c>
      <c r="G48" s="3103"/>
    </row>
    <row r="49" spans="1:7" ht="19.5" customHeight="1">
      <c r="A49" s="3761"/>
      <c r="B49" s="3754"/>
      <c r="C49" s="3104" t="s">
        <v>2494</v>
      </c>
      <c r="D49" s="3105"/>
      <c r="E49" s="3106">
        <v>1</v>
      </c>
      <c r="F49" s="3103" t="s">
        <v>2495</v>
      </c>
      <c r="G49" s="3103"/>
    </row>
    <row r="50" spans="1:7" ht="19.5" customHeight="1">
      <c r="A50" s="3761"/>
      <c r="B50" s="3754"/>
      <c r="C50" s="3104" t="s">
        <v>2496</v>
      </c>
      <c r="D50" s="3105"/>
      <c r="E50" s="3106">
        <v>1</v>
      </c>
      <c r="F50" s="3103" t="s">
        <v>2497</v>
      </c>
      <c r="G50" s="3103"/>
    </row>
    <row r="51" spans="1:7" ht="19.5" customHeight="1" thickBot="1">
      <c r="A51" s="3762"/>
      <c r="B51" s="3755"/>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59" t="s">
        <v>2651</v>
      </c>
      <c r="C73" s="3089" t="s">
        <v>2652</v>
      </c>
      <c r="D73" s="3089" t="s">
        <v>2653</v>
      </c>
      <c r="E73" s="3115">
        <v>0.2</v>
      </c>
      <c r="F73" s="3115">
        <v>25</v>
      </c>
    </row>
    <row r="74" spans="1:7" ht="24">
      <c r="A74" s="3115">
        <v>2</v>
      </c>
      <c r="B74" s="3754"/>
      <c r="C74" s="3089" t="s">
        <v>2654</v>
      </c>
      <c r="D74" s="3089" t="s">
        <v>2655</v>
      </c>
      <c r="E74" s="3115">
        <v>0.2</v>
      </c>
      <c r="F74" s="3115">
        <v>25</v>
      </c>
    </row>
    <row r="75" spans="1:7" ht="24">
      <c r="A75" s="3115">
        <v>3</v>
      </c>
      <c r="B75" s="3754"/>
      <c r="C75" s="3089" t="s">
        <v>2656</v>
      </c>
      <c r="D75" s="3089" t="s">
        <v>2657</v>
      </c>
      <c r="E75" s="3115">
        <v>0.2</v>
      </c>
      <c r="F75" s="3115">
        <v>25</v>
      </c>
    </row>
    <row r="76" spans="1:7" ht="13.5">
      <c r="A76" s="3115">
        <v>4</v>
      </c>
      <c r="B76" s="3754"/>
      <c r="C76" s="3089" t="s">
        <v>2658</v>
      </c>
      <c r="D76" s="3089" t="s">
        <v>2659</v>
      </c>
      <c r="E76" s="3115">
        <v>0.15</v>
      </c>
      <c r="F76" s="3115">
        <v>20</v>
      </c>
    </row>
    <row r="77" spans="1:7" ht="24">
      <c r="A77" s="3115">
        <v>5</v>
      </c>
      <c r="B77" s="3754"/>
      <c r="C77" s="3089" t="s">
        <v>2660</v>
      </c>
      <c r="D77" s="3089" t="s">
        <v>2661</v>
      </c>
      <c r="E77" s="3115">
        <v>0.15</v>
      </c>
      <c r="F77" s="3115">
        <v>20</v>
      </c>
    </row>
    <row r="78" spans="1:7" ht="24">
      <c r="A78" s="3115">
        <v>6</v>
      </c>
      <c r="B78" s="3754"/>
      <c r="C78" s="3089" t="s">
        <v>2662</v>
      </c>
      <c r="D78" s="3089" t="s">
        <v>2663</v>
      </c>
      <c r="E78" s="3115">
        <v>0.15</v>
      </c>
      <c r="F78" s="3115">
        <v>20</v>
      </c>
    </row>
    <row r="79" spans="1:7" ht="24">
      <c r="A79" s="3115">
        <v>7</v>
      </c>
      <c r="B79" s="3754"/>
      <c r="C79" s="3089" t="s">
        <v>2664</v>
      </c>
      <c r="D79" s="3089" t="s">
        <v>2665</v>
      </c>
      <c r="E79" s="3115">
        <v>0.15</v>
      </c>
      <c r="F79" s="3115">
        <v>20</v>
      </c>
    </row>
    <row r="80" spans="1:7" ht="24">
      <c r="A80" s="3115">
        <v>8</v>
      </c>
      <c r="B80" s="3754"/>
      <c r="C80" s="3089" t="s">
        <v>2666</v>
      </c>
      <c r="D80" s="3089" t="s">
        <v>2667</v>
      </c>
      <c r="E80" s="3115">
        <v>0.1</v>
      </c>
      <c r="F80" s="3115">
        <v>15</v>
      </c>
    </row>
    <row r="81" spans="1:6" ht="24">
      <c r="A81" s="3115">
        <v>9</v>
      </c>
      <c r="B81" s="3754"/>
      <c r="C81" s="3089" t="s">
        <v>2668</v>
      </c>
      <c r="D81" s="3089" t="s">
        <v>2669</v>
      </c>
      <c r="E81" s="3115">
        <v>0.1</v>
      </c>
      <c r="F81" s="3115">
        <v>15</v>
      </c>
    </row>
    <row r="82" spans="1:6" ht="24">
      <c r="A82" s="3115">
        <v>10</v>
      </c>
      <c r="B82" s="3754"/>
      <c r="C82" s="3089" t="s">
        <v>2670</v>
      </c>
      <c r="D82" s="3089" t="s">
        <v>2671</v>
      </c>
      <c r="E82" s="3115">
        <v>0.1</v>
      </c>
      <c r="F82" s="3115">
        <v>15</v>
      </c>
    </row>
    <row r="83" spans="1:6" ht="24">
      <c r="A83" s="3115">
        <v>11</v>
      </c>
      <c r="B83" s="3754"/>
      <c r="C83" s="3089" t="s">
        <v>2672</v>
      </c>
      <c r="D83" s="3089" t="s">
        <v>2673</v>
      </c>
      <c r="E83" s="3115">
        <v>0.1</v>
      </c>
      <c r="F83" s="3115">
        <v>15</v>
      </c>
    </row>
    <row r="84" spans="1:6" ht="24">
      <c r="A84" s="3115">
        <v>12</v>
      </c>
      <c r="B84" s="3754"/>
      <c r="C84" s="3089" t="s">
        <v>2674</v>
      </c>
      <c r="D84" s="3089" t="s">
        <v>2675</v>
      </c>
      <c r="E84" s="3115">
        <v>0.1</v>
      </c>
      <c r="F84" s="3115">
        <v>15</v>
      </c>
    </row>
    <row r="85" spans="1:6" ht="13.5">
      <c r="A85" s="3115">
        <v>13</v>
      </c>
      <c r="B85" s="3754"/>
      <c r="C85" s="3089" t="s">
        <v>2676</v>
      </c>
      <c r="D85" s="3089" t="s">
        <v>2677</v>
      </c>
      <c r="E85" s="3115">
        <v>0.1</v>
      </c>
      <c r="F85" s="3115">
        <v>15</v>
      </c>
    </row>
    <row r="86" spans="1:6" ht="13.5">
      <c r="A86" s="3115">
        <v>14</v>
      </c>
      <c r="B86" s="3754"/>
      <c r="C86" s="3089" t="s">
        <v>2678</v>
      </c>
      <c r="D86" s="3089" t="s">
        <v>2679</v>
      </c>
      <c r="E86" s="3115">
        <v>0.1</v>
      </c>
      <c r="F86" s="3115">
        <v>15</v>
      </c>
    </row>
    <row r="87" spans="1:6" ht="13.5">
      <c r="A87" s="3115">
        <v>15</v>
      </c>
      <c r="B87" s="3754"/>
      <c r="C87" s="3089" t="s">
        <v>2680</v>
      </c>
      <c r="D87" s="3089" t="s">
        <v>2681</v>
      </c>
      <c r="E87" s="3115">
        <v>0.1</v>
      </c>
      <c r="F87" s="3115">
        <v>15</v>
      </c>
    </row>
    <row r="88" spans="1:6" ht="24">
      <c r="A88" s="3115">
        <v>16</v>
      </c>
      <c r="B88" s="3754"/>
      <c r="C88" s="3089" t="s">
        <v>2682</v>
      </c>
      <c r="D88" s="3089" t="s">
        <v>2683</v>
      </c>
      <c r="E88" s="3115">
        <v>0.1</v>
      </c>
      <c r="F88" s="3115">
        <v>15</v>
      </c>
    </row>
    <row r="89" spans="1:6" ht="24">
      <c r="A89" s="3115">
        <v>17</v>
      </c>
      <c r="B89" s="3763"/>
      <c r="C89" s="3089" t="s">
        <v>2684</v>
      </c>
      <c r="D89" s="3089" t="s">
        <v>2685</v>
      </c>
      <c r="E89" s="3115">
        <v>0.1</v>
      </c>
      <c r="F89" s="3115">
        <v>15</v>
      </c>
    </row>
    <row r="90" spans="1:6" ht="13.5">
      <c r="A90" s="3115">
        <v>18</v>
      </c>
      <c r="B90" s="3759" t="s">
        <v>2686</v>
      </c>
      <c r="C90" s="3089" t="s">
        <v>2687</v>
      </c>
      <c r="D90" s="3089" t="s">
        <v>2688</v>
      </c>
      <c r="E90" s="3115">
        <v>0.2</v>
      </c>
      <c r="F90" s="3115">
        <v>25</v>
      </c>
    </row>
    <row r="91" spans="1:6" ht="24">
      <c r="A91" s="3115">
        <v>19</v>
      </c>
      <c r="B91" s="3754"/>
      <c r="C91" s="3089" t="s">
        <v>2689</v>
      </c>
      <c r="D91" s="3089" t="s">
        <v>2690</v>
      </c>
      <c r="E91" s="3115">
        <v>0.2</v>
      </c>
      <c r="F91" s="3115">
        <v>25</v>
      </c>
    </row>
    <row r="92" spans="1:6" ht="13.5">
      <c r="A92" s="3115">
        <v>20</v>
      </c>
      <c r="B92" s="3754"/>
      <c r="C92" s="3089" t="s">
        <v>2691</v>
      </c>
      <c r="D92" s="3089" t="s">
        <v>2692</v>
      </c>
      <c r="E92" s="3115">
        <v>0.15</v>
      </c>
      <c r="F92" s="3115">
        <v>20</v>
      </c>
    </row>
    <row r="93" spans="1:6" ht="13.5">
      <c r="A93" s="3115">
        <v>21</v>
      </c>
      <c r="B93" s="3754"/>
      <c r="C93" s="3089" t="s">
        <v>2693</v>
      </c>
      <c r="D93" s="3089" t="s">
        <v>2694</v>
      </c>
      <c r="E93" s="3115">
        <v>0.15</v>
      </c>
      <c r="F93" s="3115">
        <v>20</v>
      </c>
    </row>
    <row r="94" spans="1:6" ht="13.5">
      <c r="A94" s="3115">
        <v>22</v>
      </c>
      <c r="B94" s="3754"/>
      <c r="C94" s="3089" t="s">
        <v>2695</v>
      </c>
      <c r="D94" s="3089" t="s">
        <v>2696</v>
      </c>
      <c r="E94" s="3115">
        <v>0.15</v>
      </c>
      <c r="F94" s="3115">
        <v>20</v>
      </c>
    </row>
    <row r="95" spans="1:6" ht="36">
      <c r="A95" s="3115">
        <v>23</v>
      </c>
      <c r="B95" s="3754"/>
      <c r="C95" s="3089" t="s">
        <v>2697</v>
      </c>
      <c r="D95" s="3089" t="s">
        <v>2698</v>
      </c>
      <c r="E95" s="3115">
        <v>0.15</v>
      </c>
      <c r="F95" s="3115">
        <v>20</v>
      </c>
    </row>
    <row r="96" spans="1:6" ht="13.5">
      <c r="A96" s="3115">
        <v>24</v>
      </c>
      <c r="B96" s="3754"/>
      <c r="C96" s="3089" t="s">
        <v>2699</v>
      </c>
      <c r="D96" s="3089" t="s">
        <v>2700</v>
      </c>
      <c r="E96" s="3115">
        <v>0.1</v>
      </c>
      <c r="F96" s="3115">
        <v>15</v>
      </c>
    </row>
    <row r="97" spans="1:6" ht="13.5">
      <c r="A97" s="3115">
        <v>25</v>
      </c>
      <c r="B97" s="3754"/>
      <c r="C97" s="3089" t="s">
        <v>2701</v>
      </c>
      <c r="D97" s="3089" t="s">
        <v>2702</v>
      </c>
      <c r="E97" s="3115">
        <v>0.1</v>
      </c>
      <c r="F97" s="3115">
        <v>15</v>
      </c>
    </row>
    <row r="98" spans="1:6" ht="24">
      <c r="A98" s="3115">
        <v>26</v>
      </c>
      <c r="B98" s="3754"/>
      <c r="C98" s="3089" t="s">
        <v>2703</v>
      </c>
      <c r="D98" s="3089" t="s">
        <v>2704</v>
      </c>
      <c r="E98" s="3115">
        <v>0.1</v>
      </c>
      <c r="F98" s="3115">
        <v>15</v>
      </c>
    </row>
    <row r="99" spans="1:6" ht="24">
      <c r="A99" s="3115">
        <v>27</v>
      </c>
      <c r="B99" s="3754"/>
      <c r="C99" s="3089" t="s">
        <v>2705</v>
      </c>
      <c r="D99" s="3089" t="s">
        <v>2706</v>
      </c>
      <c r="E99" s="3115">
        <v>0.1</v>
      </c>
      <c r="F99" s="3115">
        <v>15</v>
      </c>
    </row>
    <row r="100" spans="1:6" ht="13.5">
      <c r="A100" s="3115">
        <v>28</v>
      </c>
      <c r="B100" s="3754"/>
      <c r="C100" s="3089" t="s">
        <v>2707</v>
      </c>
      <c r="D100" s="3089" t="s">
        <v>2708</v>
      </c>
      <c r="E100" s="3115">
        <v>0.1</v>
      </c>
      <c r="F100" s="3115">
        <v>15</v>
      </c>
    </row>
    <row r="101" spans="1:6" ht="13.5">
      <c r="A101" s="3115">
        <v>29</v>
      </c>
      <c r="B101" s="3754"/>
      <c r="C101" s="3089" t="s">
        <v>2709</v>
      </c>
      <c r="D101" s="3089" t="s">
        <v>2710</v>
      </c>
      <c r="E101" s="3115">
        <v>0.1</v>
      </c>
      <c r="F101" s="3115">
        <v>15</v>
      </c>
    </row>
    <row r="102" spans="1:6" ht="13.5">
      <c r="A102" s="3115">
        <v>30</v>
      </c>
      <c r="B102" s="3754"/>
      <c r="C102" s="3089" t="s">
        <v>2711</v>
      </c>
      <c r="D102" s="3089" t="s">
        <v>2712</v>
      </c>
      <c r="E102" s="3115">
        <v>0.1</v>
      </c>
      <c r="F102" s="3115">
        <v>15</v>
      </c>
    </row>
    <row r="103" spans="1:6" ht="24">
      <c r="A103" s="3115">
        <v>31</v>
      </c>
      <c r="B103" s="3754"/>
      <c r="C103" s="3089" t="s">
        <v>2713</v>
      </c>
      <c r="D103" s="3089" t="s">
        <v>2714</v>
      </c>
      <c r="E103" s="3115">
        <v>0.1</v>
      </c>
      <c r="F103" s="3115">
        <v>15</v>
      </c>
    </row>
    <row r="104" spans="1:6" ht="24">
      <c r="A104" s="3115">
        <v>32</v>
      </c>
      <c r="B104" s="3754"/>
      <c r="C104" s="3089" t="s">
        <v>2715</v>
      </c>
      <c r="D104" s="3089" t="s">
        <v>2716</v>
      </c>
      <c r="E104" s="3115">
        <v>0.1</v>
      </c>
      <c r="F104" s="3115">
        <v>15</v>
      </c>
    </row>
    <row r="105" spans="1:6" ht="24">
      <c r="A105" s="3115">
        <v>33</v>
      </c>
      <c r="B105" s="3754"/>
      <c r="C105" s="3089" t="s">
        <v>2717</v>
      </c>
      <c r="D105" s="3089" t="s">
        <v>2718</v>
      </c>
      <c r="E105" s="3115">
        <v>0.1</v>
      </c>
      <c r="F105" s="3115">
        <v>15</v>
      </c>
    </row>
    <row r="106" spans="1:6" ht="24">
      <c r="A106" s="3115">
        <v>34</v>
      </c>
      <c r="B106" s="3763"/>
      <c r="C106" s="3089" t="s">
        <v>2719</v>
      </c>
      <c r="D106" s="3089" t="s">
        <v>2720</v>
      </c>
      <c r="E106" s="3115">
        <v>0.1</v>
      </c>
      <c r="F106" s="3115">
        <v>15</v>
      </c>
    </row>
    <row r="107" spans="1:6" ht="24">
      <c r="A107" s="3115">
        <v>35</v>
      </c>
      <c r="B107" s="3759" t="s">
        <v>2721</v>
      </c>
      <c r="C107" s="3115" t="s">
        <v>2722</v>
      </c>
      <c r="D107" s="3089" t="s">
        <v>2723</v>
      </c>
      <c r="E107" s="3115">
        <v>0.15</v>
      </c>
      <c r="F107" s="3115">
        <v>20</v>
      </c>
    </row>
    <row r="108" spans="1:6" ht="13.5">
      <c r="A108" s="3115">
        <v>36</v>
      </c>
      <c r="B108" s="3754"/>
      <c r="C108" s="3115" t="s">
        <v>2724</v>
      </c>
      <c r="D108" s="3089" t="s">
        <v>2725</v>
      </c>
      <c r="E108" s="3115">
        <v>0.15</v>
      </c>
      <c r="F108" s="3115">
        <v>20</v>
      </c>
    </row>
    <row r="109" spans="1:6" ht="13.5">
      <c r="A109" s="3115">
        <v>37</v>
      </c>
      <c r="B109" s="3754"/>
      <c r="C109" s="3115" t="s">
        <v>2726</v>
      </c>
      <c r="D109" s="3089" t="s">
        <v>2727</v>
      </c>
      <c r="E109" s="3115">
        <v>0.15</v>
      </c>
      <c r="F109" s="3115">
        <v>20</v>
      </c>
    </row>
    <row r="110" spans="1:6" ht="13.5">
      <c r="A110" s="3115">
        <v>38</v>
      </c>
      <c r="B110" s="3754"/>
      <c r="C110" s="3115" t="s">
        <v>2728</v>
      </c>
      <c r="D110" s="3089" t="s">
        <v>2729</v>
      </c>
      <c r="E110" s="3115">
        <v>0.1</v>
      </c>
      <c r="F110" s="3115">
        <v>15</v>
      </c>
    </row>
    <row r="111" spans="1:6" ht="24">
      <c r="A111" s="3115">
        <v>39</v>
      </c>
      <c r="B111" s="3754"/>
      <c r="C111" s="3115" t="s">
        <v>2730</v>
      </c>
      <c r="D111" s="3089" t="s">
        <v>2731</v>
      </c>
      <c r="E111" s="3115">
        <v>0.1</v>
      </c>
      <c r="F111" s="3115">
        <v>15</v>
      </c>
    </row>
    <row r="112" spans="1:6" ht="24">
      <c r="A112" s="3115">
        <v>40</v>
      </c>
      <c r="B112" s="3763"/>
      <c r="C112" s="3115" t="s">
        <v>2732</v>
      </c>
      <c r="D112" s="3089" t="s">
        <v>2733</v>
      </c>
      <c r="E112" s="3115">
        <v>0.1</v>
      </c>
      <c r="F112" s="3115">
        <v>15</v>
      </c>
    </row>
    <row r="113" spans="1:6" ht="13.5">
      <c r="A113" s="3115">
        <v>41</v>
      </c>
      <c r="B113" s="3764" t="s">
        <v>2734</v>
      </c>
      <c r="C113" s="3115" t="s">
        <v>2735</v>
      </c>
      <c r="D113" s="3089" t="s">
        <v>2736</v>
      </c>
      <c r="E113" s="3115">
        <v>0.1</v>
      </c>
      <c r="F113" s="3115">
        <v>15</v>
      </c>
    </row>
    <row r="114" spans="1:6" ht="13.5">
      <c r="A114" s="3115">
        <v>42</v>
      </c>
      <c r="B114" s="3764"/>
      <c r="C114" s="3115" t="s">
        <v>2737</v>
      </c>
      <c r="D114" s="3089" t="s">
        <v>2738</v>
      </c>
      <c r="E114" s="3115">
        <v>0.1</v>
      </c>
      <c r="F114" s="3115">
        <v>15</v>
      </c>
    </row>
    <row r="115" spans="1:6" ht="24">
      <c r="A115" s="3115">
        <v>43</v>
      </c>
      <c r="B115" s="3764"/>
      <c r="C115" s="3115" t="s">
        <v>2739</v>
      </c>
      <c r="D115" s="3089" t="s">
        <v>2740</v>
      </c>
      <c r="E115" s="3115">
        <v>0.1</v>
      </c>
      <c r="F115" s="3115">
        <v>15</v>
      </c>
    </row>
    <row r="116" spans="1:6" ht="13.5">
      <c r="A116" s="3115">
        <v>44</v>
      </c>
      <c r="B116" s="3759" t="s">
        <v>2741</v>
      </c>
      <c r="C116" s="3115" t="s">
        <v>2742</v>
      </c>
      <c r="D116" s="3089" t="s">
        <v>2743</v>
      </c>
      <c r="E116" s="3115">
        <v>0.1</v>
      </c>
      <c r="F116" s="3115">
        <v>15</v>
      </c>
    </row>
    <row r="117" spans="1:6" ht="24">
      <c r="A117" s="3115">
        <v>45</v>
      </c>
      <c r="B117" s="3763"/>
      <c r="C117" s="3089" t="s">
        <v>2744</v>
      </c>
      <c r="D117" s="3089" t="s">
        <v>2745</v>
      </c>
      <c r="E117" s="3115">
        <v>0.1</v>
      </c>
      <c r="F117" s="3115">
        <v>15</v>
      </c>
    </row>
    <row r="118" spans="1:6" ht="24">
      <c r="A118" s="3115">
        <v>46</v>
      </c>
      <c r="B118" s="3759" t="s">
        <v>2746</v>
      </c>
      <c r="C118" s="3115" t="s">
        <v>2747</v>
      </c>
      <c r="D118" s="3089" t="s">
        <v>2748</v>
      </c>
      <c r="E118" s="3115">
        <v>0.1</v>
      </c>
      <c r="F118" s="3115">
        <v>15</v>
      </c>
    </row>
    <row r="119" spans="1:6" ht="24">
      <c r="A119" s="3115">
        <v>47</v>
      </c>
      <c r="B119" s="3763"/>
      <c r="C119" s="3115" t="s">
        <v>2749</v>
      </c>
      <c r="D119" s="3089" t="s">
        <v>2750</v>
      </c>
      <c r="E119" s="3115">
        <v>0.1</v>
      </c>
      <c r="F119" s="3115">
        <v>15</v>
      </c>
    </row>
    <row r="120" spans="1:6" ht="13.5">
      <c r="A120" s="3115">
        <v>48</v>
      </c>
      <c r="B120" s="3759" t="s">
        <v>2751</v>
      </c>
      <c r="C120" s="3115" t="s">
        <v>2752</v>
      </c>
      <c r="D120" s="3089" t="s">
        <v>2753</v>
      </c>
      <c r="E120" s="3115">
        <v>0.1</v>
      </c>
      <c r="F120" s="3115">
        <v>15</v>
      </c>
    </row>
    <row r="121" spans="1:6" ht="13.5">
      <c r="A121" s="3115">
        <v>49</v>
      </c>
      <c r="B121" s="3763"/>
      <c r="C121" s="3115" t="s">
        <v>2754</v>
      </c>
      <c r="D121" s="3089" t="s">
        <v>2755</v>
      </c>
      <c r="E121" s="3115">
        <v>0.1</v>
      </c>
      <c r="F121" s="3115">
        <v>15</v>
      </c>
    </row>
    <row r="122" spans="1:6" ht="24">
      <c r="A122" s="3115">
        <v>50</v>
      </c>
      <c r="B122" s="3764" t="s">
        <v>2756</v>
      </c>
      <c r="C122" s="3115" t="s">
        <v>2757</v>
      </c>
      <c r="D122" s="3089" t="s">
        <v>2758</v>
      </c>
      <c r="E122" s="3115">
        <v>0.1</v>
      </c>
      <c r="F122" s="3115">
        <v>15</v>
      </c>
    </row>
    <row r="123" spans="1:6" ht="24">
      <c r="A123" s="3115">
        <v>51</v>
      </c>
      <c r="B123" s="3764"/>
      <c r="C123" s="3115" t="s">
        <v>2759</v>
      </c>
      <c r="D123" s="3089" t="s">
        <v>2760</v>
      </c>
      <c r="E123" s="3115">
        <v>0.1</v>
      </c>
      <c r="F123" s="3115">
        <v>15</v>
      </c>
    </row>
    <row r="124" spans="1:6" ht="24">
      <c r="A124" s="3115">
        <v>52</v>
      </c>
      <c r="B124" s="3764" t="s">
        <v>2761</v>
      </c>
      <c r="C124" s="3115" t="s">
        <v>2762</v>
      </c>
      <c r="D124" s="3089" t="s">
        <v>2763</v>
      </c>
      <c r="E124" s="3115">
        <v>0.1</v>
      </c>
      <c r="F124" s="3115">
        <v>15</v>
      </c>
    </row>
    <row r="125" spans="1:6" ht="24">
      <c r="A125" s="3115">
        <v>53</v>
      </c>
      <c r="B125" s="3764"/>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64" t="s">
        <v>2769</v>
      </c>
      <c r="C127" s="3115" t="s">
        <v>2770</v>
      </c>
      <c r="D127" s="3089" t="s">
        <v>2771</v>
      </c>
      <c r="E127" s="3115">
        <v>0.1</v>
      </c>
      <c r="F127" s="3115">
        <v>15</v>
      </c>
    </row>
    <row r="128" spans="1:6" ht="13.5">
      <c r="A128" s="3115">
        <v>56</v>
      </c>
      <c r="B128" s="3764"/>
      <c r="C128" s="3115" t="s">
        <v>2772</v>
      </c>
      <c r="D128" s="3089" t="s">
        <v>2773</v>
      </c>
      <c r="E128" s="3115">
        <v>0.1</v>
      </c>
      <c r="F128" s="3115">
        <v>15</v>
      </c>
    </row>
    <row r="129" spans="1:6" ht="24">
      <c r="A129" s="3115">
        <v>57</v>
      </c>
      <c r="B129" s="3764"/>
      <c r="C129" s="3115" t="s">
        <v>2774</v>
      </c>
      <c r="D129" s="3089" t="s">
        <v>2775</v>
      </c>
      <c r="E129" s="3115">
        <v>0.1</v>
      </c>
      <c r="F129" s="3115">
        <v>15</v>
      </c>
    </row>
    <row r="130" spans="1:6" ht="24">
      <c r="A130" s="3115">
        <v>58</v>
      </c>
      <c r="B130" s="3764" t="s">
        <v>2776</v>
      </c>
      <c r="C130" s="3115" t="s">
        <v>2777</v>
      </c>
      <c r="D130" s="3089" t="s">
        <v>2778</v>
      </c>
      <c r="E130" s="3115">
        <v>0.1</v>
      </c>
      <c r="F130" s="3115">
        <v>15</v>
      </c>
    </row>
    <row r="131" spans="1:6" ht="13.5">
      <c r="A131" s="3115">
        <v>59</v>
      </c>
      <c r="B131" s="3764"/>
      <c r="C131" s="3115" t="s">
        <v>2779</v>
      </c>
      <c r="D131" s="3089" t="s">
        <v>2780</v>
      </c>
      <c r="E131" s="3115">
        <v>0.1</v>
      </c>
      <c r="F131" s="3115">
        <v>15</v>
      </c>
    </row>
    <row r="132" spans="1:6" ht="13.5">
      <c r="A132" s="3115">
        <v>60</v>
      </c>
      <c r="B132" s="3759" t="s">
        <v>2781</v>
      </c>
      <c r="C132" s="3115" t="s">
        <v>2782</v>
      </c>
      <c r="D132" s="3089" t="s">
        <v>2783</v>
      </c>
      <c r="E132" s="3115">
        <v>0.1</v>
      </c>
      <c r="F132" s="3115">
        <v>15</v>
      </c>
    </row>
    <row r="133" spans="1:6" ht="13.5">
      <c r="A133" s="3115">
        <v>61</v>
      </c>
      <c r="B133" s="3763"/>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64" t="s">
        <v>2789</v>
      </c>
      <c r="C135" s="3115" t="s">
        <v>2790</v>
      </c>
      <c r="D135" s="3089" t="s">
        <v>2791</v>
      </c>
      <c r="E135" s="3115">
        <v>0.1</v>
      </c>
      <c r="F135" s="3115">
        <v>15</v>
      </c>
    </row>
    <row r="136" spans="1:6" ht="13.5">
      <c r="A136" s="3115">
        <v>64</v>
      </c>
      <c r="B136" s="3764"/>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93"/>
      <c r="B4" s="3450" t="s">
        <v>917</v>
      </c>
      <c r="C4" s="3450"/>
      <c r="D4" s="3450"/>
      <c r="E4" s="1493"/>
    </row>
    <row r="5" spans="1:5" ht="16.5" thickTop="1">
      <c r="A5" s="1491"/>
      <c r="B5" s="3448" t="s">
        <v>909</v>
      </c>
      <c r="C5" s="1494" t="s">
        <v>910</v>
      </c>
      <c r="D5" s="850">
        <f ca="1">结果表!H101</f>
        <v>159780</v>
      </c>
      <c r="E5" s="1491"/>
    </row>
    <row r="6" spans="1:5" ht="15.75">
      <c r="A6" s="1491"/>
      <c r="B6" s="3448"/>
      <c r="C6" s="1494" t="s">
        <v>911</v>
      </c>
      <c r="D6" s="850" t="str">
        <f ca="1">NUMBERSTRING(INT(D5*10000),2)&amp;"元整"</f>
        <v>壹拾伍亿玖仟柒佰捌拾万元整</v>
      </c>
      <c r="E6" s="1491"/>
    </row>
    <row r="7" spans="1:5" ht="15.75">
      <c r="A7" s="1491"/>
      <c r="B7" s="3453"/>
      <c r="C7" s="1495" t="s">
        <v>912</v>
      </c>
      <c r="D7" s="851">
        <f ca="1">结果表!H102</f>
        <v>25965</v>
      </c>
      <c r="E7" s="1491"/>
    </row>
    <row r="8" spans="1:5" ht="15.75">
      <c r="A8" s="1491"/>
      <c r="B8" s="3454" t="str">
        <f>结果表!E103</f>
        <v>2.估价师知悉的法定优先受偿款</v>
      </c>
      <c r="C8" s="1496" t="s">
        <v>913</v>
      </c>
      <c r="D8" s="851">
        <f>结果表!H103</f>
        <v>0</v>
      </c>
      <c r="E8" s="1491"/>
    </row>
    <row r="9" spans="1:5" ht="15.75">
      <c r="A9" s="1491"/>
      <c r="B9" s="345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7" t="str">
        <f>结果表!E107</f>
        <v>3.房地产抵押价值</v>
      </c>
      <c r="C13" s="1499" t="s">
        <v>910</v>
      </c>
      <c r="D13" s="853">
        <f ca="1">结果表!H107</f>
        <v>159780</v>
      </c>
      <c r="E13" s="1491"/>
    </row>
    <row r="14" spans="1:5" ht="15.75">
      <c r="A14" s="1491"/>
      <c r="B14" s="3448"/>
      <c r="C14" s="1494" t="s">
        <v>911</v>
      </c>
      <c r="D14" s="850" t="str">
        <f ca="1">NUMBERSTRING(INT(D13*10000),2)&amp;"元整"</f>
        <v>壹拾伍亿玖仟柒佰捌拾万元整</v>
      </c>
      <c r="E14" s="1491"/>
    </row>
    <row r="15" spans="1:5" ht="15">
      <c r="A15" s="1491"/>
      <c r="B15" s="3453"/>
      <c r="C15" s="1495" t="s">
        <v>921</v>
      </c>
      <c r="D15" s="859">
        <f ca="1">结果表!H108</f>
        <v>25965</v>
      </c>
      <c r="E15" s="1491"/>
    </row>
    <row r="16" spans="1:5" ht="15">
      <c r="A16" s="1491"/>
      <c r="B16" s="3454" t="str">
        <f>结果表!E109</f>
        <v>——</v>
      </c>
      <c r="C16" s="1499" t="s">
        <v>922</v>
      </c>
      <c r="D16" s="1500" t="str">
        <f>结果表!H109</f>
        <v>——</v>
      </c>
      <c r="E16" s="1491"/>
    </row>
    <row r="17" spans="1:5" ht="15.75">
      <c r="A17" s="1491"/>
      <c r="B17" s="3455"/>
      <c r="C17" s="1494" t="s">
        <v>923</v>
      </c>
      <c r="D17" s="850" t="e">
        <f>NUMBERSTRING(INT(D16*10000),2)&amp;"元整"</f>
        <v>#VALUE!</v>
      </c>
      <c r="E17" s="1491"/>
    </row>
    <row r="18" spans="1:5" ht="15">
      <c r="A18" s="1491"/>
      <c r="B18" s="3456"/>
      <c r="C18" s="1495" t="s">
        <v>912</v>
      </c>
      <c r="D18" s="859" t="str">
        <f>结果表!H110</f>
        <v>——</v>
      </c>
      <c r="E18" s="1491"/>
    </row>
    <row r="19" spans="1:5" ht="15.75">
      <c r="A19" s="1491"/>
      <c r="B19" s="3447" t="str">
        <f>结果表!E111</f>
        <v>——</v>
      </c>
      <c r="C19" s="1499" t="s">
        <v>910</v>
      </c>
      <c r="D19" s="851" t="str">
        <f>结果表!H111</f>
        <v>——</v>
      </c>
      <c r="E19" s="1491"/>
    </row>
    <row r="20" spans="1:5" ht="15.75">
      <c r="A20" s="1491"/>
      <c r="B20" s="3448"/>
      <c r="C20" s="1494" t="s">
        <v>923</v>
      </c>
      <c r="D20" s="850" t="e">
        <f>NUMBERSTRING(INT(D19*10000),2)&amp;"元整"</f>
        <v>#VALUE!</v>
      </c>
      <c r="E20" s="1491"/>
    </row>
    <row r="21" spans="1:5" ht="15.75" thickBot="1">
      <c r="A21" s="1491"/>
      <c r="B21" s="344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2798</v>
      </c>
      <c r="B1" s="3124"/>
      <c r="C1" s="3124"/>
      <c r="D1" s="3124"/>
      <c r="E1" s="3124"/>
      <c r="F1" s="3124"/>
      <c r="G1" s="3124"/>
      <c r="H1" s="3124"/>
      <c r="I1" s="3124"/>
      <c r="J1" s="3124"/>
      <c r="K1" s="3124"/>
      <c r="L1" s="3124"/>
      <c r="M1" s="3124"/>
      <c r="N1" s="749"/>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50">
        <f>SUMPRODUCT((A95:A184=ROUNDDOWN(基准地价修正!G3,1))*(B94:M94=基准地价修正!G2)*(B95:M184))</f>
        <v>0.95709999999999995</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50">
        <f>SUMPRODUCT((A371:A460=ROUNDDOWN(基准地价修正!G3,1))*(B370:M370=基准地价修正!G2)*(B371:M460))</f>
        <v>0.91039999999999999</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75953</v>
      </c>
      <c r="C2" s="2" t="s">
        <v>106</v>
      </c>
      <c r="D2" s="199"/>
      <c r="E2" s="199"/>
      <c r="F2" s="199"/>
      <c r="G2" s="199"/>
    </row>
    <row r="3" spans="1:7" s="200" customFormat="1" ht="18" customHeight="1" thickBot="1">
      <c r="A3" s="203" t="s">
        <v>58</v>
      </c>
      <c r="B3" s="204">
        <f ca="1">ROUND(B2*10000/'数据-汇总表'!E3,0)</f>
        <v>12343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1231</v>
      </c>
      <c r="D10" s="845">
        <f>'数据-汇总表'!E6</f>
        <v>61537.210000000036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1231</v>
      </c>
      <c r="D19" s="849">
        <f>'数据-汇总表'!E3</f>
        <v>61537.210000000036</v>
      </c>
      <c r="E19" s="211">
        <f>'数据-取费表'!B31</f>
        <v>200</v>
      </c>
      <c r="F19" s="231"/>
      <c r="G19" s="1" t="s">
        <v>436</v>
      </c>
    </row>
    <row r="20" spans="1:7" s="214" customFormat="1" ht="13.5" customHeight="1">
      <c r="A20" s="777" t="s">
        <v>419</v>
      </c>
      <c r="B20" s="210" t="s">
        <v>77</v>
      </c>
      <c r="C20" s="232">
        <f>ROUND((C5+C19)*F20,0)</f>
        <v>437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132</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4456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4456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38587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35076</v>
      </c>
      <c r="D34" s="217"/>
      <c r="E34" s="220"/>
      <c r="F34" s="257">
        <f>IF('数据-取费表'!B24=0,1,'数据-取费表'!N16)</f>
        <v>1</v>
      </c>
      <c r="G34" s="219" t="s">
        <v>89</v>
      </c>
    </row>
    <row r="35" spans="1:7" ht="13.5" customHeight="1">
      <c r="A35" s="780" t="s">
        <v>351</v>
      </c>
      <c r="B35" s="215" t="s">
        <v>33</v>
      </c>
      <c r="C35" s="220">
        <f>ROUND(C34*F35,0)</f>
        <v>1754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1231</v>
      </c>
      <c r="D37" s="217">
        <f>'数据-汇总表'!E3</f>
        <v>61537.210000000036</v>
      </c>
      <c r="E37" s="249">
        <f>'数据-取费表'!B35</f>
        <v>200</v>
      </c>
      <c r="F37" s="259"/>
      <c r="G37" s="261" t="s">
        <v>92</v>
      </c>
    </row>
    <row r="38" spans="1:7" ht="13.5" customHeight="1">
      <c r="A38" s="780" t="s">
        <v>354</v>
      </c>
      <c r="B38" s="215" t="s">
        <v>36</v>
      </c>
      <c r="C38" s="220">
        <f>ROUND(C34*F38,0)</f>
        <v>526</v>
      </c>
      <c r="D38" s="220"/>
      <c r="E38" s="220"/>
      <c r="F38" s="259">
        <f>'数据-取费表'!B36</f>
        <v>1.4999999999999999E-2</v>
      </c>
      <c r="G38" s="219" t="s">
        <v>90</v>
      </c>
    </row>
    <row r="39" spans="1:7" s="214" customFormat="1" ht="13.5" customHeight="1">
      <c r="A39" s="777" t="s">
        <v>338</v>
      </c>
      <c r="B39" s="210" t="s">
        <v>77</v>
      </c>
      <c r="C39" s="232">
        <f>ROUND(C33*F20,0)</f>
        <v>772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2054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2014</v>
      </c>
      <c r="D42" s="238"/>
      <c r="E42" s="238"/>
      <c r="F42" s="239"/>
      <c r="G42" s="3629" t="s">
        <v>94</v>
      </c>
    </row>
    <row r="43" spans="1:7" ht="13.5" customHeight="1">
      <c r="A43" s="780" t="s">
        <v>347</v>
      </c>
      <c r="B43" s="215" t="s">
        <v>426</v>
      </c>
      <c r="C43" s="238">
        <f ca="1">ROUND(IF('数据-取费表'!B22&lt;=1,C39*F22*'数据-取费表'!B21/2,C39*(POWER((1+F22),'数据-取费表'!B21/2)-1)),0)</f>
        <v>40</v>
      </c>
      <c r="D43" s="238"/>
      <c r="E43" s="238"/>
      <c r="F43" s="239"/>
      <c r="G43" s="3630"/>
    </row>
    <row r="44" spans="1:7" ht="13.5" customHeight="1">
      <c r="A44" s="780" t="s">
        <v>348</v>
      </c>
      <c r="B44" s="215" t="s">
        <v>428</v>
      </c>
      <c r="C44" s="238">
        <f ca="1">ROUND(IF('数据-取费表'!B22&lt;=1,C40*F22*'数据-取费表'!B21/2,C40*(POWER((1+F22),'数据-取费表'!B21/2)-1)),4)</f>
        <v>1E-3</v>
      </c>
      <c r="D44" s="238"/>
      <c r="E44" s="238"/>
      <c r="F44" s="239"/>
      <c r="G44" s="3631"/>
    </row>
    <row r="45" spans="1:7" s="214" customFormat="1" ht="13.5" customHeight="1">
      <c r="A45" s="777" t="s">
        <v>341</v>
      </c>
      <c r="B45" s="244" t="s">
        <v>85</v>
      </c>
      <c r="C45" s="245">
        <f>C46</f>
        <v>7872</v>
      </c>
      <c r="D45" s="235">
        <f>C47</f>
        <v>4.0000000000000001E-3</v>
      </c>
      <c r="E45" s="236" t="s">
        <v>102</v>
      </c>
      <c r="F45" s="246"/>
      <c r="G45" s="247" t="s">
        <v>434</v>
      </c>
    </row>
    <row r="46" spans="1:7" s="214" customFormat="1" ht="13.5" customHeight="1">
      <c r="A46" s="780" t="s">
        <v>349</v>
      </c>
      <c r="B46" s="248" t="s">
        <v>427</v>
      </c>
      <c r="C46" s="249">
        <f>ROUND((C33+C39)*F27,0)</f>
        <v>7872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53474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44383</v>
      </c>
      <c r="D51" s="232"/>
      <c r="E51" s="232"/>
      <c r="F51" s="264"/>
      <c r="G51" s="234" t="s">
        <v>37</v>
      </c>
    </row>
    <row r="52" spans="1:7" s="208" customFormat="1" ht="16.5" thickBot="1">
      <c r="A52" s="265" t="s">
        <v>38</v>
      </c>
      <c r="B52" s="266"/>
      <c r="C52" s="267">
        <f ca="1">C31+C51</f>
        <v>75953</v>
      </c>
      <c r="D52" s="266"/>
      <c r="E52" s="266"/>
      <c r="F52" s="266"/>
      <c r="G52" s="268"/>
    </row>
    <row r="55" spans="1:7" ht="15">
      <c r="B55" s="270" t="s">
        <v>39</v>
      </c>
      <c r="C55" s="271"/>
    </row>
    <row r="56" spans="1:7">
      <c r="B56" s="273" t="s">
        <v>40</v>
      </c>
      <c r="C56" s="274">
        <f ca="1">ROUND(C51/C52,3)</f>
        <v>0.58399999999999996</v>
      </c>
    </row>
    <row r="57" spans="1:7">
      <c r="B57" s="273" t="s">
        <v>41</v>
      </c>
      <c r="C57" s="275">
        <f ca="1">1-C56</f>
        <v>0.41600000000000004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7" t="s">
        <v>2839</v>
      </c>
      <c r="B1" s="3767"/>
      <c r="C1" s="3767"/>
      <c r="D1" s="3767"/>
      <c r="E1" s="3767"/>
      <c r="F1" s="3767"/>
      <c r="G1" s="3768"/>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65"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66"/>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69" t="s">
        <v>3181</v>
      </c>
      <c r="B1" s="3769"/>
    </row>
    <row r="2" spans="1:7" ht="14.25" thickBot="1">
      <c r="A2" s="3252"/>
      <c r="B2" s="3252"/>
    </row>
    <row r="3" spans="1:7" ht="14.25" thickBot="1">
      <c r="A3" s="3252"/>
      <c r="B3" s="3252"/>
      <c r="C3" s="3253" t="s">
        <v>2811</v>
      </c>
      <c r="D3" s="3253" t="s">
        <v>2867</v>
      </c>
      <c r="E3" s="3253" t="s">
        <v>2813</v>
      </c>
      <c r="F3" s="3253" t="s">
        <v>2868</v>
      </c>
      <c r="G3" s="3253" t="s">
        <v>2631</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0" t="s">
        <v>3232</v>
      </c>
      <c r="B1" s="3770"/>
      <c r="C1" s="3770"/>
      <c r="D1" s="3770"/>
      <c r="E1" s="3770"/>
      <c r="F1" s="3771"/>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8">
        <f>基准地价修正!G23</f>
        <v>45352</v>
      </c>
      <c r="B1" s="3207" t="s">
        <v>3370</v>
      </c>
      <c r="C1" s="3208"/>
      <c r="D1" s="3208"/>
      <c r="E1" s="3208"/>
      <c r="F1" s="3208"/>
      <c r="G1" s="3208"/>
      <c r="H1" s="3208"/>
      <c r="I1" s="3208"/>
      <c r="J1" s="3162"/>
      <c r="K1" s="3208" t="s">
        <v>454</v>
      </c>
      <c r="L1" s="3208"/>
      <c r="M1" s="3208"/>
      <c r="N1" s="3208"/>
      <c r="O1" s="3208"/>
      <c r="P1" s="3208"/>
      <c r="Q1" s="3162"/>
      <c r="R1" s="3772" t="s">
        <v>456</v>
      </c>
      <c r="S1" s="3773"/>
      <c r="T1" s="3773"/>
      <c r="U1" s="3773"/>
      <c r="V1" s="3773"/>
      <c r="W1" s="3773"/>
      <c r="X1" s="3162"/>
      <c r="Y1" s="3772" t="s">
        <v>457</v>
      </c>
      <c r="Z1" s="3773"/>
      <c r="AA1" s="3773"/>
      <c r="AB1" s="3773"/>
      <c r="AC1" s="3773"/>
      <c r="AD1" s="3773"/>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3373</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3374</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3376</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3377</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3369</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3368</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3367</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3363</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3354</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2820</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2821</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2822</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2823</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2824</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3365</v>
      </c>
    </row>
    <row r="21" spans="1:30" s="3006" customFormat="1">
      <c r="I21" s="3205" t="s">
        <v>2825</v>
      </c>
    </row>
    <row r="22" spans="1:30" s="3006" customFormat="1"/>
    <row r="23" spans="1:30" s="3206" customFormat="1" ht="12.75">
      <c r="B23" s="3207" t="s">
        <v>3371</v>
      </c>
      <c r="C23" s="3208"/>
      <c r="D23" s="3208"/>
      <c r="E23" s="3208"/>
      <c r="F23" s="3208"/>
      <c r="G23" s="3208"/>
      <c r="H23" s="3208"/>
      <c r="I23" s="3208"/>
      <c r="J23" s="3162"/>
      <c r="K23" s="3208" t="s">
        <v>2826</v>
      </c>
      <c r="L23" s="3208"/>
      <c r="M23" s="3208"/>
      <c r="N23" s="3208"/>
      <c r="O23" s="3208"/>
      <c r="P23" s="3208"/>
      <c r="Q23" s="3162"/>
      <c r="R23" s="3772" t="s">
        <v>2827</v>
      </c>
      <c r="S23" s="3773"/>
      <c r="T23" s="3773"/>
      <c r="U23" s="3773"/>
      <c r="V23" s="3773"/>
      <c r="W23" s="3773"/>
      <c r="X23" s="3162"/>
      <c r="Y23" s="3772" t="s">
        <v>2828</v>
      </c>
      <c r="Z23" s="3773"/>
      <c r="AA23" s="3773"/>
      <c r="AB23" s="3773"/>
      <c r="AC23" s="3773"/>
      <c r="AD23" s="3773"/>
    </row>
    <row r="24" spans="1:30" s="3140" customFormat="1" ht="14.25" thickBot="1">
      <c r="B24" s="3141"/>
      <c r="C24" s="3142"/>
      <c r="D24" s="3143" t="s">
        <v>2829</v>
      </c>
      <c r="E24" s="3144" t="s">
        <v>2830</v>
      </c>
      <c r="F24" s="3144" t="s">
        <v>2831</v>
      </c>
      <c r="G24" s="3144" t="s">
        <v>2832</v>
      </c>
      <c r="H24" s="3144"/>
      <c r="I24" s="3144" t="s">
        <v>2833</v>
      </c>
      <c r="J24" s="3145"/>
      <c r="K24" s="3143" t="s">
        <v>2829</v>
      </c>
      <c r="L24" s="3144" t="s">
        <v>2830</v>
      </c>
      <c r="M24" s="3144" t="s">
        <v>2831</v>
      </c>
      <c r="N24" s="3144" t="s">
        <v>2832</v>
      </c>
      <c r="O24" s="3144"/>
      <c r="P24" s="3144" t="s">
        <v>2833</v>
      </c>
      <c r="Q24" s="3145"/>
      <c r="R24" s="3143" t="s">
        <v>2829</v>
      </c>
      <c r="S24" s="3144" t="s">
        <v>2830</v>
      </c>
      <c r="T24" s="3144" t="s">
        <v>2831</v>
      </c>
      <c r="U24" s="3144" t="s">
        <v>2832</v>
      </c>
      <c r="V24" s="3144"/>
      <c r="W24" s="3144" t="s">
        <v>2833</v>
      </c>
      <c r="X24" s="3145"/>
      <c r="Y24" s="3143" t="s">
        <v>2829</v>
      </c>
      <c r="Z24" s="3144" t="s">
        <v>2830</v>
      </c>
      <c r="AA24" s="3144" t="s">
        <v>2831</v>
      </c>
      <c r="AB24" s="3144" t="s">
        <v>2832</v>
      </c>
      <c r="AC24" s="3144"/>
      <c r="AD24" s="3144" t="s">
        <v>2833</v>
      </c>
    </row>
    <row r="25" spans="1:30" s="3158" customFormat="1" ht="12.75">
      <c r="A25" s="3146" t="s">
        <v>2834</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3373</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3374</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3378</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3377</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3372</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3368</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3367</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3364</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3354</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2835</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2836</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2837</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2838</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2824</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54" t="s">
        <v>925</v>
      </c>
      <c r="E3" s="854" t="s">
        <v>931</v>
      </c>
      <c r="F3" s="854" t="s">
        <v>925</v>
      </c>
      <c r="G3" s="854" t="s">
        <v>926</v>
      </c>
      <c r="H3" s="854" t="s">
        <v>925</v>
      </c>
      <c r="I3" s="854" t="s">
        <v>926</v>
      </c>
    </row>
    <row r="4" spans="1:9" ht="15">
      <c r="A4" s="1505" t="str">
        <f>项目基本情况!S2</f>
        <v>北京市北京经济技术开发区荣华中路19号1号楼房地产</v>
      </c>
      <c r="B4" s="854">
        <f>项目基本情况!C17</f>
        <v>61537.210000000036</v>
      </c>
      <c r="C4" s="854">
        <f>项目基本情况!C18</f>
        <v>15323.04</v>
      </c>
      <c r="D4" s="854">
        <f ca="1">结果表!D118</f>
        <v>105295</v>
      </c>
      <c r="E4" s="854">
        <f ca="1">结果表!E118</f>
        <v>17111</v>
      </c>
      <c r="F4" s="854">
        <f ca="1">结果表!F118</f>
        <v>54485</v>
      </c>
      <c r="G4" s="854">
        <f ca="1">结果表!G118</f>
        <v>8854</v>
      </c>
      <c r="H4" s="854">
        <f ca="1">结果表!H118</f>
        <v>159780</v>
      </c>
      <c r="I4" s="854">
        <f ca="1">结果表!I118</f>
        <v>25965</v>
      </c>
    </row>
    <row r="5" spans="1:9" ht="30" customHeight="1">
      <c r="A5" s="3459" t="s">
        <v>927</v>
      </c>
      <c r="B5" s="3459"/>
      <c r="C5" s="3459"/>
      <c r="D5" s="3459" t="str">
        <f ca="1">结果表!D119</f>
        <v>壹拾亿伍仟贰佰玖拾伍万元整</v>
      </c>
      <c r="E5" s="3459"/>
      <c r="F5" s="3459" t="str">
        <f ca="1">结果表!F119</f>
        <v>伍亿肆仟肆佰捌拾伍万元整</v>
      </c>
      <c r="G5" s="3459"/>
      <c r="H5" s="3459" t="str">
        <f ca="1">结果表!H119</f>
        <v>壹拾伍亿玖仟柒佰捌拾万元整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f ca="1">结果表!D122</f>
        <v>159780</v>
      </c>
      <c r="E8" s="3460"/>
      <c r="F8" s="3460"/>
      <c r="G8" s="3460"/>
      <c r="H8" s="3460"/>
      <c r="I8" s="3460"/>
    </row>
    <row r="9" spans="1:9" ht="15">
      <c r="A9" s="3459" t="s">
        <v>927</v>
      </c>
      <c r="B9" s="3459"/>
      <c r="C9" s="3459"/>
      <c r="D9" s="3459" t="str">
        <f ca="1">结果表!D123</f>
        <v>壹拾伍亿玖仟柒佰捌拾万元整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6" t="s">
        <v>949</v>
      </c>
      <c r="B1" s="3466"/>
      <c r="C1" s="3466"/>
      <c r="D1" s="3466"/>
    </row>
    <row r="2" spans="1:4" ht="18">
      <c r="A2" s="3467" t="s">
        <v>933</v>
      </c>
      <c r="B2" s="3467"/>
      <c r="C2" s="3467"/>
      <c r="D2" s="346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7" t="s">
        <v>939</v>
      </c>
      <c r="B6" s="3467"/>
      <c r="C6" s="3467"/>
      <c r="D6" s="34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0" t="s">
        <v>956</v>
      </c>
      <c r="B15" s="3475" t="s">
        <v>109</v>
      </c>
      <c r="C15" s="3476"/>
    </row>
    <row r="16" spans="1:7" ht="13.5">
      <c r="A16" s="3481"/>
      <c r="B16" s="3475" t="s">
        <v>42</v>
      </c>
      <c r="C16" s="3476"/>
    </row>
    <row r="17" spans="1:3" ht="13.5">
      <c r="A17" s="3481"/>
      <c r="B17" s="3478" t="s">
        <v>957</v>
      </c>
      <c r="C17" s="1532" t="s">
        <v>956</v>
      </c>
    </row>
    <row r="18" spans="1:3" ht="13.5">
      <c r="A18" s="3481"/>
      <c r="B18" s="3478"/>
      <c r="C18" s="1532" t="s">
        <v>958</v>
      </c>
    </row>
    <row r="19" spans="1:3" ht="13.5">
      <c r="A19" s="3481"/>
      <c r="B19" s="3478"/>
      <c r="C19" s="1532" t="s">
        <v>959</v>
      </c>
    </row>
    <row r="20" spans="1:3" ht="13.5">
      <c r="A20" s="3482"/>
      <c r="B20" s="3477" t="s">
        <v>960</v>
      </c>
      <c r="C20" s="3476"/>
    </row>
    <row r="21" spans="1:3" ht="13.5">
      <c r="A21" s="1533" t="s">
        <v>961</v>
      </c>
      <c r="B21" s="1534"/>
      <c r="C21" s="1535"/>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32" t="s">
        <v>967</v>
      </c>
    </row>
    <row r="26" spans="1:3" ht="13.5">
      <c r="A26" s="3479"/>
      <c r="B26" s="3478"/>
      <c r="C26" s="1532" t="s">
        <v>968</v>
      </c>
    </row>
    <row r="27" spans="1:3" ht="13.5">
      <c r="A27" s="3479"/>
      <c r="B27" s="3478"/>
      <c r="C27" s="1532" t="s">
        <v>969</v>
      </c>
    </row>
    <row r="28" spans="1:3" ht="13.5">
      <c r="A28" s="3479"/>
      <c r="B28" s="3478"/>
      <c r="C28" s="1532" t="s">
        <v>970</v>
      </c>
    </row>
    <row r="29" spans="1:3" ht="13.5">
      <c r="A29" s="3479"/>
      <c r="B29" s="3478"/>
      <c r="C29" s="1532" t="s">
        <v>971</v>
      </c>
    </row>
    <row r="30" spans="1:3" ht="13.5">
      <c r="A30" s="3479"/>
      <c r="B30" s="3478"/>
      <c r="C30" s="1532" t="s">
        <v>972</v>
      </c>
    </row>
    <row r="31" spans="1:3" ht="13.5">
      <c r="A31" s="3479"/>
      <c r="B31" s="3478"/>
      <c r="C31" s="1532" t="s">
        <v>973</v>
      </c>
    </row>
    <row r="32" spans="1:3" ht="13.5">
      <c r="A32" s="3479"/>
      <c r="B32" s="3478"/>
      <c r="C32" s="1532" t="s">
        <v>974</v>
      </c>
    </row>
    <row r="33" spans="1:3" ht="13.5">
      <c r="A33" s="3479"/>
      <c r="B33" s="347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3" t="s">
        <v>2160</v>
      </c>
      <c r="B17" s="3483"/>
      <c r="C17" s="3483"/>
      <c r="D17" s="3483"/>
      <c r="E17" s="3483"/>
      <c r="F17" s="3483"/>
      <c r="G17" s="3483"/>
      <c r="H17" s="3483"/>
    </row>
    <row r="18" spans="1:8" ht="24" customHeight="1">
      <c r="A18" s="3484" t="s">
        <v>2161</v>
      </c>
      <c r="B18" s="3484"/>
      <c r="C18" s="3484"/>
      <c r="D18" s="2343"/>
      <c r="E18" s="3485" t="s">
        <v>2162</v>
      </c>
      <c r="F18" s="3484"/>
      <c r="G18" s="348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取值过程</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2024-03-01T09:09:39Z</dcterms:modified>
</cp:coreProperties>
</file>