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土地比较法-工业" sheetId="40" r:id="rId21"/>
    <sheet name="假设开发法" sheetId="12" r:id="rId22"/>
    <sheet name="收益法" sheetId="15" state="hidden" r:id="rId23"/>
    <sheet name="比较法-工业" sheetId="37"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结果表 (净值)" sheetId="78" r:id="rId46"/>
    <sheet name="土地案例" sheetId="79" r:id="rId47"/>
  </sheet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3"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3" i="3" l="1"/>
  <c r="I41" i="40" l="1"/>
  <c r="G41" i="40"/>
  <c r="E41" i="40"/>
  <c r="I34" i="40"/>
  <c r="G34" i="40"/>
  <c r="E34" i="40"/>
  <c r="I7" i="40"/>
  <c r="G7" i="40"/>
  <c r="E7" i="40"/>
  <c r="I5" i="40"/>
  <c r="G5" i="40"/>
  <c r="E5" i="40"/>
  <c r="C8" i="12" l="1"/>
  <c r="C6" i="12"/>
  <c r="L51" i="79"/>
  <c r="L50" i="79"/>
  <c r="L49" i="79"/>
  <c r="L48" i="79"/>
  <c r="L47" i="79"/>
  <c r="L46" i="79"/>
  <c r="L45" i="79"/>
  <c r="L44" i="79"/>
  <c r="L43" i="79"/>
  <c r="L42" i="79"/>
  <c r="L41" i="79"/>
  <c r="L40" i="79"/>
  <c r="L39" i="79"/>
  <c r="L38" i="79"/>
  <c r="L37" i="79"/>
  <c r="L36" i="79"/>
  <c r="L35" i="79"/>
  <c r="L34" i="79"/>
  <c r="L33" i="79"/>
  <c r="L32" i="79"/>
  <c r="L31" i="79"/>
  <c r="L30" i="79"/>
  <c r="L29" i="79"/>
  <c r="L28" i="79"/>
  <c r="L27" i="79"/>
  <c r="L26" i="79"/>
  <c r="L25" i="79"/>
  <c r="L24" i="79"/>
  <c r="L23" i="79"/>
  <c r="L22" i="79"/>
  <c r="L21" i="79"/>
  <c r="L20" i="79"/>
  <c r="L19" i="79"/>
  <c r="L18" i="79"/>
  <c r="L17" i="79"/>
  <c r="L16" i="79"/>
  <c r="L15" i="79"/>
  <c r="L14" i="79"/>
  <c r="L13" i="79"/>
  <c r="L12" i="79"/>
  <c r="L11" i="79"/>
  <c r="L10" i="79"/>
  <c r="L9" i="79"/>
  <c r="L8" i="79"/>
  <c r="L7" i="79"/>
  <c r="L6" i="79"/>
  <c r="L5" i="79"/>
  <c r="L4" i="79"/>
  <c r="L3" i="79"/>
  <c r="L2" i="79"/>
  <c r="E111" i="78" l="1"/>
  <c r="H111" i="78"/>
  <c r="D126" i="78"/>
  <c r="D127" i="78"/>
  <c r="A126" i="78"/>
  <c r="E109" i="78"/>
  <c r="H109" i="78"/>
  <c r="D124" i="78"/>
  <c r="D125" i="78"/>
  <c r="A124" i="78"/>
  <c r="E107" i="78"/>
  <c r="C17" i="78"/>
  <c r="D14" i="78"/>
  <c r="D17" i="78"/>
  <c r="C18" i="78"/>
  <c r="D18" i="78"/>
  <c r="C25" i="78"/>
  <c r="H105" i="78"/>
  <c r="H106" i="78"/>
  <c r="H103" i="78"/>
  <c r="A122" i="78"/>
  <c r="D120" i="78"/>
  <c r="D121" i="78"/>
  <c r="A120" i="78"/>
  <c r="K120" i="78"/>
  <c r="H112" i="78"/>
  <c r="H110" i="78"/>
  <c r="H104" i="78"/>
  <c r="D101" i="78"/>
  <c r="C101" i="78"/>
  <c r="D89" i="78"/>
  <c r="D93" i="78"/>
  <c r="E90" i="78"/>
  <c r="C76" i="78"/>
  <c r="D77" i="78"/>
  <c r="C77" i="78"/>
  <c r="C74" i="78"/>
  <c r="D78" i="78"/>
  <c r="H77" i="78"/>
  <c r="D68" i="78"/>
  <c r="I55" i="78"/>
  <c r="D59" i="78"/>
  <c r="M55" i="78"/>
  <c r="M56" i="78"/>
  <c r="J55" i="78"/>
  <c r="J56" i="78"/>
  <c r="J57" i="78"/>
  <c r="J59" i="78"/>
  <c r="J61" i="78"/>
  <c r="F59" i="78"/>
  <c r="E59" i="78"/>
  <c r="N56" i="78"/>
  <c r="K56" i="78"/>
  <c r="F56" i="78"/>
  <c r="O55" i="78"/>
  <c r="N55" i="78"/>
  <c r="K55" i="78"/>
  <c r="F55" i="78"/>
  <c r="O54" i="78"/>
  <c r="N54" i="78"/>
  <c r="F54" i="78"/>
  <c r="O53" i="78"/>
  <c r="N53" i="78"/>
  <c r="F53" i="78"/>
  <c r="F48" i="78"/>
  <c r="O52" i="78"/>
  <c r="E48" i="78"/>
  <c r="N52" i="78"/>
  <c r="F52" i="78"/>
  <c r="K49" i="78"/>
  <c r="M47" i="78"/>
  <c r="F33" i="78"/>
  <c r="D27" i="78"/>
  <c r="C24" i="78"/>
  <c r="L4" i="78"/>
  <c r="K4" i="78"/>
  <c r="H1" i="78"/>
  <c r="T7" i="31"/>
  <c r="D99" i="37"/>
  <c r="E99" i="37"/>
  <c r="F99" i="37"/>
  <c r="G99" i="37"/>
  <c r="F33" i="37"/>
  <c r="AA33" i="37"/>
  <c r="D96" i="37"/>
  <c r="E96" i="37"/>
  <c r="F32" i="37"/>
  <c r="AA32" i="37"/>
  <c r="F31" i="37"/>
  <c r="AA31" i="37"/>
  <c r="F29" i="37"/>
  <c r="AA29" i="37"/>
  <c r="F34" i="37"/>
  <c r="AA34" i="37"/>
  <c r="F35" i="37"/>
  <c r="AA35" i="37"/>
  <c r="F36" i="37"/>
  <c r="AA36" i="37"/>
  <c r="D107" i="37"/>
  <c r="F37" i="37"/>
  <c r="AA37" i="37"/>
  <c r="D71" i="37"/>
  <c r="F15" i="37"/>
  <c r="AA15" i="37"/>
  <c r="D73" i="37"/>
  <c r="E73" i="37"/>
  <c r="F17" i="37"/>
  <c r="AA17" i="37"/>
  <c r="D75" i="37"/>
  <c r="E75" i="37"/>
  <c r="F19" i="37"/>
  <c r="AA19" i="37"/>
  <c r="F21" i="37"/>
  <c r="AA21" i="37"/>
  <c r="D79" i="37"/>
  <c r="E79" i="37"/>
  <c r="F23" i="37"/>
  <c r="AA23" i="37"/>
  <c r="F25" i="37"/>
  <c r="AA25" i="37"/>
  <c r="H33" i="37"/>
  <c r="AB33" i="37"/>
  <c r="H32" i="37"/>
  <c r="AB32" i="37"/>
  <c r="H31" i="37"/>
  <c r="AB31" i="37"/>
  <c r="H29" i="37"/>
  <c r="AB29" i="37"/>
  <c r="H34" i="37"/>
  <c r="AB34" i="37"/>
  <c r="H35" i="37"/>
  <c r="AB35" i="37"/>
  <c r="H36" i="37"/>
  <c r="AB36" i="37"/>
  <c r="H37" i="37"/>
  <c r="AB37" i="37"/>
  <c r="H15" i="37"/>
  <c r="AB15" i="37"/>
  <c r="H17" i="37"/>
  <c r="AB17" i="37"/>
  <c r="H19" i="37"/>
  <c r="AB19" i="37"/>
  <c r="H21" i="37"/>
  <c r="AB21" i="37"/>
  <c r="H23" i="37"/>
  <c r="AB23" i="37"/>
  <c r="H25" i="37"/>
  <c r="AB25" i="37"/>
  <c r="J33" i="37"/>
  <c r="AC33" i="37"/>
  <c r="J32" i="37"/>
  <c r="AC32" i="37"/>
  <c r="J31" i="37"/>
  <c r="AC31" i="37"/>
  <c r="J29" i="37"/>
  <c r="AC29" i="37"/>
  <c r="J34" i="37"/>
  <c r="AC34" i="37"/>
  <c r="J35" i="37"/>
  <c r="AC35" i="37"/>
  <c r="J36" i="37"/>
  <c r="AC36" i="37"/>
  <c r="J37" i="37"/>
  <c r="AC37" i="37"/>
  <c r="J15" i="37"/>
  <c r="AC15" i="37"/>
  <c r="J17" i="37"/>
  <c r="AC17" i="37"/>
  <c r="J19" i="37"/>
  <c r="AC19" i="37"/>
  <c r="J21" i="37"/>
  <c r="AC21" i="37"/>
  <c r="J23" i="37"/>
  <c r="AC23" i="37"/>
  <c r="J25" i="37"/>
  <c r="AC25" i="37"/>
  <c r="F19" i="6"/>
  <c r="C30" i="37" s="1"/>
  <c r="BB13" i="3"/>
  <c r="BA13" i="3"/>
  <c r="BB14" i="3"/>
  <c r="BA14" i="3" s="1"/>
  <c r="BB15" i="3"/>
  <c r="BA15" i="3" s="1"/>
  <c r="BB16" i="3"/>
  <c r="BA16" i="3" s="1"/>
  <c r="BB17" i="3"/>
  <c r="BA17" i="3" s="1"/>
  <c r="BB18" i="3"/>
  <c r="BA18" i="3" s="1"/>
  <c r="BB19" i="3"/>
  <c r="BA19" i="3" s="1"/>
  <c r="BB20" i="3"/>
  <c r="BA20" i="3" s="1"/>
  <c r="BB21" i="3"/>
  <c r="BA21" i="3" s="1"/>
  <c r="BB22" i="3"/>
  <c r="BA22" i="3" s="1"/>
  <c r="BB23" i="3"/>
  <c r="BA23" i="3" s="1"/>
  <c r="BB24" i="3"/>
  <c r="BA24" i="3" s="1"/>
  <c r="BB25" i="3"/>
  <c r="BA25" i="3" s="1"/>
  <c r="BB26" i="3"/>
  <c r="BA26" i="3" s="1"/>
  <c r="BB27" i="3"/>
  <c r="BA27" i="3" s="1"/>
  <c r="BB28" i="3"/>
  <c r="BA28" i="3" s="1"/>
  <c r="BB29" i="3"/>
  <c r="BA29" i="3" s="1"/>
  <c r="BB30" i="3"/>
  <c r="BA30" i="3" s="1"/>
  <c r="BB31" i="3"/>
  <c r="BA31" i="3" s="1"/>
  <c r="BB32" i="3"/>
  <c r="BA32" i="3" s="1"/>
  <c r="BB33" i="3"/>
  <c r="BA33" i="3" s="1"/>
  <c r="BB34" i="3"/>
  <c r="BA34" i="3" s="1"/>
  <c r="BB35" i="3"/>
  <c r="BA35" i="3" s="1"/>
  <c r="BB36" i="3"/>
  <c r="BA36" i="3" s="1"/>
  <c r="BB37" i="3"/>
  <c r="BA37" i="3" s="1"/>
  <c r="BB38" i="3"/>
  <c r="BA38" i="3" s="1"/>
  <c r="BB39" i="3"/>
  <c r="BA39" i="3" s="1"/>
  <c r="BB40" i="3"/>
  <c r="BA40" i="3" s="1"/>
  <c r="BB41" i="3"/>
  <c r="BA41" i="3" s="1"/>
  <c r="BB42" i="3"/>
  <c r="BA42" i="3" s="1"/>
  <c r="BB43" i="3"/>
  <c r="BA43" i="3" s="1"/>
  <c r="BB44" i="3"/>
  <c r="BA44" i="3" s="1"/>
  <c r="BB45" i="3"/>
  <c r="BA45" i="3" s="1"/>
  <c r="BB46" i="3"/>
  <c r="BA46" i="3" s="1"/>
  <c r="BB47" i="3"/>
  <c r="BA47" i="3" s="1"/>
  <c r="BB48" i="3"/>
  <c r="BA48" i="3" s="1"/>
  <c r="BB49" i="3"/>
  <c r="BA49" i="3" s="1"/>
  <c r="BB50" i="3"/>
  <c r="BA50" i="3" s="1"/>
  <c r="BB51" i="3"/>
  <c r="BA51" i="3" s="1"/>
  <c r="BB52" i="3"/>
  <c r="BA52" i="3" s="1"/>
  <c r="BB53" i="3"/>
  <c r="BA53" i="3" s="1"/>
  <c r="BB54" i="3"/>
  <c r="BA54" i="3" s="1"/>
  <c r="BB55" i="3"/>
  <c r="BA55" i="3" s="1"/>
  <c r="BB56" i="3"/>
  <c r="BA56" i="3" s="1"/>
  <c r="BB57" i="3"/>
  <c r="BA57" i="3" s="1"/>
  <c r="BB58" i="3"/>
  <c r="BA58" i="3" s="1"/>
  <c r="BB59" i="3"/>
  <c r="BA59" i="3" s="1"/>
  <c r="BB60" i="3"/>
  <c r="BA60" i="3" s="1"/>
  <c r="BB61" i="3"/>
  <c r="BA61" i="3" s="1"/>
  <c r="BB62" i="3"/>
  <c r="BA62" i="3" s="1"/>
  <c r="BB63" i="3"/>
  <c r="BA63" i="3" s="1"/>
  <c r="BB64" i="3"/>
  <c r="BA64" i="3" s="1"/>
  <c r="BB65" i="3"/>
  <c r="BA65" i="3" s="1"/>
  <c r="BB66" i="3"/>
  <c r="BA66" i="3" s="1"/>
  <c r="BB67" i="3"/>
  <c r="BA67" i="3" s="1"/>
  <c r="BB68" i="3"/>
  <c r="BA68" i="3" s="1"/>
  <c r="BB69" i="3"/>
  <c r="BA69" i="3" s="1"/>
  <c r="BB70" i="3"/>
  <c r="BA70" i="3" s="1"/>
  <c r="BB71" i="3"/>
  <c r="BA71" i="3" s="1"/>
  <c r="BB72" i="3"/>
  <c r="BA72" i="3" s="1"/>
  <c r="BB73" i="3"/>
  <c r="BA73" i="3" s="1"/>
  <c r="BB74" i="3"/>
  <c r="BA74" i="3" s="1"/>
  <c r="BB75" i="3"/>
  <c r="BA75" i="3" s="1"/>
  <c r="BB76" i="3"/>
  <c r="BA76" i="3" s="1"/>
  <c r="BB77" i="3"/>
  <c r="BA77" i="3" s="1"/>
  <c r="BB78" i="3"/>
  <c r="BA78" i="3" s="1"/>
  <c r="BB79" i="3"/>
  <c r="BA79" i="3" s="1"/>
  <c r="BB80" i="3"/>
  <c r="BA80" i="3" s="1"/>
  <c r="BB81" i="3"/>
  <c r="BA81" i="3" s="1"/>
  <c r="BB82" i="3"/>
  <c r="BA82" i="3" s="1"/>
  <c r="BB83" i="3"/>
  <c r="BA83" i="3" s="1"/>
  <c r="BB84" i="3"/>
  <c r="BA84" i="3" s="1"/>
  <c r="BB85" i="3"/>
  <c r="BA85" i="3" s="1"/>
  <c r="BB86" i="3"/>
  <c r="BA86" i="3" s="1"/>
  <c r="BB87" i="3"/>
  <c r="BA87" i="3" s="1"/>
  <c r="BB88" i="3"/>
  <c r="BA88" i="3" s="1"/>
  <c r="BB89" i="3"/>
  <c r="BA89" i="3" s="1"/>
  <c r="BB90" i="3"/>
  <c r="BA90" i="3" s="1"/>
  <c r="BB91" i="3"/>
  <c r="BA91" i="3" s="1"/>
  <c r="BB92" i="3"/>
  <c r="BA92" i="3" s="1"/>
  <c r="BB93" i="3"/>
  <c r="BA93" i="3" s="1"/>
  <c r="BB94" i="3"/>
  <c r="BA94" i="3" s="1"/>
  <c r="BB95" i="3"/>
  <c r="BA95" i="3" s="1"/>
  <c r="BB96" i="3"/>
  <c r="BA96" i="3" s="1"/>
  <c r="BB97" i="3"/>
  <c r="BA97" i="3" s="1"/>
  <c r="BB98" i="3"/>
  <c r="BA98" i="3" s="1"/>
  <c r="BB99" i="3"/>
  <c r="BA99" i="3"/>
  <c r="F17" i="67"/>
  <c r="B22" i="1"/>
  <c r="E1" i="73" s="1"/>
  <c r="F23" i="67"/>
  <c r="F33" i="67"/>
  <c r="AZ13" i="3"/>
  <c r="AZ14" i="3"/>
  <c r="AZ15" i="3"/>
  <c r="AZ16" i="3"/>
  <c r="AZ17" i="3"/>
  <c r="AZ18" i="3"/>
  <c r="AZ19" i="3"/>
  <c r="AZ20" i="3"/>
  <c r="AZ21" i="3"/>
  <c r="AZ22" i="3"/>
  <c r="AZ23" i="3"/>
  <c r="AZ24" i="3"/>
  <c r="AZ25" i="3"/>
  <c r="AZ26" i="3"/>
  <c r="AZ27" i="3"/>
  <c r="AZ28" i="3"/>
  <c r="AZ29" i="3"/>
  <c r="AZ30" i="3"/>
  <c r="AZ31" i="3"/>
  <c r="AZ32" i="3"/>
  <c r="AZ33" i="3"/>
  <c r="AZ34" i="3"/>
  <c r="AZ35" i="3"/>
  <c r="AZ36" i="3"/>
  <c r="AZ37" i="3"/>
  <c r="AZ38" i="3"/>
  <c r="AZ39" i="3"/>
  <c r="AZ40" i="3"/>
  <c r="AZ41" i="3"/>
  <c r="AZ42" i="3"/>
  <c r="AZ43" i="3"/>
  <c r="AZ44" i="3"/>
  <c r="AZ45" i="3"/>
  <c r="AZ46" i="3"/>
  <c r="AZ47" i="3"/>
  <c r="AZ48" i="3"/>
  <c r="AZ49" i="3"/>
  <c r="AZ50" i="3"/>
  <c r="AZ51" i="3"/>
  <c r="AZ52" i="3"/>
  <c r="AZ53" i="3"/>
  <c r="AZ54" i="3"/>
  <c r="AZ55" i="3"/>
  <c r="AZ56" i="3"/>
  <c r="AZ57" i="3"/>
  <c r="AZ58" i="3"/>
  <c r="AZ59" i="3"/>
  <c r="AZ60" i="3"/>
  <c r="AZ61" i="3"/>
  <c r="AZ62" i="3"/>
  <c r="AZ63" i="3"/>
  <c r="AZ64" i="3"/>
  <c r="AZ65" i="3"/>
  <c r="AZ66" i="3"/>
  <c r="AZ67" i="3"/>
  <c r="AZ68" i="3"/>
  <c r="AZ69" i="3"/>
  <c r="AZ70" i="3"/>
  <c r="AZ71" i="3"/>
  <c r="AZ72" i="3"/>
  <c r="AZ73" i="3"/>
  <c r="AZ74" i="3"/>
  <c r="AZ75" i="3"/>
  <c r="AZ76" i="3"/>
  <c r="AZ77" i="3"/>
  <c r="AZ78" i="3"/>
  <c r="AZ79" i="3"/>
  <c r="AZ80" i="3"/>
  <c r="AZ81" i="3"/>
  <c r="AZ82" i="3"/>
  <c r="AZ83" i="3"/>
  <c r="AZ84" i="3"/>
  <c r="AZ85" i="3"/>
  <c r="AZ86" i="3"/>
  <c r="AZ87" i="3"/>
  <c r="AZ88" i="3"/>
  <c r="AZ89" i="3"/>
  <c r="AZ90" i="3"/>
  <c r="AZ91" i="3"/>
  <c r="AZ92" i="3"/>
  <c r="AZ93" i="3"/>
  <c r="AZ94" i="3"/>
  <c r="AZ95" i="3"/>
  <c r="AZ96" i="3"/>
  <c r="AZ97" i="3"/>
  <c r="AZ98" i="3"/>
  <c r="AZ99" i="3"/>
  <c r="H13" i="3"/>
  <c r="G13" i="3"/>
  <c r="H14" i="3"/>
  <c r="G14" i="3" s="1"/>
  <c r="H15" i="3"/>
  <c r="G15" i="3" s="1"/>
  <c r="H16" i="3"/>
  <c r="G16" i="3" s="1"/>
  <c r="H17" i="3"/>
  <c r="G17" i="3" s="1"/>
  <c r="H18" i="3"/>
  <c r="G18" i="3" s="1"/>
  <c r="H19" i="3"/>
  <c r="G19" i="3" s="1"/>
  <c r="H20" i="3"/>
  <c r="G20" i="3" s="1"/>
  <c r="H21" i="3"/>
  <c r="G21" i="3" s="1"/>
  <c r="H22" i="3"/>
  <c r="G22" i="3" s="1"/>
  <c r="H23" i="3"/>
  <c r="G23" i="3" s="1"/>
  <c r="H24" i="3"/>
  <c r="G24" i="3" s="1"/>
  <c r="H25" i="3"/>
  <c r="G25" i="3" s="1"/>
  <c r="H26" i="3"/>
  <c r="G26" i="3" s="1"/>
  <c r="H27" i="3"/>
  <c r="G27" i="3" s="1"/>
  <c r="H28" i="3"/>
  <c r="G28" i="3" s="1"/>
  <c r="H29" i="3"/>
  <c r="G29" i="3" s="1"/>
  <c r="H30" i="3"/>
  <c r="G30" i="3" s="1"/>
  <c r="H31" i="3"/>
  <c r="G31" i="3" s="1"/>
  <c r="H32" i="3"/>
  <c r="G32" i="3" s="1"/>
  <c r="H33" i="3"/>
  <c r="G33" i="3" s="1"/>
  <c r="H34" i="3"/>
  <c r="G34" i="3" s="1"/>
  <c r="H35" i="3"/>
  <c r="G35" i="3" s="1"/>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s="1"/>
  <c r="H60" i="3"/>
  <c r="G60" i="3" s="1"/>
  <c r="H61" i="3"/>
  <c r="G61" i="3" s="1"/>
  <c r="H62" i="3"/>
  <c r="G62" i="3" s="1"/>
  <c r="H63" i="3"/>
  <c r="G63" i="3" s="1"/>
  <c r="H64" i="3"/>
  <c r="G64" i="3" s="1"/>
  <c r="H65" i="3"/>
  <c r="G65" i="3" s="1"/>
  <c r="H66" i="3"/>
  <c r="G66" i="3" s="1"/>
  <c r="H67" i="3"/>
  <c r="G67" i="3" s="1"/>
  <c r="H68" i="3"/>
  <c r="G68" i="3" s="1"/>
  <c r="H69" i="3"/>
  <c r="G69" i="3" s="1"/>
  <c r="H70" i="3"/>
  <c r="G70" i="3" s="1"/>
  <c r="H71" i="3"/>
  <c r="G71" i="3" s="1"/>
  <c r="H72" i="3"/>
  <c r="G72" i="3" s="1"/>
  <c r="H73" i="3"/>
  <c r="G73" i="3" s="1"/>
  <c r="H74" i="3"/>
  <c r="G74" i="3" s="1"/>
  <c r="H75" i="3"/>
  <c r="G75" i="3" s="1"/>
  <c r="H76" i="3"/>
  <c r="G76" i="3" s="1"/>
  <c r="H77" i="3"/>
  <c r="G77" i="3" s="1"/>
  <c r="H78" i="3"/>
  <c r="G78" i="3" s="1"/>
  <c r="H79" i="3"/>
  <c r="G79" i="3" s="1"/>
  <c r="H80" i="3"/>
  <c r="G80" i="3" s="1"/>
  <c r="H81" i="3"/>
  <c r="G81" i="3" s="1"/>
  <c r="H82" i="3"/>
  <c r="G82" i="3" s="1"/>
  <c r="H83" i="3"/>
  <c r="G83" i="3" s="1"/>
  <c r="H84" i="3"/>
  <c r="G84" i="3" s="1"/>
  <c r="H85" i="3"/>
  <c r="G85" i="3" s="1"/>
  <c r="H86" i="3"/>
  <c r="G86" i="3" s="1"/>
  <c r="H87" i="3"/>
  <c r="G87" i="3" s="1"/>
  <c r="H88" i="3"/>
  <c r="G88" i="3" s="1"/>
  <c r="H89" i="3"/>
  <c r="G89" i="3" s="1"/>
  <c r="H90" i="3"/>
  <c r="G90" i="3" s="1"/>
  <c r="H91" i="3"/>
  <c r="G91" i="3" s="1"/>
  <c r="H92" i="3"/>
  <c r="G92" i="3" s="1"/>
  <c r="H93" i="3"/>
  <c r="G93" i="3" s="1"/>
  <c r="H94" i="3"/>
  <c r="G94" i="3" s="1"/>
  <c r="H95" i="3"/>
  <c r="G95" i="3" s="1"/>
  <c r="H96" i="3"/>
  <c r="G96" i="3" s="1"/>
  <c r="H97" i="3"/>
  <c r="G97" i="3" s="1"/>
  <c r="H98" i="3"/>
  <c r="G98" i="3" s="1"/>
  <c r="H99" i="3"/>
  <c r="G99" i="3" s="1"/>
  <c r="L19" i="6"/>
  <c r="B52" i="1"/>
  <c r="F34" i="67"/>
  <c r="D14" i="9"/>
  <c r="D3"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s="1"/>
  <c r="G20" i="43"/>
  <c r="J20" i="43"/>
  <c r="I20" i="43"/>
  <c r="C20" i="43"/>
  <c r="C24" i="43"/>
  <c r="C34" i="43" s="1"/>
  <c r="F39" i="43"/>
  <c r="F38" i="43"/>
  <c r="F37" i="43"/>
  <c r="D5" i="43"/>
  <c r="C35" i="43" s="1"/>
  <c r="F36" i="43"/>
  <c r="C36" i="43"/>
  <c r="G36" i="43" s="1"/>
  <c r="I36" i="43" s="1"/>
  <c r="F35" i="43"/>
  <c r="F34" i="43"/>
  <c r="M47" i="67"/>
  <c r="J50" i="67"/>
  <c r="J51" i="67"/>
  <c r="M47" i="15"/>
  <c r="J53" i="15"/>
  <c r="C18" i="43"/>
  <c r="AD5" i="3"/>
  <c r="AH5" i="3"/>
  <c r="AL5" i="3"/>
  <c r="AP5" i="3"/>
  <c r="I5" i="3"/>
  <c r="F33" i="43"/>
  <c r="C33" i="43"/>
  <c r="G33" i="43" s="1"/>
  <c r="I33" i="43" s="1"/>
  <c r="H33" i="43"/>
  <c r="E33" i="43"/>
  <c r="D1" i="43"/>
  <c r="C10" i="43"/>
  <c r="C11" i="43"/>
  <c r="E8" i="43"/>
  <c r="E9" i="43"/>
  <c r="E10" i="43"/>
  <c r="E11" i="43"/>
  <c r="C9" i="43"/>
  <c r="C7"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c r="AD6" i="71"/>
  <c r="L3" i="71"/>
  <c r="K3" i="71"/>
  <c r="I3" i="71"/>
  <c r="J3" i="71"/>
  <c r="BC13" i="3"/>
  <c r="BD13" i="3"/>
  <c r="BE13" i="3"/>
  <c r="BF13" i="3"/>
  <c r="BG13" i="3"/>
  <c r="BH13" i="3"/>
  <c r="BI13" i="3"/>
  <c r="BJ13" i="3"/>
  <c r="BK13" i="3"/>
  <c r="BM13" i="3"/>
  <c r="BN13" i="3"/>
  <c r="BO13" i="3"/>
  <c r="BP13" i="3"/>
  <c r="BQ13" i="3"/>
  <c r="BR13" i="3"/>
  <c r="BS13" i="3"/>
  <c r="BT13" i="3"/>
  <c r="BL13" i="3"/>
  <c r="BC14" i="3"/>
  <c r="BD14" i="3"/>
  <c r="BE14" i="3"/>
  <c r="BF14" i="3"/>
  <c r="BG14" i="3"/>
  <c r="BH14" i="3"/>
  <c r="BI14" i="3"/>
  <c r="BJ14" i="3"/>
  <c r="BK14" i="3"/>
  <c r="BM14" i="3"/>
  <c r="BN14" i="3"/>
  <c r="BO14" i="3"/>
  <c r="BP14" i="3"/>
  <c r="BQ14" i="3"/>
  <c r="BR14" i="3"/>
  <c r="BS14" i="3"/>
  <c r="BT14" i="3"/>
  <c r="BL14" i="3"/>
  <c r="BC15" i="3"/>
  <c r="BD15" i="3"/>
  <c r="BE15" i="3"/>
  <c r="BF15" i="3"/>
  <c r="BG15" i="3"/>
  <c r="BH15" i="3"/>
  <c r="BI15" i="3"/>
  <c r="BJ15" i="3"/>
  <c r="BK15" i="3"/>
  <c r="BM15" i="3"/>
  <c r="BN15" i="3"/>
  <c r="BO15" i="3"/>
  <c r="BP15" i="3"/>
  <c r="BQ15" i="3"/>
  <c r="BR15" i="3"/>
  <c r="BS15" i="3"/>
  <c r="BT15" i="3"/>
  <c r="BL15" i="3"/>
  <c r="BC16" i="3"/>
  <c r="BD16" i="3"/>
  <c r="BE16" i="3"/>
  <c r="BF16" i="3"/>
  <c r="BG16" i="3"/>
  <c r="BH16" i="3"/>
  <c r="BI16" i="3"/>
  <c r="BJ16" i="3"/>
  <c r="BK16" i="3"/>
  <c r="BM16" i="3"/>
  <c r="BN16" i="3"/>
  <c r="BO16" i="3"/>
  <c r="BP16" i="3"/>
  <c r="BQ16" i="3"/>
  <c r="BR16" i="3"/>
  <c r="BS16" i="3"/>
  <c r="BT16" i="3"/>
  <c r="BL16" i="3"/>
  <c r="BC17" i="3"/>
  <c r="BD17" i="3"/>
  <c r="BE17" i="3"/>
  <c r="BF17" i="3"/>
  <c r="BG17" i="3"/>
  <c r="BH17" i="3"/>
  <c r="BI17" i="3"/>
  <c r="BJ17" i="3"/>
  <c r="BK17" i="3"/>
  <c r="BM17" i="3"/>
  <c r="BN17" i="3"/>
  <c r="BO17" i="3"/>
  <c r="BP17" i="3"/>
  <c r="BQ17" i="3"/>
  <c r="BR17" i="3"/>
  <c r="BS17" i="3"/>
  <c r="BT17" i="3"/>
  <c r="BL17" i="3"/>
  <c r="BC18" i="3"/>
  <c r="BD18" i="3"/>
  <c r="BE18" i="3"/>
  <c r="BF18" i="3"/>
  <c r="BG18" i="3"/>
  <c r="BH18" i="3"/>
  <c r="BI18" i="3"/>
  <c r="BJ18" i="3"/>
  <c r="BK18" i="3"/>
  <c r="BM18" i="3"/>
  <c r="BN18" i="3"/>
  <c r="BO18" i="3"/>
  <c r="BP18" i="3"/>
  <c r="BQ18" i="3"/>
  <c r="BR18" i="3"/>
  <c r="BS18" i="3"/>
  <c r="BT18" i="3"/>
  <c r="BL18" i="3"/>
  <c r="BC19" i="3"/>
  <c r="BD19" i="3"/>
  <c r="BE19" i="3"/>
  <c r="BF19" i="3"/>
  <c r="BG19" i="3"/>
  <c r="BH19" i="3"/>
  <c r="BI19" i="3"/>
  <c r="BJ19" i="3"/>
  <c r="BK19" i="3"/>
  <c r="BM19" i="3"/>
  <c r="BN19" i="3"/>
  <c r="BO19" i="3"/>
  <c r="BP19" i="3"/>
  <c r="BQ19" i="3"/>
  <c r="BR19" i="3"/>
  <c r="BS19" i="3"/>
  <c r="BT19" i="3"/>
  <c r="BL19" i="3"/>
  <c r="BC20" i="3"/>
  <c r="BD20" i="3"/>
  <c r="BE20" i="3"/>
  <c r="BF20" i="3"/>
  <c r="BG20" i="3"/>
  <c r="BH20" i="3"/>
  <c r="BI20" i="3"/>
  <c r="BJ20" i="3"/>
  <c r="BK20" i="3"/>
  <c r="BM20" i="3"/>
  <c r="BN20" i="3"/>
  <c r="BO20" i="3"/>
  <c r="BP20" i="3"/>
  <c r="BQ20" i="3"/>
  <c r="BR20" i="3"/>
  <c r="BS20" i="3"/>
  <c r="BT20" i="3"/>
  <c r="BL20" i="3"/>
  <c r="BC21" i="3"/>
  <c r="BD21" i="3"/>
  <c r="BE21" i="3"/>
  <c r="BF21" i="3"/>
  <c r="BG21" i="3"/>
  <c r="BH21" i="3"/>
  <c r="BI21" i="3"/>
  <c r="BJ21" i="3"/>
  <c r="BK21" i="3"/>
  <c r="BM21" i="3"/>
  <c r="BN21" i="3"/>
  <c r="BO21" i="3"/>
  <c r="BP21" i="3"/>
  <c r="BQ21" i="3"/>
  <c r="BR21" i="3"/>
  <c r="BS21" i="3"/>
  <c r="BT21" i="3"/>
  <c r="BL21" i="3"/>
  <c r="BC22" i="3"/>
  <c r="BD22" i="3"/>
  <c r="BE22" i="3"/>
  <c r="BF22" i="3"/>
  <c r="BG22" i="3"/>
  <c r="BH22" i="3"/>
  <c r="BI22" i="3"/>
  <c r="BJ22" i="3"/>
  <c r="BK22" i="3"/>
  <c r="BM22" i="3"/>
  <c r="BN22" i="3"/>
  <c r="BO22" i="3"/>
  <c r="BP22" i="3"/>
  <c r="BQ22" i="3"/>
  <c r="BR22" i="3"/>
  <c r="BS22" i="3"/>
  <c r="BT22" i="3"/>
  <c r="BL22" i="3"/>
  <c r="BC23" i="3"/>
  <c r="BD23" i="3"/>
  <c r="BE23" i="3"/>
  <c r="BF23" i="3"/>
  <c r="BG23" i="3"/>
  <c r="BH23" i="3"/>
  <c r="BI23" i="3"/>
  <c r="BJ23" i="3"/>
  <c r="BK23" i="3"/>
  <c r="BM23" i="3"/>
  <c r="BN23" i="3"/>
  <c r="BO23" i="3"/>
  <c r="BP23" i="3"/>
  <c r="BQ23" i="3"/>
  <c r="BR23" i="3"/>
  <c r="BS23" i="3"/>
  <c r="BT23" i="3"/>
  <c r="BL23" i="3"/>
  <c r="BC24" i="3"/>
  <c r="BD24" i="3"/>
  <c r="BE24" i="3"/>
  <c r="BF24" i="3"/>
  <c r="BG24" i="3"/>
  <c r="BH24" i="3"/>
  <c r="BI24" i="3"/>
  <c r="BJ24" i="3"/>
  <c r="BK24" i="3"/>
  <c r="BM24" i="3"/>
  <c r="BN24" i="3"/>
  <c r="BO24" i="3"/>
  <c r="BP24" i="3"/>
  <c r="BQ24" i="3"/>
  <c r="BR24" i="3"/>
  <c r="BS24" i="3"/>
  <c r="BT24" i="3"/>
  <c r="BL24" i="3"/>
  <c r="BC25" i="3"/>
  <c r="BD25" i="3"/>
  <c r="BE25" i="3"/>
  <c r="BF25" i="3"/>
  <c r="BG25" i="3"/>
  <c r="BH25" i="3"/>
  <c r="BI25" i="3"/>
  <c r="BJ25" i="3"/>
  <c r="BK25" i="3"/>
  <c r="BM25" i="3"/>
  <c r="BN25" i="3"/>
  <c r="BO25" i="3"/>
  <c r="BP25" i="3"/>
  <c r="BQ25" i="3"/>
  <c r="BR25" i="3"/>
  <c r="BS25" i="3"/>
  <c r="BT25" i="3"/>
  <c r="BL25" i="3"/>
  <c r="BC26" i="3"/>
  <c r="BD26" i="3"/>
  <c r="BE26" i="3"/>
  <c r="BF26" i="3"/>
  <c r="BG26" i="3"/>
  <c r="BH26" i="3"/>
  <c r="BI26" i="3"/>
  <c r="BJ26" i="3"/>
  <c r="BK26" i="3"/>
  <c r="BM26" i="3"/>
  <c r="BN26" i="3"/>
  <c r="BO26" i="3"/>
  <c r="BP26" i="3"/>
  <c r="BQ26" i="3"/>
  <c r="BR26" i="3"/>
  <c r="BS26" i="3"/>
  <c r="BT26" i="3"/>
  <c r="BL26" i="3"/>
  <c r="BC27" i="3"/>
  <c r="BD27" i="3"/>
  <c r="BE27" i="3"/>
  <c r="BF27" i="3"/>
  <c r="BG27" i="3"/>
  <c r="BH27" i="3"/>
  <c r="BI27" i="3"/>
  <c r="BJ27" i="3"/>
  <c r="BK27" i="3"/>
  <c r="BM27" i="3"/>
  <c r="BN27" i="3"/>
  <c r="BO27" i="3"/>
  <c r="BP27" i="3"/>
  <c r="BQ27" i="3"/>
  <c r="BR27" i="3"/>
  <c r="BS27" i="3"/>
  <c r="BT27" i="3"/>
  <c r="BL27" i="3"/>
  <c r="BC28" i="3"/>
  <c r="BD28" i="3"/>
  <c r="BE28" i="3"/>
  <c r="BF28" i="3"/>
  <c r="BG28" i="3"/>
  <c r="BH28" i="3"/>
  <c r="BI28" i="3"/>
  <c r="BJ28" i="3"/>
  <c r="BK28" i="3"/>
  <c r="BM28" i="3"/>
  <c r="BN28" i="3"/>
  <c r="BO28" i="3"/>
  <c r="BP28" i="3"/>
  <c r="BQ28" i="3"/>
  <c r="BR28" i="3"/>
  <c r="BS28" i="3"/>
  <c r="BT28" i="3"/>
  <c r="BL28" i="3"/>
  <c r="BC29" i="3"/>
  <c r="BD29" i="3"/>
  <c r="BE29" i="3"/>
  <c r="BF29" i="3"/>
  <c r="BG29" i="3"/>
  <c r="BH29" i="3"/>
  <c r="BI29" i="3"/>
  <c r="BJ29" i="3"/>
  <c r="BK29" i="3"/>
  <c r="BM29" i="3"/>
  <c r="BN29" i="3"/>
  <c r="BO29" i="3"/>
  <c r="BP29" i="3"/>
  <c r="BQ29" i="3"/>
  <c r="BR29" i="3"/>
  <c r="BS29" i="3"/>
  <c r="BT29" i="3"/>
  <c r="BL29" i="3"/>
  <c r="BC30" i="3"/>
  <c r="BD30" i="3"/>
  <c r="BE30" i="3"/>
  <c r="BF30" i="3"/>
  <c r="BG30" i="3"/>
  <c r="BH30" i="3"/>
  <c r="BI30" i="3"/>
  <c r="BJ30" i="3"/>
  <c r="BK30" i="3"/>
  <c r="BM30" i="3"/>
  <c r="BN30" i="3"/>
  <c r="BO30" i="3"/>
  <c r="BP30" i="3"/>
  <c r="BQ30" i="3"/>
  <c r="BR30" i="3"/>
  <c r="BS30" i="3"/>
  <c r="BT30" i="3"/>
  <c r="BL30" i="3"/>
  <c r="BC31" i="3"/>
  <c r="BD31" i="3"/>
  <c r="BE31" i="3"/>
  <c r="BF31" i="3"/>
  <c r="BG31" i="3"/>
  <c r="BH31" i="3"/>
  <c r="BI31" i="3"/>
  <c r="BJ31" i="3"/>
  <c r="BK31" i="3"/>
  <c r="BM31" i="3"/>
  <c r="BN31" i="3"/>
  <c r="BO31" i="3"/>
  <c r="BP31" i="3"/>
  <c r="BQ31" i="3"/>
  <c r="BR31" i="3"/>
  <c r="BS31" i="3"/>
  <c r="BT31" i="3"/>
  <c r="BL31" i="3"/>
  <c r="BC32" i="3"/>
  <c r="BD32" i="3"/>
  <c r="BE32" i="3"/>
  <c r="BF32" i="3"/>
  <c r="BG32" i="3"/>
  <c r="BH32" i="3"/>
  <c r="BI32" i="3"/>
  <c r="BJ32" i="3"/>
  <c r="BK32" i="3"/>
  <c r="BM32" i="3"/>
  <c r="BN32" i="3"/>
  <c r="BO32" i="3"/>
  <c r="BP32" i="3"/>
  <c r="BQ32" i="3"/>
  <c r="BR32" i="3"/>
  <c r="BS32" i="3"/>
  <c r="BT32" i="3"/>
  <c r="BL32" i="3"/>
  <c r="BC33" i="3"/>
  <c r="BD33" i="3"/>
  <c r="BE33" i="3"/>
  <c r="BF33" i="3"/>
  <c r="BG33" i="3"/>
  <c r="BH33" i="3"/>
  <c r="BI33" i="3"/>
  <c r="BJ33" i="3"/>
  <c r="BK33" i="3"/>
  <c r="BM33" i="3"/>
  <c r="BN33" i="3"/>
  <c r="BO33" i="3"/>
  <c r="BP33" i="3"/>
  <c r="BQ33" i="3"/>
  <c r="BR33" i="3"/>
  <c r="BS33" i="3"/>
  <c r="BT33" i="3"/>
  <c r="BL33" i="3"/>
  <c r="BC34" i="3"/>
  <c r="BD34" i="3"/>
  <c r="BE34" i="3"/>
  <c r="BF34" i="3"/>
  <c r="BG34" i="3"/>
  <c r="BH34" i="3"/>
  <c r="BI34" i="3"/>
  <c r="BJ34" i="3"/>
  <c r="BK34" i="3"/>
  <c r="BM34" i="3"/>
  <c r="BN34" i="3"/>
  <c r="BO34" i="3"/>
  <c r="BP34" i="3"/>
  <c r="BQ34" i="3"/>
  <c r="BR34" i="3"/>
  <c r="BS34" i="3"/>
  <c r="BT34" i="3"/>
  <c r="BL34" i="3"/>
  <c r="BC35" i="3"/>
  <c r="BD35" i="3"/>
  <c r="BE35" i="3"/>
  <c r="BF35" i="3"/>
  <c r="BG35" i="3"/>
  <c r="BH35" i="3"/>
  <c r="BI35" i="3"/>
  <c r="BJ35" i="3"/>
  <c r="BK35" i="3"/>
  <c r="BM35" i="3"/>
  <c r="BN35" i="3"/>
  <c r="BO35" i="3"/>
  <c r="BP35" i="3"/>
  <c r="BQ35" i="3"/>
  <c r="BR35" i="3"/>
  <c r="BS35" i="3"/>
  <c r="BT35" i="3"/>
  <c r="BL35" i="3"/>
  <c r="BC36" i="3"/>
  <c r="BD36" i="3"/>
  <c r="BE36" i="3"/>
  <c r="BF36" i="3"/>
  <c r="BG36" i="3"/>
  <c r="BH36" i="3"/>
  <c r="BI36" i="3"/>
  <c r="BJ36" i="3"/>
  <c r="BK36" i="3"/>
  <c r="BM36" i="3"/>
  <c r="BN36" i="3"/>
  <c r="BO36" i="3"/>
  <c r="BP36" i="3"/>
  <c r="BQ36" i="3"/>
  <c r="BR36" i="3"/>
  <c r="BS36" i="3"/>
  <c r="BT36" i="3"/>
  <c r="BL36" i="3"/>
  <c r="BC37" i="3"/>
  <c r="BD37" i="3"/>
  <c r="BE37" i="3"/>
  <c r="BF37" i="3"/>
  <c r="BG37" i="3"/>
  <c r="BH37" i="3"/>
  <c r="BI37" i="3"/>
  <c r="BJ37" i="3"/>
  <c r="BK37" i="3"/>
  <c r="BM37" i="3"/>
  <c r="BN37" i="3"/>
  <c r="BO37" i="3"/>
  <c r="BP37" i="3"/>
  <c r="BQ37" i="3"/>
  <c r="BR37" i="3"/>
  <c r="BS37" i="3"/>
  <c r="BT37" i="3"/>
  <c r="BL37" i="3"/>
  <c r="BC38" i="3"/>
  <c r="BD38" i="3"/>
  <c r="BE38" i="3"/>
  <c r="BF38" i="3"/>
  <c r="BG38" i="3"/>
  <c r="BH38" i="3"/>
  <c r="BI38" i="3"/>
  <c r="BJ38" i="3"/>
  <c r="BK38" i="3"/>
  <c r="BM38" i="3"/>
  <c r="BN38" i="3"/>
  <c r="BO38" i="3"/>
  <c r="BP38" i="3"/>
  <c r="BQ38" i="3"/>
  <c r="BR38" i="3"/>
  <c r="BS38" i="3"/>
  <c r="BT38" i="3"/>
  <c r="BL38" i="3"/>
  <c r="BC39" i="3"/>
  <c r="BD39" i="3"/>
  <c r="BE39" i="3"/>
  <c r="BF39" i="3"/>
  <c r="BG39" i="3"/>
  <c r="BH39" i="3"/>
  <c r="BI39" i="3"/>
  <c r="BJ39" i="3"/>
  <c r="BK39" i="3"/>
  <c r="BM39" i="3"/>
  <c r="BN39" i="3"/>
  <c r="BO39" i="3"/>
  <c r="BP39" i="3"/>
  <c r="BQ39" i="3"/>
  <c r="BR39" i="3"/>
  <c r="BS39" i="3"/>
  <c r="BT39" i="3"/>
  <c r="BL39" i="3"/>
  <c r="BC40" i="3"/>
  <c r="BD40" i="3"/>
  <c r="BE40" i="3"/>
  <c r="BF40" i="3"/>
  <c r="BG40" i="3"/>
  <c r="BH40" i="3"/>
  <c r="BI40" i="3"/>
  <c r="BJ40" i="3"/>
  <c r="BK40" i="3"/>
  <c r="BM40" i="3"/>
  <c r="BN40" i="3"/>
  <c r="BO40" i="3"/>
  <c r="BP40" i="3"/>
  <c r="BQ40" i="3"/>
  <c r="BR40" i="3"/>
  <c r="BS40" i="3"/>
  <c r="BT40" i="3"/>
  <c r="BL40" i="3"/>
  <c r="BC41" i="3"/>
  <c r="BD41" i="3"/>
  <c r="BE41" i="3"/>
  <c r="BF41" i="3"/>
  <c r="BG41" i="3"/>
  <c r="BH41" i="3"/>
  <c r="BI41" i="3"/>
  <c r="BJ41" i="3"/>
  <c r="BK41" i="3"/>
  <c r="BM41" i="3"/>
  <c r="BN41" i="3"/>
  <c r="BO41" i="3"/>
  <c r="BP41" i="3"/>
  <c r="BQ41" i="3"/>
  <c r="BR41" i="3"/>
  <c r="BS41" i="3"/>
  <c r="BT41" i="3"/>
  <c r="BL41" i="3"/>
  <c r="BC42" i="3"/>
  <c r="BD42" i="3"/>
  <c r="BE42" i="3"/>
  <c r="BF42" i="3"/>
  <c r="BG42" i="3"/>
  <c r="BH42" i="3"/>
  <c r="BI42" i="3"/>
  <c r="BJ42" i="3"/>
  <c r="BK42" i="3"/>
  <c r="BM42" i="3"/>
  <c r="BN42" i="3"/>
  <c r="BO42" i="3"/>
  <c r="BP42" i="3"/>
  <c r="BQ42" i="3"/>
  <c r="BR42" i="3"/>
  <c r="BS42" i="3"/>
  <c r="BT42" i="3"/>
  <c r="BL42" i="3"/>
  <c r="BC43" i="3"/>
  <c r="BD43" i="3"/>
  <c r="BE43" i="3"/>
  <c r="BF43" i="3"/>
  <c r="BG43" i="3"/>
  <c r="BH43" i="3"/>
  <c r="BI43" i="3"/>
  <c r="BJ43" i="3"/>
  <c r="BK43" i="3"/>
  <c r="BM43" i="3"/>
  <c r="BN43" i="3"/>
  <c r="BO43" i="3"/>
  <c r="BP43" i="3"/>
  <c r="BQ43" i="3"/>
  <c r="BR43" i="3"/>
  <c r="BS43" i="3"/>
  <c r="BT43" i="3"/>
  <c r="BL43" i="3"/>
  <c r="BC44" i="3"/>
  <c r="BD44" i="3"/>
  <c r="BE44" i="3"/>
  <c r="BF44" i="3"/>
  <c r="BG44" i="3"/>
  <c r="BH44" i="3"/>
  <c r="BI44" i="3"/>
  <c r="BJ44" i="3"/>
  <c r="BK44" i="3"/>
  <c r="BM44" i="3"/>
  <c r="BN44" i="3"/>
  <c r="BO44" i="3"/>
  <c r="BP44" i="3"/>
  <c r="BQ44" i="3"/>
  <c r="BR44" i="3"/>
  <c r="BS44" i="3"/>
  <c r="BT44" i="3"/>
  <c r="BL44" i="3"/>
  <c r="BC45" i="3"/>
  <c r="BD45" i="3"/>
  <c r="BE45" i="3"/>
  <c r="BF45" i="3"/>
  <c r="BG45" i="3"/>
  <c r="BH45" i="3"/>
  <c r="BI45" i="3"/>
  <c r="BJ45" i="3"/>
  <c r="BK45" i="3"/>
  <c r="BM45" i="3"/>
  <c r="BN45" i="3"/>
  <c r="BO45" i="3"/>
  <c r="BP45" i="3"/>
  <c r="BQ45" i="3"/>
  <c r="BR45" i="3"/>
  <c r="BS45" i="3"/>
  <c r="BT45" i="3"/>
  <c r="BL45" i="3"/>
  <c r="BC46" i="3"/>
  <c r="BD46" i="3"/>
  <c r="BE46" i="3"/>
  <c r="BF46" i="3"/>
  <c r="BG46" i="3"/>
  <c r="BH46" i="3"/>
  <c r="BI46" i="3"/>
  <c r="BJ46" i="3"/>
  <c r="BK46" i="3"/>
  <c r="BM46" i="3"/>
  <c r="BN46" i="3"/>
  <c r="BO46" i="3"/>
  <c r="BP46" i="3"/>
  <c r="BQ46" i="3"/>
  <c r="BR46" i="3"/>
  <c r="BS46" i="3"/>
  <c r="BT46" i="3"/>
  <c r="BL46" i="3"/>
  <c r="BC47" i="3"/>
  <c r="BD47" i="3"/>
  <c r="BE47" i="3"/>
  <c r="BF47" i="3"/>
  <c r="BG47" i="3"/>
  <c r="BH47" i="3"/>
  <c r="BI47" i="3"/>
  <c r="BJ47" i="3"/>
  <c r="BK47" i="3"/>
  <c r="BM47" i="3"/>
  <c r="BN47" i="3"/>
  <c r="BO47" i="3"/>
  <c r="BP47" i="3"/>
  <c r="BQ47" i="3"/>
  <c r="BR47" i="3"/>
  <c r="BS47" i="3"/>
  <c r="BT47" i="3"/>
  <c r="BL47" i="3"/>
  <c r="BC48" i="3"/>
  <c r="BD48" i="3"/>
  <c r="BE48" i="3"/>
  <c r="BF48" i="3"/>
  <c r="BG48" i="3"/>
  <c r="BH48" i="3"/>
  <c r="BI48" i="3"/>
  <c r="BJ48" i="3"/>
  <c r="BK48" i="3"/>
  <c r="BM48" i="3"/>
  <c r="BN48" i="3"/>
  <c r="BO48" i="3"/>
  <c r="BP48" i="3"/>
  <c r="BQ48" i="3"/>
  <c r="BR48" i="3"/>
  <c r="BS48" i="3"/>
  <c r="BT48" i="3"/>
  <c r="BL48" i="3"/>
  <c r="BC49" i="3"/>
  <c r="BD49" i="3"/>
  <c r="BE49" i="3"/>
  <c r="BF49" i="3"/>
  <c r="BG49" i="3"/>
  <c r="BH49" i="3"/>
  <c r="BI49" i="3"/>
  <c r="BJ49" i="3"/>
  <c r="BK49" i="3"/>
  <c r="BM49" i="3"/>
  <c r="BN49" i="3"/>
  <c r="BO49" i="3"/>
  <c r="BP49" i="3"/>
  <c r="BQ49" i="3"/>
  <c r="BR49" i="3"/>
  <c r="BS49" i="3"/>
  <c r="BT49" i="3"/>
  <c r="BL49" i="3"/>
  <c r="BC50" i="3"/>
  <c r="BD50" i="3"/>
  <c r="BE50" i="3"/>
  <c r="BF50" i="3"/>
  <c r="BG50" i="3"/>
  <c r="BH50" i="3"/>
  <c r="BI50" i="3"/>
  <c r="BJ50" i="3"/>
  <c r="BK50" i="3"/>
  <c r="BM50" i="3"/>
  <c r="BN50" i="3"/>
  <c r="BO50" i="3"/>
  <c r="BP50" i="3"/>
  <c r="BQ50" i="3"/>
  <c r="BR50" i="3"/>
  <c r="BS50" i="3"/>
  <c r="BT50" i="3"/>
  <c r="BL50" i="3"/>
  <c r="BC51" i="3"/>
  <c r="BD51" i="3"/>
  <c r="BE51" i="3"/>
  <c r="BF51" i="3"/>
  <c r="BG51" i="3"/>
  <c r="BH51" i="3"/>
  <c r="BI51" i="3"/>
  <c r="BJ51" i="3"/>
  <c r="BK51" i="3"/>
  <c r="BM51" i="3"/>
  <c r="BN51" i="3"/>
  <c r="BO51" i="3"/>
  <c r="BP51" i="3"/>
  <c r="BQ51" i="3"/>
  <c r="BR51" i="3"/>
  <c r="BS51" i="3"/>
  <c r="BT51" i="3"/>
  <c r="BL51" i="3"/>
  <c r="BC52" i="3"/>
  <c r="BD52" i="3"/>
  <c r="BE52" i="3"/>
  <c r="BF52" i="3"/>
  <c r="BG52" i="3"/>
  <c r="BH52" i="3"/>
  <c r="BI52" i="3"/>
  <c r="BJ52" i="3"/>
  <c r="BK52" i="3"/>
  <c r="BM52" i="3"/>
  <c r="BN52" i="3"/>
  <c r="BO52" i="3"/>
  <c r="BP52" i="3"/>
  <c r="BQ52" i="3"/>
  <c r="BR52" i="3"/>
  <c r="BS52" i="3"/>
  <c r="BT52" i="3"/>
  <c r="BL52" i="3"/>
  <c r="BC53" i="3"/>
  <c r="BD53" i="3"/>
  <c r="BE53" i="3"/>
  <c r="BF53" i="3"/>
  <c r="BG53" i="3"/>
  <c r="BH53" i="3"/>
  <c r="BI53" i="3"/>
  <c r="BJ53" i="3"/>
  <c r="BK53" i="3"/>
  <c r="BM53" i="3"/>
  <c r="BN53" i="3"/>
  <c r="BO53" i="3"/>
  <c r="BP53" i="3"/>
  <c r="BQ53" i="3"/>
  <c r="BR53" i="3"/>
  <c r="BS53" i="3"/>
  <c r="BT53" i="3"/>
  <c r="BL53" i="3"/>
  <c r="BC54" i="3"/>
  <c r="BD54" i="3"/>
  <c r="BE54" i="3"/>
  <c r="BF54" i="3"/>
  <c r="BG54" i="3"/>
  <c r="BH54" i="3"/>
  <c r="BI54" i="3"/>
  <c r="BJ54" i="3"/>
  <c r="BK54" i="3"/>
  <c r="BM54" i="3"/>
  <c r="BN54" i="3"/>
  <c r="BO54" i="3"/>
  <c r="BP54" i="3"/>
  <c r="BQ54" i="3"/>
  <c r="BR54" i="3"/>
  <c r="BS54" i="3"/>
  <c r="BT54" i="3"/>
  <c r="BL54" i="3"/>
  <c r="BC55" i="3"/>
  <c r="BD55" i="3"/>
  <c r="BE55" i="3"/>
  <c r="BF55" i="3"/>
  <c r="BG55" i="3"/>
  <c r="BH55" i="3"/>
  <c r="BI55" i="3"/>
  <c r="BJ55" i="3"/>
  <c r="BK55" i="3"/>
  <c r="BM55" i="3"/>
  <c r="BN55" i="3"/>
  <c r="BO55" i="3"/>
  <c r="BP55" i="3"/>
  <c r="BQ55" i="3"/>
  <c r="BR55" i="3"/>
  <c r="BS55" i="3"/>
  <c r="BT55" i="3"/>
  <c r="BL55" i="3"/>
  <c r="BC56" i="3"/>
  <c r="BD56" i="3"/>
  <c r="BE56" i="3"/>
  <c r="BF56" i="3"/>
  <c r="BG56" i="3"/>
  <c r="BH56" i="3"/>
  <c r="BI56" i="3"/>
  <c r="BJ56" i="3"/>
  <c r="BK56" i="3"/>
  <c r="BM56" i="3"/>
  <c r="BN56" i="3"/>
  <c r="BO56" i="3"/>
  <c r="BP56" i="3"/>
  <c r="BQ56" i="3"/>
  <c r="BR56" i="3"/>
  <c r="BS56" i="3"/>
  <c r="BT56" i="3"/>
  <c r="BL56" i="3"/>
  <c r="BC57" i="3"/>
  <c r="BD57" i="3"/>
  <c r="BE57" i="3"/>
  <c r="BF57" i="3"/>
  <c r="BG57" i="3"/>
  <c r="BH57" i="3"/>
  <c r="BI57" i="3"/>
  <c r="BJ57" i="3"/>
  <c r="BK57" i="3"/>
  <c r="BM57" i="3"/>
  <c r="BN57" i="3"/>
  <c r="BO57" i="3"/>
  <c r="BP57" i="3"/>
  <c r="BQ57" i="3"/>
  <c r="BR57" i="3"/>
  <c r="BS57" i="3"/>
  <c r="BT57" i="3"/>
  <c r="BL57" i="3"/>
  <c r="BC58" i="3"/>
  <c r="BD58" i="3"/>
  <c r="BE58" i="3"/>
  <c r="BF58" i="3"/>
  <c r="BG58" i="3"/>
  <c r="BH58" i="3"/>
  <c r="BI58" i="3"/>
  <c r="BJ58" i="3"/>
  <c r="BK58" i="3"/>
  <c r="BM58" i="3"/>
  <c r="BN58" i="3"/>
  <c r="BO58" i="3"/>
  <c r="BP58" i="3"/>
  <c r="BQ58" i="3"/>
  <c r="BR58" i="3"/>
  <c r="BS58" i="3"/>
  <c r="BT58" i="3"/>
  <c r="BL58" i="3"/>
  <c r="BC59" i="3"/>
  <c r="BD59" i="3"/>
  <c r="BE59" i="3"/>
  <c r="BF59" i="3"/>
  <c r="BG59" i="3"/>
  <c r="BH59" i="3"/>
  <c r="BI59" i="3"/>
  <c r="BJ59" i="3"/>
  <c r="BK59" i="3"/>
  <c r="BM59" i="3"/>
  <c r="BN59" i="3"/>
  <c r="BO59" i="3"/>
  <c r="BP59" i="3"/>
  <c r="BQ59" i="3"/>
  <c r="BR59" i="3"/>
  <c r="BS59" i="3"/>
  <c r="BT59" i="3"/>
  <c r="BL59" i="3"/>
  <c r="BC60" i="3"/>
  <c r="BD60" i="3"/>
  <c r="BE60" i="3"/>
  <c r="BF60" i="3"/>
  <c r="BG60" i="3"/>
  <c r="BH60" i="3"/>
  <c r="BI60" i="3"/>
  <c r="BJ60" i="3"/>
  <c r="BK60" i="3"/>
  <c r="BM60" i="3"/>
  <c r="BN60" i="3"/>
  <c r="BO60" i="3"/>
  <c r="BP60" i="3"/>
  <c r="BQ60" i="3"/>
  <c r="BR60" i="3"/>
  <c r="BS60" i="3"/>
  <c r="BT60" i="3"/>
  <c r="BL60" i="3"/>
  <c r="BC61" i="3"/>
  <c r="BD61" i="3"/>
  <c r="BE61" i="3"/>
  <c r="BF61" i="3"/>
  <c r="BG61" i="3"/>
  <c r="BH61" i="3"/>
  <c r="BI61" i="3"/>
  <c r="BJ61" i="3"/>
  <c r="BK61" i="3"/>
  <c r="BM61" i="3"/>
  <c r="BN61" i="3"/>
  <c r="BO61" i="3"/>
  <c r="BP61" i="3"/>
  <c r="BQ61" i="3"/>
  <c r="BR61" i="3"/>
  <c r="BS61" i="3"/>
  <c r="BT61" i="3"/>
  <c r="BL61" i="3"/>
  <c r="BC62" i="3"/>
  <c r="BD62" i="3"/>
  <c r="BE62" i="3"/>
  <c r="BF62" i="3"/>
  <c r="BG62" i="3"/>
  <c r="BH62" i="3"/>
  <c r="BI62" i="3"/>
  <c r="BJ62" i="3"/>
  <c r="BK62" i="3"/>
  <c r="BM62" i="3"/>
  <c r="BN62" i="3"/>
  <c r="BO62" i="3"/>
  <c r="BP62" i="3"/>
  <c r="BQ62" i="3"/>
  <c r="BR62" i="3"/>
  <c r="BS62" i="3"/>
  <c r="BT62" i="3"/>
  <c r="BL62" i="3"/>
  <c r="BC63" i="3"/>
  <c r="BD63" i="3"/>
  <c r="BE63" i="3"/>
  <c r="BF63" i="3"/>
  <c r="BG63" i="3"/>
  <c r="BH63" i="3"/>
  <c r="BI63" i="3"/>
  <c r="BJ63" i="3"/>
  <c r="BK63" i="3"/>
  <c r="BM63" i="3"/>
  <c r="BN63" i="3"/>
  <c r="BO63" i="3"/>
  <c r="BP63" i="3"/>
  <c r="BQ63" i="3"/>
  <c r="BR63" i="3"/>
  <c r="BS63" i="3"/>
  <c r="BT63" i="3"/>
  <c r="BL63" i="3"/>
  <c r="BC64" i="3"/>
  <c r="BD64" i="3"/>
  <c r="BE64" i="3"/>
  <c r="BF64" i="3"/>
  <c r="BG64" i="3"/>
  <c r="BH64" i="3"/>
  <c r="BI64" i="3"/>
  <c r="BJ64" i="3"/>
  <c r="BK64" i="3"/>
  <c r="BM64" i="3"/>
  <c r="BN64" i="3"/>
  <c r="BO64" i="3"/>
  <c r="BP64" i="3"/>
  <c r="BQ64" i="3"/>
  <c r="BR64" i="3"/>
  <c r="BS64" i="3"/>
  <c r="BT64" i="3"/>
  <c r="BL64" i="3"/>
  <c r="BC65" i="3"/>
  <c r="BD65" i="3"/>
  <c r="BE65" i="3"/>
  <c r="BF65" i="3"/>
  <c r="BG65" i="3"/>
  <c r="BH65" i="3"/>
  <c r="BI65" i="3"/>
  <c r="BJ65" i="3"/>
  <c r="BK65" i="3"/>
  <c r="BM65" i="3"/>
  <c r="BN65" i="3"/>
  <c r="BO65" i="3"/>
  <c r="BP65" i="3"/>
  <c r="BQ65" i="3"/>
  <c r="BR65" i="3"/>
  <c r="BS65" i="3"/>
  <c r="BT65" i="3"/>
  <c r="BL65" i="3"/>
  <c r="BC66" i="3"/>
  <c r="BD66" i="3"/>
  <c r="BE66" i="3"/>
  <c r="BF66" i="3"/>
  <c r="BG66" i="3"/>
  <c r="BH66" i="3"/>
  <c r="BI66" i="3"/>
  <c r="BJ66" i="3"/>
  <c r="BK66" i="3"/>
  <c r="BM66" i="3"/>
  <c r="BN66" i="3"/>
  <c r="BO66" i="3"/>
  <c r="BP66" i="3"/>
  <c r="BQ66" i="3"/>
  <c r="BR66" i="3"/>
  <c r="BS66" i="3"/>
  <c r="BT66" i="3"/>
  <c r="BL66" i="3"/>
  <c r="BC67" i="3"/>
  <c r="BD67" i="3"/>
  <c r="BE67" i="3"/>
  <c r="BF67" i="3"/>
  <c r="BG67" i="3"/>
  <c r="BH67" i="3"/>
  <c r="BI67" i="3"/>
  <c r="BJ67" i="3"/>
  <c r="BK67" i="3"/>
  <c r="BM67" i="3"/>
  <c r="BN67" i="3"/>
  <c r="BO67" i="3"/>
  <c r="BP67" i="3"/>
  <c r="BQ67" i="3"/>
  <c r="BR67" i="3"/>
  <c r="BS67" i="3"/>
  <c r="BT67" i="3"/>
  <c r="BL67" i="3"/>
  <c r="BC68" i="3"/>
  <c r="BD68" i="3"/>
  <c r="BE68" i="3"/>
  <c r="BF68" i="3"/>
  <c r="BG68" i="3"/>
  <c r="BH68" i="3"/>
  <c r="BI68" i="3"/>
  <c r="BJ68" i="3"/>
  <c r="BK68" i="3"/>
  <c r="BM68" i="3"/>
  <c r="BN68" i="3"/>
  <c r="BO68" i="3"/>
  <c r="BP68" i="3"/>
  <c r="BQ68" i="3"/>
  <c r="BR68" i="3"/>
  <c r="BS68" i="3"/>
  <c r="BT68" i="3"/>
  <c r="BL68" i="3"/>
  <c r="BC69" i="3"/>
  <c r="BD69" i="3"/>
  <c r="BE69" i="3"/>
  <c r="BF69" i="3"/>
  <c r="BG69" i="3"/>
  <c r="BH69" i="3"/>
  <c r="BI69" i="3"/>
  <c r="BJ69" i="3"/>
  <c r="BK69" i="3"/>
  <c r="BM69" i="3"/>
  <c r="BN69" i="3"/>
  <c r="BO69" i="3"/>
  <c r="BP69" i="3"/>
  <c r="BQ69" i="3"/>
  <c r="BR69" i="3"/>
  <c r="BS69" i="3"/>
  <c r="BT69" i="3"/>
  <c r="BL69" i="3"/>
  <c r="BC70" i="3"/>
  <c r="BD70" i="3"/>
  <c r="BE70" i="3"/>
  <c r="BF70" i="3"/>
  <c r="BG70" i="3"/>
  <c r="BH70" i="3"/>
  <c r="BI70" i="3"/>
  <c r="BJ70" i="3"/>
  <c r="BK70" i="3"/>
  <c r="BM70" i="3"/>
  <c r="BN70" i="3"/>
  <c r="BO70" i="3"/>
  <c r="BP70" i="3"/>
  <c r="BQ70" i="3"/>
  <c r="BR70" i="3"/>
  <c r="BS70" i="3"/>
  <c r="BT70" i="3"/>
  <c r="BL70" i="3"/>
  <c r="BC71" i="3"/>
  <c r="BD71" i="3"/>
  <c r="BE71" i="3"/>
  <c r="BF71" i="3"/>
  <c r="BG71" i="3"/>
  <c r="BH71" i="3"/>
  <c r="BI71" i="3"/>
  <c r="BJ71" i="3"/>
  <c r="BK71" i="3"/>
  <c r="BM71" i="3"/>
  <c r="BN71" i="3"/>
  <c r="BO71" i="3"/>
  <c r="BP71" i="3"/>
  <c r="BQ71" i="3"/>
  <c r="BR71" i="3"/>
  <c r="BS71" i="3"/>
  <c r="BT71" i="3"/>
  <c r="BL71" i="3"/>
  <c r="BC72" i="3"/>
  <c r="BD72" i="3"/>
  <c r="BE72" i="3"/>
  <c r="BF72" i="3"/>
  <c r="BG72" i="3"/>
  <c r="BH72" i="3"/>
  <c r="BI72" i="3"/>
  <c r="BJ72" i="3"/>
  <c r="BK72" i="3"/>
  <c r="BM72" i="3"/>
  <c r="BN72" i="3"/>
  <c r="BO72" i="3"/>
  <c r="BP72" i="3"/>
  <c r="BQ72" i="3"/>
  <c r="BR72" i="3"/>
  <c r="BS72" i="3"/>
  <c r="BT72" i="3"/>
  <c r="BL72" i="3"/>
  <c r="BC73" i="3"/>
  <c r="BD73" i="3"/>
  <c r="BE73" i="3"/>
  <c r="BF73" i="3"/>
  <c r="BG73" i="3"/>
  <c r="BH73" i="3"/>
  <c r="BI73" i="3"/>
  <c r="BJ73" i="3"/>
  <c r="BK73" i="3"/>
  <c r="BM73" i="3"/>
  <c r="BN73" i="3"/>
  <c r="BO73" i="3"/>
  <c r="BP73" i="3"/>
  <c r="BQ73" i="3"/>
  <c r="BR73" i="3"/>
  <c r="BS73" i="3"/>
  <c r="BT73" i="3"/>
  <c r="BL73" i="3"/>
  <c r="BC74" i="3"/>
  <c r="BD74" i="3"/>
  <c r="BE74" i="3"/>
  <c r="BF74" i="3"/>
  <c r="BG74" i="3"/>
  <c r="BH74" i="3"/>
  <c r="BI74" i="3"/>
  <c r="BJ74" i="3"/>
  <c r="BK74" i="3"/>
  <c r="BM74" i="3"/>
  <c r="BN74" i="3"/>
  <c r="BO74" i="3"/>
  <c r="BP74" i="3"/>
  <c r="BQ74" i="3"/>
  <c r="BR74" i="3"/>
  <c r="BS74" i="3"/>
  <c r="BT74" i="3"/>
  <c r="BL74" i="3"/>
  <c r="BC75" i="3"/>
  <c r="BD75" i="3"/>
  <c r="BE75" i="3"/>
  <c r="BF75" i="3"/>
  <c r="BG75" i="3"/>
  <c r="BH75" i="3"/>
  <c r="BI75" i="3"/>
  <c r="BJ75" i="3"/>
  <c r="BK75" i="3"/>
  <c r="BM75" i="3"/>
  <c r="BN75" i="3"/>
  <c r="BO75" i="3"/>
  <c r="BP75" i="3"/>
  <c r="BQ75" i="3"/>
  <c r="BR75" i="3"/>
  <c r="BS75" i="3"/>
  <c r="BT75" i="3"/>
  <c r="BL75" i="3"/>
  <c r="BC76" i="3"/>
  <c r="BD76" i="3"/>
  <c r="BE76" i="3"/>
  <c r="BF76" i="3"/>
  <c r="BG76" i="3"/>
  <c r="BH76" i="3"/>
  <c r="BI76" i="3"/>
  <c r="BJ76" i="3"/>
  <c r="BK76" i="3"/>
  <c r="BM76" i="3"/>
  <c r="BN76" i="3"/>
  <c r="BO76" i="3"/>
  <c r="BP76" i="3"/>
  <c r="BQ76" i="3"/>
  <c r="BR76" i="3"/>
  <c r="BS76" i="3"/>
  <c r="BT76" i="3"/>
  <c r="BL76" i="3"/>
  <c r="BC77" i="3"/>
  <c r="BD77" i="3"/>
  <c r="BE77" i="3"/>
  <c r="BF77" i="3"/>
  <c r="BG77" i="3"/>
  <c r="BH77" i="3"/>
  <c r="BI77" i="3"/>
  <c r="BJ77" i="3"/>
  <c r="BK77" i="3"/>
  <c r="BM77" i="3"/>
  <c r="BN77" i="3"/>
  <c r="BO77" i="3"/>
  <c r="BP77" i="3"/>
  <c r="BQ77" i="3"/>
  <c r="BR77" i="3"/>
  <c r="BS77" i="3"/>
  <c r="BT77" i="3"/>
  <c r="BL77" i="3"/>
  <c r="BC78" i="3"/>
  <c r="BD78" i="3"/>
  <c r="BE78" i="3"/>
  <c r="BF78" i="3"/>
  <c r="BG78" i="3"/>
  <c r="BH78" i="3"/>
  <c r="BI78" i="3"/>
  <c r="BJ78" i="3"/>
  <c r="BK78" i="3"/>
  <c r="BM78" i="3"/>
  <c r="BN78" i="3"/>
  <c r="BO78" i="3"/>
  <c r="BP78" i="3"/>
  <c r="BQ78" i="3"/>
  <c r="BR78" i="3"/>
  <c r="BS78" i="3"/>
  <c r="BT78" i="3"/>
  <c r="BL78" i="3"/>
  <c r="BC79" i="3"/>
  <c r="BD79" i="3"/>
  <c r="BE79" i="3"/>
  <c r="BF79" i="3"/>
  <c r="BG79" i="3"/>
  <c r="BH79" i="3"/>
  <c r="BI79" i="3"/>
  <c r="BJ79" i="3"/>
  <c r="BK79" i="3"/>
  <c r="BM79" i="3"/>
  <c r="BN79" i="3"/>
  <c r="BO79" i="3"/>
  <c r="BP79" i="3"/>
  <c r="BQ79" i="3"/>
  <c r="BR79" i="3"/>
  <c r="BS79" i="3"/>
  <c r="BT79" i="3"/>
  <c r="BL79" i="3"/>
  <c r="BC80" i="3"/>
  <c r="BD80" i="3"/>
  <c r="BE80" i="3"/>
  <c r="BF80" i="3"/>
  <c r="BG80" i="3"/>
  <c r="BH80" i="3"/>
  <c r="BI80" i="3"/>
  <c r="BJ80" i="3"/>
  <c r="BK80" i="3"/>
  <c r="BM80" i="3"/>
  <c r="BN80" i="3"/>
  <c r="BO80" i="3"/>
  <c r="BP80" i="3"/>
  <c r="BQ80" i="3"/>
  <c r="BR80" i="3"/>
  <c r="BS80" i="3"/>
  <c r="BT80" i="3"/>
  <c r="BL80" i="3"/>
  <c r="BC81" i="3"/>
  <c r="BD81" i="3"/>
  <c r="BE81" i="3"/>
  <c r="BF81" i="3"/>
  <c r="BG81" i="3"/>
  <c r="BH81" i="3"/>
  <c r="BI81" i="3"/>
  <c r="BJ81" i="3"/>
  <c r="BK81" i="3"/>
  <c r="BM81" i="3"/>
  <c r="BN81" i="3"/>
  <c r="BO81" i="3"/>
  <c r="BP81" i="3"/>
  <c r="BQ81" i="3"/>
  <c r="BR81" i="3"/>
  <c r="BS81" i="3"/>
  <c r="BT81" i="3"/>
  <c r="BL81" i="3"/>
  <c r="BC82" i="3"/>
  <c r="BD82" i="3"/>
  <c r="BE82" i="3"/>
  <c r="BF82" i="3"/>
  <c r="BG82" i="3"/>
  <c r="BH82" i="3"/>
  <c r="BI82" i="3"/>
  <c r="BJ82" i="3"/>
  <c r="BK82" i="3"/>
  <c r="BM82" i="3"/>
  <c r="BN82" i="3"/>
  <c r="BO82" i="3"/>
  <c r="BP82" i="3"/>
  <c r="BQ82" i="3"/>
  <c r="BR82" i="3"/>
  <c r="BS82" i="3"/>
  <c r="BT82" i="3"/>
  <c r="BL82" i="3"/>
  <c r="BC83" i="3"/>
  <c r="BD83" i="3"/>
  <c r="BE83" i="3"/>
  <c r="BF83" i="3"/>
  <c r="BG83" i="3"/>
  <c r="BH83" i="3"/>
  <c r="BI83" i="3"/>
  <c r="BJ83" i="3"/>
  <c r="BK83" i="3"/>
  <c r="BM83" i="3"/>
  <c r="BN83" i="3"/>
  <c r="BO83" i="3"/>
  <c r="BP83" i="3"/>
  <c r="BQ83" i="3"/>
  <c r="BR83" i="3"/>
  <c r="BS83" i="3"/>
  <c r="BT83" i="3"/>
  <c r="BL83" i="3"/>
  <c r="BC84" i="3"/>
  <c r="BD84" i="3"/>
  <c r="BE84" i="3"/>
  <c r="BF84" i="3"/>
  <c r="BG84" i="3"/>
  <c r="BH84" i="3"/>
  <c r="BI84" i="3"/>
  <c r="BJ84" i="3"/>
  <c r="BK84" i="3"/>
  <c r="BM84" i="3"/>
  <c r="BN84" i="3"/>
  <c r="BO84" i="3"/>
  <c r="BP84" i="3"/>
  <c r="BQ84" i="3"/>
  <c r="BR84" i="3"/>
  <c r="BS84" i="3"/>
  <c r="BT84" i="3"/>
  <c r="BL84" i="3"/>
  <c r="BC85" i="3"/>
  <c r="BD85" i="3"/>
  <c r="BE85" i="3"/>
  <c r="BF85" i="3"/>
  <c r="BG85" i="3"/>
  <c r="BH85" i="3"/>
  <c r="BI85" i="3"/>
  <c r="BJ85" i="3"/>
  <c r="BK85" i="3"/>
  <c r="BM85" i="3"/>
  <c r="BN85" i="3"/>
  <c r="BO85" i="3"/>
  <c r="BP85" i="3"/>
  <c r="BQ85" i="3"/>
  <c r="BR85" i="3"/>
  <c r="BS85" i="3"/>
  <c r="BT85" i="3"/>
  <c r="BL85" i="3"/>
  <c r="BC86" i="3"/>
  <c r="BD86" i="3"/>
  <c r="BE86" i="3"/>
  <c r="BF86" i="3"/>
  <c r="BG86" i="3"/>
  <c r="BH86" i="3"/>
  <c r="BI86" i="3"/>
  <c r="BJ86" i="3"/>
  <c r="BK86" i="3"/>
  <c r="BM86" i="3"/>
  <c r="BN86" i="3"/>
  <c r="BO86" i="3"/>
  <c r="BP86" i="3"/>
  <c r="BQ86" i="3"/>
  <c r="BR86" i="3"/>
  <c r="BS86" i="3"/>
  <c r="BT86" i="3"/>
  <c r="BL86" i="3"/>
  <c r="BC87" i="3"/>
  <c r="BD87" i="3"/>
  <c r="BE87" i="3"/>
  <c r="BF87" i="3"/>
  <c r="BG87" i="3"/>
  <c r="BH87" i="3"/>
  <c r="BI87" i="3"/>
  <c r="BJ87" i="3"/>
  <c r="BK87" i="3"/>
  <c r="BM87" i="3"/>
  <c r="BN87" i="3"/>
  <c r="BO87" i="3"/>
  <c r="BP87" i="3"/>
  <c r="BQ87" i="3"/>
  <c r="BR87" i="3"/>
  <c r="BS87" i="3"/>
  <c r="BT87" i="3"/>
  <c r="BL87" i="3"/>
  <c r="BC88" i="3"/>
  <c r="BD88" i="3"/>
  <c r="BE88" i="3"/>
  <c r="BF88" i="3"/>
  <c r="BG88" i="3"/>
  <c r="BH88" i="3"/>
  <c r="BI88" i="3"/>
  <c r="BJ88" i="3"/>
  <c r="BK88" i="3"/>
  <c r="BM88" i="3"/>
  <c r="BN88" i="3"/>
  <c r="BO88" i="3"/>
  <c r="BP88" i="3"/>
  <c r="BQ88" i="3"/>
  <c r="BR88" i="3"/>
  <c r="BS88" i="3"/>
  <c r="BT88" i="3"/>
  <c r="BL88" i="3"/>
  <c r="BC89" i="3"/>
  <c r="BD89" i="3"/>
  <c r="BE89" i="3"/>
  <c r="BF89" i="3"/>
  <c r="BG89" i="3"/>
  <c r="BH89" i="3"/>
  <c r="BI89" i="3"/>
  <c r="BJ89" i="3"/>
  <c r="BK89" i="3"/>
  <c r="BM89" i="3"/>
  <c r="BN89" i="3"/>
  <c r="BO89" i="3"/>
  <c r="BP89" i="3"/>
  <c r="BQ89" i="3"/>
  <c r="BR89" i="3"/>
  <c r="BS89" i="3"/>
  <c r="BT89" i="3"/>
  <c r="BL89" i="3"/>
  <c r="BC90" i="3"/>
  <c r="BD90" i="3"/>
  <c r="BE90" i="3"/>
  <c r="BF90" i="3"/>
  <c r="BG90" i="3"/>
  <c r="BH90" i="3"/>
  <c r="BI90" i="3"/>
  <c r="BJ90" i="3"/>
  <c r="BK90" i="3"/>
  <c r="BM90" i="3"/>
  <c r="BN90" i="3"/>
  <c r="BO90" i="3"/>
  <c r="BP90" i="3"/>
  <c r="BQ90" i="3"/>
  <c r="BR90" i="3"/>
  <c r="BS90" i="3"/>
  <c r="BT90" i="3"/>
  <c r="BL90" i="3"/>
  <c r="BC91" i="3"/>
  <c r="BD91" i="3"/>
  <c r="BE91" i="3"/>
  <c r="BF91" i="3"/>
  <c r="BG91" i="3"/>
  <c r="BH91" i="3"/>
  <c r="BI91" i="3"/>
  <c r="BJ91" i="3"/>
  <c r="BK91" i="3"/>
  <c r="BM91" i="3"/>
  <c r="BN91" i="3"/>
  <c r="BO91" i="3"/>
  <c r="BP91" i="3"/>
  <c r="BQ91" i="3"/>
  <c r="BR91" i="3"/>
  <c r="BS91" i="3"/>
  <c r="BT91" i="3"/>
  <c r="BL91" i="3"/>
  <c r="BC92" i="3"/>
  <c r="BD92" i="3"/>
  <c r="BE92" i="3"/>
  <c r="BF92" i="3"/>
  <c r="BG92" i="3"/>
  <c r="BH92" i="3"/>
  <c r="BI92" i="3"/>
  <c r="BJ92" i="3"/>
  <c r="BK92" i="3"/>
  <c r="BM92" i="3"/>
  <c r="BN92" i="3"/>
  <c r="BO92" i="3"/>
  <c r="BP92" i="3"/>
  <c r="BQ92" i="3"/>
  <c r="BR92" i="3"/>
  <c r="BS92" i="3"/>
  <c r="BT92" i="3"/>
  <c r="BL92" i="3"/>
  <c r="BC93" i="3"/>
  <c r="BD93" i="3"/>
  <c r="BE93" i="3"/>
  <c r="BF93" i="3"/>
  <c r="BG93" i="3"/>
  <c r="BH93" i="3"/>
  <c r="BI93" i="3"/>
  <c r="BJ93" i="3"/>
  <c r="BK93" i="3"/>
  <c r="BM93" i="3"/>
  <c r="BN93" i="3"/>
  <c r="BO93" i="3"/>
  <c r="BP93" i="3"/>
  <c r="BQ93" i="3"/>
  <c r="BR93" i="3"/>
  <c r="BS93" i="3"/>
  <c r="BT93" i="3"/>
  <c r="BL93" i="3"/>
  <c r="BC94" i="3"/>
  <c r="BD94" i="3"/>
  <c r="BE94" i="3"/>
  <c r="BF94" i="3"/>
  <c r="BG94" i="3"/>
  <c r="BH94" i="3"/>
  <c r="BI94" i="3"/>
  <c r="BJ94" i="3"/>
  <c r="BK94" i="3"/>
  <c r="BM94" i="3"/>
  <c r="BN94" i="3"/>
  <c r="BO94" i="3"/>
  <c r="BP94" i="3"/>
  <c r="BQ94" i="3"/>
  <c r="BR94" i="3"/>
  <c r="BS94" i="3"/>
  <c r="BT94" i="3"/>
  <c r="BL94" i="3"/>
  <c r="BC95" i="3"/>
  <c r="BD95" i="3"/>
  <c r="BE95" i="3"/>
  <c r="BF95" i="3"/>
  <c r="BG95" i="3"/>
  <c r="BH95" i="3"/>
  <c r="BI95" i="3"/>
  <c r="BJ95" i="3"/>
  <c r="BK95" i="3"/>
  <c r="BM95" i="3"/>
  <c r="BN95" i="3"/>
  <c r="BO95" i="3"/>
  <c r="BP95" i="3"/>
  <c r="BQ95" i="3"/>
  <c r="BR95" i="3"/>
  <c r="BS95" i="3"/>
  <c r="BT95" i="3"/>
  <c r="BL95" i="3"/>
  <c r="BC96" i="3"/>
  <c r="BD96" i="3"/>
  <c r="BE96" i="3"/>
  <c r="BF96" i="3"/>
  <c r="BG96" i="3"/>
  <c r="BH96" i="3"/>
  <c r="BI96" i="3"/>
  <c r="BJ96" i="3"/>
  <c r="BK96" i="3"/>
  <c r="BM96" i="3"/>
  <c r="BN96" i="3"/>
  <c r="BO96" i="3"/>
  <c r="BP96" i="3"/>
  <c r="BQ96" i="3"/>
  <c r="BR96" i="3"/>
  <c r="BS96" i="3"/>
  <c r="BT96" i="3"/>
  <c r="BL96" i="3"/>
  <c r="BC97" i="3"/>
  <c r="BD97" i="3"/>
  <c r="BE97" i="3"/>
  <c r="BF97" i="3"/>
  <c r="BG97" i="3"/>
  <c r="BH97" i="3"/>
  <c r="BI97" i="3"/>
  <c r="BJ97" i="3"/>
  <c r="BK97" i="3"/>
  <c r="BM97" i="3"/>
  <c r="BN97" i="3"/>
  <c r="BO97" i="3"/>
  <c r="BP97" i="3"/>
  <c r="BQ97" i="3"/>
  <c r="BR97" i="3"/>
  <c r="BS97" i="3"/>
  <c r="BT97" i="3"/>
  <c r="BL97" i="3"/>
  <c r="BC98" i="3"/>
  <c r="BD98" i="3"/>
  <c r="BE98" i="3"/>
  <c r="BF98" i="3"/>
  <c r="BG98" i="3"/>
  <c r="BH98" i="3"/>
  <c r="BI98" i="3"/>
  <c r="BJ98" i="3"/>
  <c r="BK98" i="3"/>
  <c r="BM98" i="3"/>
  <c r="BN98" i="3"/>
  <c r="BO98" i="3"/>
  <c r="BP98" i="3"/>
  <c r="BQ98" i="3"/>
  <c r="BR98" i="3"/>
  <c r="BS98" i="3"/>
  <c r="BT98" i="3"/>
  <c r="BL98"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C76" i="9"/>
  <c r="I107" i="40"/>
  <c r="K6" i="4"/>
  <c r="B22" i="31"/>
  <c r="B15" i="74" s="1"/>
  <c r="N56" i="9"/>
  <c r="M56" i="9"/>
  <c r="K56" i="9"/>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9" i="39"/>
  <c r="S18" i="36"/>
  <c r="U18" i="36"/>
  <c r="S21" i="34"/>
  <c r="F103" i="39"/>
  <c r="H29" i="39"/>
  <c r="G103" i="39"/>
  <c r="J29" i="39"/>
  <c r="G66" i="36"/>
  <c r="J18" i="36"/>
  <c r="F68" i="35"/>
  <c r="H18" i="35"/>
  <c r="S18" i="35"/>
  <c r="G68" i="35"/>
  <c r="J18" i="35"/>
  <c r="F77" i="37"/>
  <c r="F84" i="34"/>
  <c r="H21" i="34"/>
  <c r="F83" i="33"/>
  <c r="H21" i="33"/>
  <c r="F21" i="33"/>
  <c r="E83" i="21"/>
  <c r="S21" i="21"/>
  <c r="H1" i="69"/>
  <c r="AB29" i="39"/>
  <c r="U29" i="39"/>
  <c r="AC29" i="39"/>
  <c r="W29" i="39"/>
  <c r="AC18" i="36"/>
  <c r="W18" i="36"/>
  <c r="U21" i="37"/>
  <c r="S21" i="37"/>
  <c r="AB21" i="34"/>
  <c r="U21" i="34"/>
  <c r="U21" i="33"/>
  <c r="AB21" i="33"/>
  <c r="AA21" i="33"/>
  <c r="S21" i="33"/>
  <c r="AB18" i="35"/>
  <c r="U18" i="35"/>
  <c r="AC18" i="35"/>
  <c r="W18" i="35"/>
  <c r="G77" i="37"/>
  <c r="G84" i="34"/>
  <c r="J21" i="34"/>
  <c r="G83" i="33"/>
  <c r="J21" i="33"/>
  <c r="F83" i="21"/>
  <c r="H21" i="21"/>
  <c r="F38" i="69"/>
  <c r="E37" i="69"/>
  <c r="F36" i="69"/>
  <c r="F35" i="69"/>
  <c r="F21" i="69"/>
  <c r="C21" i="69"/>
  <c r="F20" i="69"/>
  <c r="E10" i="69"/>
  <c r="E9" i="69"/>
  <c r="F7" i="69"/>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D46" i="67"/>
  <c r="F61" i="67"/>
  <c r="D24" i="67"/>
  <c r="F21" i="67"/>
  <c r="F20" i="67"/>
  <c r="M19" i="67"/>
  <c r="F18"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G26" i="31"/>
  <c r="C27" i="31"/>
  <c r="E27" i="31"/>
  <c r="G27" i="31"/>
  <c r="C28" i="31"/>
  <c r="E28" i="31"/>
  <c r="G28" i="31"/>
  <c r="C29" i="31"/>
  <c r="E29" i="31"/>
  <c r="G29" i="31"/>
  <c r="C30" i="31"/>
  <c r="E30" i="31"/>
  <c r="G30" i="31"/>
  <c r="C31" i="31"/>
  <c r="E31" i="31"/>
  <c r="G31" i="31"/>
  <c r="C32" i="31"/>
  <c r="E32" i="31"/>
  <c r="G32" i="31"/>
  <c r="C33" i="31"/>
  <c r="E33" i="31"/>
  <c r="G33" i="31"/>
  <c r="C34" i="31"/>
  <c r="E34" i="31"/>
  <c r="G34" i="31"/>
  <c r="C35" i="31"/>
  <c r="E35" i="31"/>
  <c r="G35" i="31"/>
  <c r="C36" i="31"/>
  <c r="E36" i="31"/>
  <c r="G36" i="31"/>
  <c r="C37" i="31"/>
  <c r="E37" i="31"/>
  <c r="G37" i="31"/>
  <c r="C38" i="31"/>
  <c r="E38" i="31"/>
  <c r="G38" i="31"/>
  <c r="C39" i="31"/>
  <c r="E39" i="31"/>
  <c r="G39" i="31"/>
  <c r="C40" i="31"/>
  <c r="E40" i="31"/>
  <c r="G40" i="31"/>
  <c r="C41" i="31"/>
  <c r="E41" i="31"/>
  <c r="G41" i="31"/>
  <c r="C42" i="31"/>
  <c r="E42" i="31"/>
  <c r="G42" i="31"/>
  <c r="C43" i="31"/>
  <c r="E43" i="31"/>
  <c r="G43" i="31"/>
  <c r="C44" i="31"/>
  <c r="E44" i="31"/>
  <c r="G44" i="31"/>
  <c r="C45" i="31"/>
  <c r="E45" i="31"/>
  <c r="G45" i="31"/>
  <c r="C47" i="31"/>
  <c r="E47" i="31"/>
  <c r="G47" i="31"/>
  <c r="C48" i="31"/>
  <c r="E48" i="31"/>
  <c r="G48" i="31"/>
  <c r="C49" i="31"/>
  <c r="E49" i="31"/>
  <c r="G49" i="31"/>
  <c r="C50" i="31"/>
  <c r="E50" i="31"/>
  <c r="G50" i="31"/>
  <c r="C51" i="31"/>
  <c r="E51" i="31"/>
  <c r="G51" i="31"/>
  <c r="C52" i="31"/>
  <c r="E52" i="31"/>
  <c r="G52" i="31"/>
  <c r="C53" i="31"/>
  <c r="E53" i="31"/>
  <c r="G53" i="31"/>
  <c r="C54" i="31"/>
  <c r="E54" i="31"/>
  <c r="G54" i="31"/>
  <c r="C55" i="31"/>
  <c r="E55" i="31"/>
  <c r="G55" i="31"/>
  <c r="C56" i="31"/>
  <c r="E56" i="31"/>
  <c r="G56" i="31"/>
  <c r="C57" i="31"/>
  <c r="E57" i="31"/>
  <c r="G57" i="31"/>
  <c r="C58" i="31"/>
  <c r="E58" i="31"/>
  <c r="G58" i="31"/>
  <c r="C59" i="31"/>
  <c r="E59" i="31"/>
  <c r="G59" i="31"/>
  <c r="C60" i="31"/>
  <c r="E60" i="31"/>
  <c r="G60" i="31"/>
  <c r="C61" i="31"/>
  <c r="E61" i="31"/>
  <c r="G61" i="31"/>
  <c r="C62" i="31"/>
  <c r="E62" i="31"/>
  <c r="G62" i="31"/>
  <c r="C63" i="31"/>
  <c r="E63" i="31"/>
  <c r="G63" i="31"/>
  <c r="C64" i="31"/>
  <c r="E64" i="31"/>
  <c r="G64" i="31"/>
  <c r="C65" i="31"/>
  <c r="E65" i="31"/>
  <c r="G65" i="31"/>
  <c r="C66" i="31"/>
  <c r="E66" i="31"/>
  <c r="G66" i="31"/>
  <c r="C67" i="31"/>
  <c r="E67" i="31"/>
  <c r="G67" i="31"/>
  <c r="C68" i="31"/>
  <c r="E68" i="31"/>
  <c r="G68" i="31"/>
  <c r="C69" i="31"/>
  <c r="E69" i="31"/>
  <c r="G69" i="31"/>
  <c r="C70" i="31"/>
  <c r="E70" i="31"/>
  <c r="G70" i="31"/>
  <c r="C71" i="31"/>
  <c r="E71" i="31"/>
  <c r="G71" i="31"/>
  <c r="C72" i="31"/>
  <c r="E72" i="31"/>
  <c r="G72" i="31"/>
  <c r="C73" i="31"/>
  <c r="E73" i="31"/>
  <c r="G73" i="31"/>
  <c r="C74" i="31"/>
  <c r="E74" i="31"/>
  <c r="G74" i="31"/>
  <c r="C75" i="31"/>
  <c r="E75" i="31"/>
  <c r="G75" i="31"/>
  <c r="C76" i="31"/>
  <c r="E76" i="31"/>
  <c r="G76" i="31"/>
  <c r="C77" i="31"/>
  <c r="E77" i="31"/>
  <c r="G77" i="31"/>
  <c r="C78" i="31"/>
  <c r="E78" i="31"/>
  <c r="G78" i="31"/>
  <c r="C79" i="31"/>
  <c r="E79" i="31"/>
  <c r="G79" i="31"/>
  <c r="C80" i="31"/>
  <c r="E80" i="31"/>
  <c r="G80" i="31"/>
  <c r="C81" i="31"/>
  <c r="E81" i="31"/>
  <c r="G81" i="31"/>
  <c r="C82" i="31"/>
  <c r="E82" i="31"/>
  <c r="G82" i="31"/>
  <c r="C83" i="31"/>
  <c r="E83" i="31"/>
  <c r="G83" i="31"/>
  <c r="C84" i="31"/>
  <c r="E84" i="31"/>
  <c r="G84" i="31"/>
  <c r="C85" i="31"/>
  <c r="E85" i="31"/>
  <c r="G85" i="31"/>
  <c r="C86" i="31"/>
  <c r="E86" i="31"/>
  <c r="G86" i="31"/>
  <c r="C87" i="31"/>
  <c r="E87" i="31"/>
  <c r="G87" i="31"/>
  <c r="C88" i="31"/>
  <c r="E88" i="31"/>
  <c r="G88" i="31"/>
  <c r="C89" i="31"/>
  <c r="E89" i="31"/>
  <c r="G89" i="31"/>
  <c r="C90" i="31"/>
  <c r="E90" i="31"/>
  <c r="G90" i="31"/>
  <c r="C91" i="31"/>
  <c r="E91" i="31"/>
  <c r="G91" i="31"/>
  <c r="C92" i="31"/>
  <c r="E92" i="31"/>
  <c r="G92" i="31"/>
  <c r="C93" i="31"/>
  <c r="E93" i="31"/>
  <c r="G93" i="31"/>
  <c r="C94" i="31"/>
  <c r="E94" i="31"/>
  <c r="G94" i="31"/>
  <c r="C95" i="31"/>
  <c r="E95" i="31"/>
  <c r="G95" i="31"/>
  <c r="C96" i="31"/>
  <c r="E96" i="31"/>
  <c r="G96" i="31"/>
  <c r="C97" i="31"/>
  <c r="E97" i="31"/>
  <c r="G97" i="31"/>
  <c r="C98" i="31"/>
  <c r="E98" i="31"/>
  <c r="G98" i="31"/>
  <c r="C99" i="31"/>
  <c r="E99" i="31"/>
  <c r="G99" i="31"/>
  <c r="C100" i="31"/>
  <c r="E100" i="31"/>
  <c r="G100" i="31"/>
  <c r="C101" i="31"/>
  <c r="E101" i="31"/>
  <c r="G101" i="31"/>
  <c r="C102" i="31"/>
  <c r="E102" i="31"/>
  <c r="G102" i="31"/>
  <c r="C103" i="31"/>
  <c r="E103" i="31"/>
  <c r="G103" i="31"/>
  <c r="C104" i="31"/>
  <c r="E104" i="31"/>
  <c r="G104" i="31"/>
  <c r="C105" i="31"/>
  <c r="E105" i="31"/>
  <c r="G105" i="31"/>
  <c r="C106" i="31"/>
  <c r="E106" i="31"/>
  <c r="G106" i="31"/>
  <c r="C107" i="31"/>
  <c r="E107" i="31"/>
  <c r="G107" i="31"/>
  <c r="C108" i="31"/>
  <c r="E108" i="31"/>
  <c r="G108" i="31"/>
  <c r="C109" i="31"/>
  <c r="E109" i="31"/>
  <c r="G109" i="31"/>
  <c r="C110" i="31"/>
  <c r="E110" i="31"/>
  <c r="G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C46"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s="1"/>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C5" i="11" s="1"/>
  <c r="B2" i="49"/>
  <c r="B23" i="49" s="1"/>
  <c r="B40" i="48"/>
  <c r="B3" i="72"/>
  <c r="I2" i="43"/>
  <c r="N1" i="43"/>
  <c r="F35" i="4"/>
  <c r="J55" i="39"/>
  <c r="H34" i="43"/>
  <c r="H35" i="43"/>
  <c r="H36" i="43"/>
  <c r="H37" i="43"/>
  <c r="H38" i="43"/>
  <c r="H39" i="43"/>
  <c r="A7" i="43"/>
  <c r="F33" i="15"/>
  <c r="F61" i="15"/>
  <c r="M19" i="15"/>
  <c r="M10" i="1"/>
  <c r="O10" i="1"/>
  <c r="B23" i="1"/>
  <c r="B24" i="1"/>
  <c r="B43" i="1"/>
  <c r="D78" i="9"/>
  <c r="E20" i="6"/>
  <c r="E21" i="6"/>
  <c r="K8" i="1"/>
  <c r="M8" i="1" s="1"/>
  <c r="P8" i="1" s="1"/>
  <c r="F23" i="15"/>
  <c r="D24" i="15" s="1"/>
  <c r="O8" i="1"/>
  <c r="M13" i="1"/>
  <c r="O13" i="1" s="1"/>
  <c r="P13" i="1" s="1"/>
  <c r="E22" i="6"/>
  <c r="E23" i="6"/>
  <c r="E24" i="6"/>
  <c r="E25" i="6"/>
  <c r="E26" i="6"/>
  <c r="BC10" i="3"/>
  <c r="BD10" i="3"/>
  <c r="BB10"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46"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46"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D101"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s="1"/>
  <c r="F115" i="40" s="1"/>
  <c r="G115" i="40" s="1"/>
  <c r="H115" i="40" s="1"/>
  <c r="I115" i="40" s="1"/>
  <c r="J115" i="40" s="1"/>
  <c r="K115" i="40" s="1"/>
  <c r="L115" i="40" s="1"/>
  <c r="M115" i="40" s="1"/>
  <c r="D113" i="40"/>
  <c r="E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U25" i="37"/>
  <c r="B110" i="37"/>
  <c r="J39" i="37"/>
  <c r="AC39" i="37"/>
  <c r="B108" i="37"/>
  <c r="C23" i="37"/>
  <c r="C19" i="37"/>
  <c r="C17" i="37"/>
  <c r="C15" i="37"/>
  <c r="B112" i="37"/>
  <c r="E107" i="37"/>
  <c r="D105" i="37"/>
  <c r="E105" i="37"/>
  <c r="D103" i="37"/>
  <c r="W35" i="37"/>
  <c r="F97" i="37"/>
  <c r="E97" i="37"/>
  <c r="D97" i="37"/>
  <c r="C97" i="37"/>
  <c r="D94" i="37"/>
  <c r="M90" i="37"/>
  <c r="L90" i="37"/>
  <c r="K90" i="37"/>
  <c r="J90" i="37"/>
  <c r="I90" i="37"/>
  <c r="H90" i="37"/>
  <c r="G90" i="37"/>
  <c r="F90" i="37"/>
  <c r="E90" i="37"/>
  <c r="D90" i="37"/>
  <c r="C90" i="37"/>
  <c r="D89" i="37"/>
  <c r="B86" i="37"/>
  <c r="B84" i="37"/>
  <c r="H27" i="37"/>
  <c r="U27" i="37"/>
  <c r="B82" i="37"/>
  <c r="F73"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Q30" i="37"/>
  <c r="Z30" i="37"/>
  <c r="Q29" i="37"/>
  <c r="Z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J15" i="40"/>
  <c r="W15" i="40" s="1"/>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S35" i="37"/>
  <c r="E101" i="37"/>
  <c r="F101" i="37"/>
  <c r="G101" i="37"/>
  <c r="H101" i="37"/>
  <c r="I101" i="37"/>
  <c r="J101" i="37"/>
  <c r="K101" i="37"/>
  <c r="L101" i="37"/>
  <c r="M101" i="37"/>
  <c r="W34" i="37"/>
  <c r="S10" i="37"/>
  <c r="AA39"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15" i="40"/>
  <c r="S15" i="40" s="1"/>
  <c r="H15" i="40"/>
  <c r="AB15" i="40" s="1"/>
  <c r="AC11" i="40"/>
  <c r="S12" i="36"/>
  <c r="AA12" i="36"/>
  <c r="AB30" i="36"/>
  <c r="AC34" i="36"/>
  <c r="U30" i="35"/>
  <c r="U33" i="35"/>
  <c r="F29" i="35"/>
  <c r="S29" i="35"/>
  <c r="H29" i="35"/>
  <c r="AB29" i="35"/>
  <c r="U34" i="37"/>
  <c r="W33" i="37"/>
  <c r="S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W29" i="37"/>
  <c r="S29" i="37"/>
  <c r="F105" i="37"/>
  <c r="F10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s="1"/>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H43" i="33"/>
  <c r="AB43" i="33"/>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F31" i="40"/>
  <c r="AA31" i="40"/>
  <c r="H31" i="40"/>
  <c r="U31" i="40"/>
  <c r="F32" i="40"/>
  <c r="S32" i="40"/>
  <c r="H32" i="40"/>
  <c r="AB32" i="40"/>
  <c r="AA41" i="34"/>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E94" i="37"/>
  <c r="S31" i="37"/>
  <c r="F12" i="39"/>
  <c r="S12" i="39"/>
  <c r="J42" i="39"/>
  <c r="AC42" i="39"/>
  <c r="AC12" i="37"/>
  <c r="F94" i="37"/>
  <c r="G94" i="37"/>
  <c r="H94" i="37"/>
  <c r="I94" i="37"/>
  <c r="J94" i="37"/>
  <c r="K94" i="37"/>
  <c r="L94" i="37"/>
  <c r="M94" i="37"/>
  <c r="U31" i="37"/>
  <c r="F71" i="37"/>
  <c r="G71" i="37"/>
  <c r="W15" i="37"/>
  <c r="U12" i="37"/>
  <c r="AT6" i="3"/>
  <c r="H5" i="3"/>
  <c r="AA25" i="21"/>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B54" i="72"/>
  <c r="H103" i="9"/>
  <c r="D8" i="53"/>
  <c r="B16" i="53"/>
  <c r="B33" i="72"/>
  <c r="C7" i="37"/>
  <c r="C7" i="34"/>
  <c r="C7" i="36"/>
  <c r="A118" i="9"/>
  <c r="A4" i="52"/>
  <c r="B41" i="72"/>
  <c r="J11" i="39"/>
  <c r="W11" i="39"/>
  <c r="F11" i="39"/>
  <c r="AA11" i="39"/>
  <c r="A12" i="52"/>
  <c r="B56" i="72"/>
  <c r="S11" i="39"/>
  <c r="G4" i="4"/>
  <c r="I4" i="4"/>
  <c r="K5" i="4"/>
  <c r="B47" i="48" s="1"/>
  <c r="A2" i="9"/>
  <c r="N2" i="43"/>
  <c r="F59" i="43"/>
  <c r="BO5" i="3"/>
  <c r="BM5" i="3"/>
  <c r="F29" i="6"/>
  <c r="BJ5" i="3"/>
  <c r="BH5" i="3"/>
  <c r="BF5" i="3"/>
  <c r="BD5" i="3"/>
  <c r="BQ5" i="3"/>
  <c r="AC5" i="3"/>
  <c r="BS5" i="3"/>
  <c r="BP5" i="3"/>
  <c r="BN5" i="3"/>
  <c r="BK5" i="3"/>
  <c r="BI5" i="3"/>
  <c r="BG5" i="3"/>
  <c r="BE5" i="3"/>
  <c r="BC5" i="3"/>
  <c r="BT5" i="3"/>
  <c r="BB5" i="3"/>
  <c r="BR5" i="3"/>
  <c r="G28" i="6"/>
  <c r="N4" i="43"/>
  <c r="F81" i="43"/>
  <c r="H83" i="43"/>
  <c r="F48" i="43"/>
  <c r="H52" i="43"/>
  <c r="N7" i="43"/>
  <c r="F70" i="43"/>
  <c r="H73" i="43"/>
  <c r="M6" i="43"/>
  <c r="M11"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C33" i="40"/>
  <c r="H35" i="40"/>
  <c r="AB35" i="40" s="1"/>
  <c r="AC29" i="35"/>
  <c r="W29" i="35"/>
  <c r="U35" i="37"/>
  <c r="AC14" i="35"/>
  <c r="H20" i="35"/>
  <c r="U20" i="35"/>
  <c r="F20" i="35"/>
  <c r="AA20" i="35"/>
  <c r="AB23" i="35"/>
  <c r="AB29" i="36"/>
  <c r="U29" i="36"/>
  <c r="F96" i="37"/>
  <c r="H27" i="40"/>
  <c r="U27" i="40" s="1"/>
  <c r="J27" i="40"/>
  <c r="AC27" i="40" s="1"/>
  <c r="F27" i="40"/>
  <c r="S27" i="40" s="1"/>
  <c r="J30" i="40"/>
  <c r="AC30" i="40"/>
  <c r="F30" i="40"/>
  <c r="AA30" i="40"/>
  <c r="S31" i="39"/>
  <c r="S11" i="40"/>
  <c r="E98" i="40"/>
  <c r="J28" i="40" s="1"/>
  <c r="F98" i="40"/>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G96" i="37"/>
  <c r="H96" i="37"/>
  <c r="I96" i="37"/>
  <c r="J96" i="37"/>
  <c r="K96" i="37"/>
  <c r="L96" i="37"/>
  <c r="M96" i="37"/>
  <c r="F20" i="36"/>
  <c r="AA20" i="36"/>
  <c r="J33" i="34"/>
  <c r="AC33" i="34"/>
  <c r="H23" i="39"/>
  <c r="U23" i="39"/>
  <c r="D48" i="9"/>
  <c r="M52" i="9"/>
  <c r="H86" i="43"/>
  <c r="H82" i="43"/>
  <c r="H87" i="43"/>
  <c r="K9" i="1"/>
  <c r="M9" i="1" s="1"/>
  <c r="O9" i="1"/>
  <c r="P9" i="1" s="1"/>
  <c r="AE9" i="1"/>
  <c r="D93" i="9"/>
  <c r="G29" i="6"/>
  <c r="E29" i="6"/>
  <c r="AC26" i="33"/>
  <c r="W26" i="33"/>
  <c r="W27" i="34"/>
  <c r="AC27" i="34"/>
  <c r="AB34" i="36"/>
  <c r="U34" i="36"/>
  <c r="AB33" i="36"/>
  <c r="U33" i="36"/>
  <c r="AC12" i="39"/>
  <c r="W12" i="39"/>
  <c r="AC39" i="40"/>
  <c r="W39" i="40"/>
  <c r="W12" i="33"/>
  <c r="AC12" i="33"/>
  <c r="AA32" i="36"/>
  <c r="S32" i="36"/>
  <c r="AA39" i="34"/>
  <c r="F28" i="6"/>
  <c r="U30" i="33"/>
  <c r="AC13" i="34"/>
  <c r="AA47" i="34"/>
  <c r="W28" i="37"/>
  <c r="S19" i="39"/>
  <c r="F12" i="33"/>
  <c r="H12" i="39"/>
  <c r="AB12" i="39"/>
  <c r="F39" i="40"/>
  <c r="S12" i="1"/>
  <c r="R12" i="1"/>
  <c r="B12" i="1"/>
  <c r="E12" i="1"/>
  <c r="S10" i="1"/>
  <c r="AQ10" i="1" s="1"/>
  <c r="R10" i="1"/>
  <c r="B10" i="1"/>
  <c r="E10" i="1"/>
  <c r="D1" i="66"/>
  <c r="E10" i="66"/>
  <c r="K12" i="1"/>
  <c r="M12" i="1" s="1"/>
  <c r="O12" i="1" s="1"/>
  <c r="P12" i="1" s="1"/>
  <c r="S13" i="1"/>
  <c r="AR13" i="1" s="1"/>
  <c r="R13" i="1"/>
  <c r="S11" i="1"/>
  <c r="AQ11" i="1" s="1"/>
  <c r="R11" i="1"/>
  <c r="S9" i="1"/>
  <c r="AR9" i="1" s="1"/>
  <c r="R9" i="1"/>
  <c r="C42" i="1"/>
  <c r="H100" i="43"/>
  <c r="C30" i="66"/>
  <c r="E26" i="66"/>
  <c r="AC34" i="33"/>
  <c r="AA34" i="33"/>
  <c r="B41" i="1"/>
  <c r="F53" i="9"/>
  <c r="J100" i="43"/>
  <c r="AB37" i="40"/>
  <c r="S35" i="40"/>
  <c r="W38" i="40"/>
  <c r="AA32" i="40"/>
  <c r="AC15" i="40"/>
  <c r="AB27" i="40"/>
  <c r="S30" i="40"/>
  <c r="AA19"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U29" i="37"/>
  <c r="S32" i="37"/>
  <c r="S36" i="37"/>
  <c r="AA38" i="37"/>
  <c r="U32" i="37"/>
  <c r="W38" i="37"/>
  <c r="W39" i="37"/>
  <c r="S37" i="37"/>
  <c r="W17" i="37"/>
  <c r="G73" i="37"/>
  <c r="F75" i="37"/>
  <c r="F79"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62" i="67"/>
  <c r="M20" i="67"/>
  <c r="F34" i="15"/>
  <c r="F62" i="15"/>
  <c r="E11" i="6"/>
  <c r="E61" i="39" s="1"/>
  <c r="G30" i="6"/>
  <c r="G31" i="6"/>
  <c r="J56" i="9"/>
  <c r="J57" i="9"/>
  <c r="A24" i="51"/>
  <c r="B18" i="72" s="1"/>
  <c r="U29" i="34"/>
  <c r="E5" i="6"/>
  <c r="D9" i="68" s="1"/>
  <c r="C9" i="68" s="1"/>
  <c r="P10" i="1"/>
  <c r="E32" i="6"/>
  <c r="G1" i="68"/>
  <c r="K1" i="12"/>
  <c r="F30" i="6"/>
  <c r="E28" i="6"/>
  <c r="E56" i="40"/>
  <c r="AR12" i="1"/>
  <c r="AQ12" i="1"/>
  <c r="T12" i="1"/>
  <c r="AR10" i="1"/>
  <c r="T10" i="1"/>
  <c r="E19" i="69"/>
  <c r="E19" i="68"/>
  <c r="E19" i="11"/>
  <c r="G41" i="69"/>
  <c r="G22" i="69"/>
  <c r="G41" i="68"/>
  <c r="G22" i="68"/>
  <c r="G27" i="12"/>
  <c r="G26" i="12"/>
  <c r="G41" i="11"/>
  <c r="G22" i="11"/>
  <c r="G25" i="12"/>
  <c r="E81" i="43"/>
  <c r="B79" i="43"/>
  <c r="E48" i="43"/>
  <c r="B46" i="43"/>
  <c r="E70" i="43"/>
  <c r="B68"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s="1"/>
  <c r="C48" i="35"/>
  <c r="D48" i="35"/>
  <c r="C58" i="21"/>
  <c r="D58" i="21"/>
  <c r="C94" i="9"/>
  <c r="C92" i="9"/>
  <c r="H62" i="43"/>
  <c r="H66" i="43"/>
  <c r="H61" i="43"/>
  <c r="H65" i="43"/>
  <c r="H60" i="43"/>
  <c r="H64" i="43"/>
  <c r="H59" i="43"/>
  <c r="H63" i="43"/>
  <c r="H67" i="43"/>
  <c r="H55" i="43"/>
  <c r="H51" i="43"/>
  <c r="H56" i="43"/>
  <c r="H76" i="43"/>
  <c r="H72" i="43"/>
  <c r="H77" i="43"/>
  <c r="L20" i="6"/>
  <c r="B6" i="1"/>
  <c r="E6" i="1" s="1"/>
  <c r="S8" i="1"/>
  <c r="AQ8" i="1" s="1"/>
  <c r="K11" i="1"/>
  <c r="M11" i="1" s="1"/>
  <c r="O11" i="1"/>
  <c r="P11" i="1" s="1"/>
  <c r="AP6" i="1"/>
  <c r="B9" i="1"/>
  <c r="E9" i="1"/>
  <c r="K7" i="1"/>
  <c r="M7" i="1" s="1"/>
  <c r="O7" i="1" s="1"/>
  <c r="P7" i="1" s="1"/>
  <c r="G1" i="15"/>
  <c r="G1" i="69"/>
  <c r="G1" i="67"/>
  <c r="U32" i="40"/>
  <c r="AB31" i="40"/>
  <c r="S37" i="40"/>
  <c r="W34" i="40"/>
  <c r="W19" i="40"/>
  <c r="W27" i="40"/>
  <c r="AC14" i="40"/>
  <c r="S13" i="40"/>
  <c r="S33" i="40"/>
  <c r="U11"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W36" i="37"/>
  <c r="S27" i="37"/>
  <c r="S28" i="37"/>
  <c r="W32" i="37"/>
  <c r="U36" i="37"/>
  <c r="S40" i="37"/>
  <c r="U38" i="37"/>
  <c r="S33" i="37"/>
  <c r="AA11" i="37"/>
  <c r="U1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B5" i="49"/>
  <c r="E9" i="49"/>
  <c r="AQ13" i="1"/>
  <c r="F30" i="68"/>
  <c r="C30" i="68"/>
  <c r="F30" i="11"/>
  <c r="C48" i="11"/>
  <c r="F28" i="67"/>
  <c r="C28" i="67"/>
  <c r="F31" i="12"/>
  <c r="F52" i="9"/>
  <c r="M18" i="67"/>
  <c r="F32" i="67"/>
  <c r="F60" i="67"/>
  <c r="F30" i="69"/>
  <c r="C48" i="69"/>
  <c r="F32" i="15"/>
  <c r="F60" i="15"/>
  <c r="M18" i="15"/>
  <c r="F28" i="15"/>
  <c r="AQ9" i="1"/>
  <c r="D68" i="39"/>
  <c r="D70" i="39"/>
  <c r="C28" i="15"/>
  <c r="E30" i="6"/>
  <c r="K15" i="1"/>
  <c r="T9" i="1"/>
  <c r="T13" i="1"/>
  <c r="C48" i="68"/>
  <c r="C77" i="9"/>
  <c r="C74" i="9"/>
  <c r="C30" i="69"/>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S17" i="37"/>
  <c r="G75" i="37"/>
  <c r="S19"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O14" i="1"/>
  <c r="BL5" i="3"/>
  <c r="J59" i="9"/>
  <c r="J61" i="9"/>
  <c r="AR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AP7" i="1"/>
  <c r="AB45" i="21"/>
  <c r="AC33" i="21"/>
  <c r="W33" i="21"/>
  <c r="S33" i="21"/>
  <c r="AA33" i="21"/>
  <c r="W32" i="21"/>
  <c r="AC32" i="21"/>
  <c r="AB9" i="21"/>
  <c r="U9" i="21"/>
  <c r="AA32" i="21"/>
  <c r="S32" i="21"/>
  <c r="W9" i="21"/>
  <c r="AC9" i="21"/>
  <c r="AB32" i="21"/>
  <c r="U32" i="21"/>
  <c r="AA10" i="21"/>
  <c r="S10" i="21"/>
  <c r="F31" i="15"/>
  <c r="M17" i="15"/>
  <c r="F59" i="67"/>
  <c r="F59" i="15"/>
  <c r="F31" i="67"/>
  <c r="M17" i="67"/>
  <c r="T7" i="1"/>
  <c r="AR7" i="1"/>
  <c r="C30" i="11"/>
  <c r="A18" i="62"/>
  <c r="B64" i="72"/>
  <c r="E36" i="43"/>
  <c r="U32" i="39"/>
  <c r="AB32" i="39"/>
  <c r="AC32" i="39"/>
  <c r="W32" i="39"/>
  <c r="W19" i="37"/>
  <c r="W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F1" i="15"/>
  <c r="Q52" i="15"/>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AA7" i="36"/>
  <c r="R36" i="36"/>
  <c r="E36" i="36"/>
  <c r="E40" i="36"/>
  <c r="F40" i="36"/>
  <c r="AC11" i="37"/>
  <c r="W11" i="37"/>
  <c r="AB7" i="37"/>
  <c r="W11" i="34"/>
  <c r="AC11" i="34"/>
  <c r="AB7" i="36"/>
  <c r="T36" i="36"/>
  <c r="R7" i="1"/>
  <c r="J7" i="21"/>
  <c r="AC7" i="21"/>
  <c r="V48" i="21"/>
  <c r="I48" i="21"/>
  <c r="F7" i="34"/>
  <c r="S7" i="34"/>
  <c r="AB7" i="35"/>
  <c r="T38" i="35"/>
  <c r="G38" i="35"/>
  <c r="G42" i="35"/>
  <c r="H42" i="35"/>
  <c r="U7" i="35"/>
  <c r="S7" i="37"/>
  <c r="AA7" i="37"/>
  <c r="F7" i="21"/>
  <c r="S7" i="21"/>
  <c r="AA7" i="35"/>
  <c r="R38" i="35"/>
  <c r="S7" i="35"/>
  <c r="W7" i="36"/>
  <c r="AC7" i="36"/>
  <c r="V36" i="36"/>
  <c r="I36" i="36"/>
  <c r="I41" i="36"/>
  <c r="J41" i="36"/>
  <c r="AC7" i="35"/>
  <c r="V38" i="35"/>
  <c r="I38" i="35"/>
  <c r="W7" i="35"/>
  <c r="H7" i="21"/>
  <c r="AB7" i="21"/>
  <c r="T48" i="21"/>
  <c r="H7" i="34"/>
  <c r="U7" i="34"/>
  <c r="W7" i="37"/>
  <c r="AC7" i="37"/>
  <c r="W7" i="34"/>
  <c r="AC7" i="34"/>
  <c r="V49" i="34"/>
  <c r="I49" i="34"/>
  <c r="I53" i="34"/>
  <c r="J53" i="34"/>
  <c r="AA7" i="34"/>
  <c r="R49" i="34"/>
  <c r="F63" i="40"/>
  <c r="E65" i="40"/>
  <c r="E70" i="39"/>
  <c r="F70" i="39"/>
  <c r="G36" i="36"/>
  <c r="R37" i="36"/>
  <c r="AB7" i="34"/>
  <c r="T49" i="34"/>
  <c r="G49" i="34"/>
  <c r="G53" i="34"/>
  <c r="H53" i="34"/>
  <c r="W7" i="21"/>
  <c r="AA7" i="21"/>
  <c r="R48" i="21"/>
  <c r="E48" i="21"/>
  <c r="E52" i="21"/>
  <c r="F52" i="21"/>
  <c r="R8" i="1"/>
  <c r="U7" i="21"/>
  <c r="I52" i="21"/>
  <c r="J52" i="21"/>
  <c r="I40" i="36"/>
  <c r="J40" i="36"/>
  <c r="G43" i="35"/>
  <c r="H43" i="35"/>
  <c r="I42" i="35"/>
  <c r="J42" i="35"/>
  <c r="R39" i="35"/>
  <c r="E38" i="35"/>
  <c r="I43" i="35"/>
  <c r="J43" i="35"/>
  <c r="G63" i="40"/>
  <c r="F65" i="40"/>
  <c r="G48" i="21"/>
  <c r="R50" i="34"/>
  <c r="E49" i="34"/>
  <c r="G70" i="39"/>
  <c r="R49" i="21"/>
  <c r="C48" i="21"/>
  <c r="G54" i="34"/>
  <c r="H54" i="34"/>
  <c r="I53" i="21"/>
  <c r="J53" i="21"/>
  <c r="C37" i="36"/>
  <c r="C36" i="36"/>
  <c r="G40" i="36"/>
  <c r="H40" i="36"/>
  <c r="E41" i="36"/>
  <c r="F41" i="36"/>
  <c r="G41" i="36"/>
  <c r="H41" i="36"/>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F7" i="40"/>
  <c r="AA7" i="40" s="1"/>
  <c r="H7" i="40"/>
  <c r="AB7" i="40" s="1"/>
  <c r="J7" i="40"/>
  <c r="W7" i="40" s="1"/>
  <c r="AE7" i="1"/>
  <c r="AE8" i="1"/>
  <c r="AG6" i="1"/>
  <c r="H109" i="9"/>
  <c r="H110" i="9"/>
  <c r="D18" i="53" s="1"/>
  <c r="B35" i="72" s="1"/>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s="1"/>
  <c r="I51" i="39" s="1"/>
  <c r="J51" i="39" s="1"/>
  <c r="F7" i="39"/>
  <c r="S7" i="39"/>
  <c r="H7" i="39"/>
  <c r="AB7" i="39"/>
  <c r="T47" i="39"/>
  <c r="G47" i="39" s="1"/>
  <c r="W7" i="39"/>
  <c r="U7" i="39"/>
  <c r="AA7" i="39"/>
  <c r="R47" i="39"/>
  <c r="R48" i="39" s="1"/>
  <c r="H112" i="9"/>
  <c r="D21" i="53"/>
  <c r="B39" i="72"/>
  <c r="H111" i="9"/>
  <c r="D126" i="9"/>
  <c r="D19" i="53"/>
  <c r="D59" i="9"/>
  <c r="M55" i="9"/>
  <c r="B38" i="72"/>
  <c r="D20" i="53"/>
  <c r="B40" i="72"/>
  <c r="I14" i="74"/>
  <c r="B8" i="74"/>
  <c r="D127" i="9"/>
  <c r="D13" i="52"/>
  <c r="D12" i="52"/>
  <c r="AD3" i="71"/>
  <c r="P21" i="43"/>
  <c r="P22" i="43"/>
  <c r="P23" i="43"/>
  <c r="B71" i="39"/>
  <c r="P24" i="43"/>
  <c r="B66" i="40"/>
  <c r="P25" i="43"/>
  <c r="D6" i="73"/>
  <c r="M6" i="67"/>
  <c r="F9" i="67"/>
  <c r="B9" i="76"/>
  <c r="M6" i="15"/>
  <c r="M8" i="15"/>
  <c r="E9" i="76"/>
  <c r="D3" i="73"/>
  <c r="M26" i="67"/>
  <c r="L47" i="67"/>
  <c r="M27" i="67"/>
  <c r="AO7" i="1"/>
  <c r="F9" i="15"/>
  <c r="E11" i="76"/>
  <c r="M23" i="15"/>
  <c r="M29" i="15"/>
  <c r="D2" i="37"/>
  <c r="F13" i="67"/>
  <c r="F40" i="67"/>
  <c r="F5" i="73"/>
  <c r="M22" i="15"/>
  <c r="E7" i="76"/>
  <c r="F42" i="15"/>
  <c r="D2" i="36"/>
  <c r="C13" i="12"/>
  <c r="F4" i="73"/>
  <c r="F6" i="73"/>
  <c r="L47" i="15"/>
  <c r="E13" i="76"/>
  <c r="M24" i="67"/>
  <c r="L48" i="15"/>
  <c r="B10" i="76"/>
  <c r="B13" i="76"/>
  <c r="AO8" i="1"/>
  <c r="F8" i="67"/>
  <c r="F7" i="15"/>
  <c r="F8" i="15"/>
  <c r="D9" i="69"/>
  <c r="M8" i="67"/>
  <c r="F38" i="15"/>
  <c r="B7" i="76"/>
  <c r="M21" i="15"/>
  <c r="D2" i="21"/>
  <c r="M24" i="15"/>
  <c r="M27" i="15"/>
  <c r="F38" i="67"/>
  <c r="D7" i="73"/>
  <c r="B8" i="76"/>
  <c r="D2" i="35"/>
  <c r="L48" i="67"/>
  <c r="AO13" i="1"/>
  <c r="F7" i="73"/>
  <c r="D2" i="34"/>
  <c r="M22" i="67"/>
  <c r="F40" i="15"/>
  <c r="E2" i="69"/>
  <c r="E12" i="76"/>
  <c r="C14" i="15"/>
  <c r="F35" i="15"/>
  <c r="M28" i="15"/>
  <c r="M23" i="67"/>
  <c r="F26" i="15"/>
  <c r="M9" i="67"/>
  <c r="F37" i="15"/>
  <c r="C36" i="69"/>
  <c r="F37" i="67"/>
  <c r="F26" i="67"/>
  <c r="E10" i="76"/>
  <c r="AO9" i="1"/>
  <c r="F6" i="15"/>
  <c r="F16" i="15"/>
  <c r="B11" i="76"/>
  <c r="AO10" i="1"/>
  <c r="F36" i="15"/>
  <c r="M26" i="15"/>
  <c r="F20" i="31"/>
  <c r="E2" i="68"/>
  <c r="F43" i="15"/>
  <c r="F3" i="73"/>
  <c r="M9" i="15"/>
  <c r="D2" i="33"/>
  <c r="F16" i="67"/>
  <c r="E8" i="76"/>
  <c r="J15" i="67"/>
  <c r="M28" i="67"/>
  <c r="F42" i="67"/>
  <c r="C76" i="67"/>
  <c r="AO12" i="1"/>
  <c r="D4" i="73"/>
  <c r="C76" i="15"/>
  <c r="J15" i="15"/>
  <c r="D5" i="73"/>
  <c r="F13" i="15"/>
  <c r="F36" i="67"/>
  <c r="B12" i="76"/>
  <c r="F41" i="15"/>
  <c r="F6" i="67"/>
  <c r="AO11" i="1"/>
  <c r="B8" i="49" l="1"/>
  <c r="B11" i="49"/>
  <c r="B14" i="49"/>
  <c r="E11" i="49"/>
  <c r="B6" i="49"/>
  <c r="E21" i="49"/>
  <c r="B9" i="49"/>
  <c r="E22" i="49"/>
  <c r="B7" i="49"/>
  <c r="C4" i="4" s="1"/>
  <c r="C9" i="69"/>
  <c r="F113" i="40"/>
  <c r="G113" i="40" s="1"/>
  <c r="H113" i="40" s="1"/>
  <c r="I113" i="40" s="1"/>
  <c r="J113" i="40" s="1"/>
  <c r="K113" i="40" s="1"/>
  <c r="L113" i="40" s="1"/>
  <c r="M113" i="40" s="1"/>
  <c r="H36" i="40"/>
  <c r="AB36" i="40" s="1"/>
  <c r="F36" i="40"/>
  <c r="J36" i="40"/>
  <c r="AC28" i="40"/>
  <c r="W28" i="40"/>
  <c r="F28" i="40"/>
  <c r="H28" i="40"/>
  <c r="U28" i="40" s="1"/>
  <c r="F94" i="40"/>
  <c r="G94" i="40" s="1"/>
  <c r="F25" i="40"/>
  <c r="AA25" i="40" s="1"/>
  <c r="H25" i="40"/>
  <c r="J25" i="40"/>
  <c r="AC25" i="40" s="1"/>
  <c r="H23" i="40"/>
  <c r="AB23" i="40" s="1"/>
  <c r="F23" i="40"/>
  <c r="AA23" i="40" s="1"/>
  <c r="F92" i="40"/>
  <c r="G92" i="40" s="1"/>
  <c r="J23" i="40"/>
  <c r="J21" i="40"/>
  <c r="H21" i="40"/>
  <c r="AB21" i="40" s="1"/>
  <c r="F90" i="40"/>
  <c r="G90" i="40" s="1"/>
  <c r="F21" i="40"/>
  <c r="AA21" i="40" s="1"/>
  <c r="H17" i="40"/>
  <c r="J17" i="40"/>
  <c r="F86" i="40"/>
  <c r="G86" i="40" s="1"/>
  <c r="F17" i="40"/>
  <c r="G34" i="43"/>
  <c r="I34" i="43" s="1"/>
  <c r="E34" i="43"/>
  <c r="AA27" i="40"/>
  <c r="W25" i="40"/>
  <c r="S25" i="40"/>
  <c r="S23" i="40"/>
  <c r="U23" i="40"/>
  <c r="U21" i="40"/>
  <c r="S21" i="40"/>
  <c r="U15" i="40"/>
  <c r="AA15" i="40"/>
  <c r="AC9" i="40"/>
  <c r="A2" i="78"/>
  <c r="A118" i="78"/>
  <c r="AC7" i="40"/>
  <c r="S7" i="40"/>
  <c r="AB28" i="40"/>
  <c r="W37" i="40"/>
  <c r="U36" i="40"/>
  <c r="U35" i="40"/>
  <c r="W35" i="40"/>
  <c r="U9" i="40"/>
  <c r="AA9" i="40"/>
  <c r="U7" i="40"/>
  <c r="G35" i="43"/>
  <c r="I35" i="43" s="1"/>
  <c r="E35" i="43"/>
  <c r="C39" i="43"/>
  <c r="C37" i="43"/>
  <c r="T11" i="43"/>
  <c r="V11" i="43" s="1"/>
  <c r="T14" i="43"/>
  <c r="V14" i="43" s="1"/>
  <c r="T12" i="43"/>
  <c r="V12" i="43" s="1"/>
  <c r="T9" i="43"/>
  <c r="V9" i="43" s="1"/>
  <c r="T8" i="43"/>
  <c r="V8" i="43" s="1"/>
  <c r="T15" i="43"/>
  <c r="V15" i="43" s="1"/>
  <c r="T13" i="43"/>
  <c r="V13" i="43" s="1"/>
  <c r="C38" i="43"/>
  <c r="T16" i="43"/>
  <c r="V16" i="43" s="1"/>
  <c r="T10" i="43"/>
  <c r="V10" i="43" s="1"/>
  <c r="P14" i="1"/>
  <c r="BA5" i="3"/>
  <c r="E27" i="6" s="1"/>
  <c r="AR11" i="1"/>
  <c r="T11" i="1"/>
  <c r="D9" i="11"/>
  <c r="C9" i="11" s="1"/>
  <c r="AZ5" i="3"/>
  <c r="E3" i="6" s="1"/>
  <c r="G52" i="39"/>
  <c r="H52" i="39" s="1"/>
  <c r="F30" i="37"/>
  <c r="J30" i="37"/>
  <c r="H30" i="37"/>
  <c r="E8" i="6"/>
  <c r="E12" i="6"/>
  <c r="E10" i="6"/>
  <c r="E14" i="6"/>
  <c r="G5" i="3"/>
  <c r="B3" i="3" s="1"/>
  <c r="I6" i="3" s="1"/>
  <c r="E19" i="6"/>
  <c r="B29" i="1"/>
  <c r="C8" i="68" s="1"/>
  <c r="C5" i="68" s="1"/>
  <c r="E4" i="49"/>
  <c r="B4" i="49"/>
  <c r="E5" i="49"/>
  <c r="E10" i="49"/>
  <c r="E8" i="49"/>
  <c r="E16" i="49"/>
  <c r="B13" i="49"/>
  <c r="E4" i="4" s="1"/>
  <c r="B5" i="62" s="1"/>
  <c r="B73" i="72" s="1"/>
  <c r="E6" i="49"/>
  <c r="E7" i="49"/>
  <c r="B16" i="49"/>
  <c r="B10" i="49"/>
  <c r="C48" i="39"/>
  <c r="C47" i="39"/>
  <c r="E47" i="39"/>
  <c r="I52" i="39" s="1"/>
  <c r="J52" i="39" s="1"/>
  <c r="G51" i="39"/>
  <c r="H51" i="39" s="1"/>
  <c r="I4" i="6"/>
  <c r="G3" i="43" s="1"/>
  <c r="AY6" i="3"/>
  <c r="E13" i="6"/>
  <c r="E15" i="6"/>
  <c r="B7" i="70"/>
  <c r="F69" i="15"/>
  <c r="B2" i="35"/>
  <c r="B3" i="35" s="1"/>
  <c r="B2" i="36"/>
  <c r="B3" i="36" s="1"/>
  <c r="B8" i="70"/>
  <c r="C18" i="15"/>
  <c r="C15" i="15"/>
  <c r="J20" i="15"/>
  <c r="L56" i="15"/>
  <c r="I54" i="15"/>
  <c r="J57" i="15"/>
  <c r="J55" i="15" s="1"/>
  <c r="J58" i="15" s="1"/>
  <c r="Q50" i="15" s="1"/>
  <c r="C27" i="15"/>
  <c r="L58" i="67"/>
  <c r="L59" i="67"/>
  <c r="N59" i="67"/>
  <c r="M59" i="67"/>
  <c r="F51" i="15"/>
  <c r="F68" i="15"/>
  <c r="F64" i="15"/>
  <c r="B10" i="70"/>
  <c r="B11" i="70"/>
  <c r="E20" i="43"/>
  <c r="F63" i="15"/>
  <c r="C62" i="15" s="1"/>
  <c r="C34" i="15"/>
  <c r="F71" i="15"/>
  <c r="Q71" i="15"/>
  <c r="M59" i="15"/>
  <c r="N59" i="15"/>
  <c r="L58" i="15"/>
  <c r="L59" i="15"/>
  <c r="F65" i="15"/>
  <c r="C6" i="15"/>
  <c r="F66" i="15"/>
  <c r="M7" i="15"/>
  <c r="J6" i="15" s="1"/>
  <c r="F50" i="15"/>
  <c r="B12" i="70"/>
  <c r="B13" i="70"/>
  <c r="B9" i="70"/>
  <c r="Q71" i="67"/>
  <c r="F68" i="67"/>
  <c r="C27" i="67"/>
  <c r="I1" i="73"/>
  <c r="B39" i="1" s="1"/>
  <c r="F51" i="67"/>
  <c r="J57" i="67"/>
  <c r="J55" i="67" s="1"/>
  <c r="J58" i="67" s="1"/>
  <c r="Q50" i="67" s="1"/>
  <c r="J53" i="67"/>
  <c r="L56" i="67"/>
  <c r="L57" i="67"/>
  <c r="I54" i="67"/>
  <c r="L60" i="67"/>
  <c r="F70" i="67"/>
  <c r="F66" i="67"/>
  <c r="F65" i="67"/>
  <c r="F64" i="67"/>
  <c r="K1" i="73"/>
  <c r="B4" i="62"/>
  <c r="B71" i="72" s="1"/>
  <c r="C16" i="15"/>
  <c r="C11" i="12"/>
  <c r="C17" i="15"/>
  <c r="G1" i="73"/>
  <c r="D19" i="12"/>
  <c r="W36" i="40" l="1"/>
  <c r="AC36" i="40"/>
  <c r="AA36" i="40"/>
  <c r="S36" i="40"/>
  <c r="AA28" i="40"/>
  <c r="S28" i="40"/>
  <c r="AB25" i="40"/>
  <c r="U25" i="40"/>
  <c r="AC23" i="40"/>
  <c r="W23" i="40"/>
  <c r="W21" i="40"/>
  <c r="AC21" i="40"/>
  <c r="AA17" i="40"/>
  <c r="S17" i="40"/>
  <c r="W17" i="40"/>
  <c r="AC17" i="40"/>
  <c r="U17" i="40"/>
  <c r="AB17" i="40"/>
  <c r="C19" i="12"/>
  <c r="G38" i="43"/>
  <c r="I38" i="43" s="1"/>
  <c r="E38" i="43"/>
  <c r="E37" i="43"/>
  <c r="G37" i="43"/>
  <c r="I37" i="43" s="1"/>
  <c r="E39" i="43"/>
  <c r="G39" i="43"/>
  <c r="I39" i="43" s="1"/>
  <c r="K4" i="4"/>
  <c r="B46" i="48" s="1"/>
  <c r="B4" i="72" s="1"/>
  <c r="C15" i="12"/>
  <c r="C12" i="12"/>
  <c r="D3" i="34"/>
  <c r="B2" i="34" s="1"/>
  <c r="B3" i="34" s="1"/>
  <c r="D3" i="33"/>
  <c r="B2" i="33" s="1"/>
  <c r="B3" i="33" s="1"/>
  <c r="E6" i="6"/>
  <c r="C17" i="4"/>
  <c r="B4" i="52" s="1"/>
  <c r="B43" i="72" s="1"/>
  <c r="D37" i="11"/>
  <c r="D3" i="37"/>
  <c r="D3" i="21"/>
  <c r="B2" i="21" s="1"/>
  <c r="B3" i="21" s="1"/>
  <c r="D19" i="11"/>
  <c r="C19" i="11" s="1"/>
  <c r="C20" i="11" s="1"/>
  <c r="K19" i="6"/>
  <c r="K20" i="6"/>
  <c r="M20" i="6" s="1"/>
  <c r="I20" i="6" s="1"/>
  <c r="S20" i="6" s="1"/>
  <c r="K24" i="6"/>
  <c r="M24" i="6" s="1"/>
  <c r="I24" i="6" s="1"/>
  <c r="S24" i="6" s="1"/>
  <c r="E31" i="6"/>
  <c r="K26" i="6"/>
  <c r="M26" i="6" s="1"/>
  <c r="I26" i="6" s="1"/>
  <c r="S26" i="6" s="1"/>
  <c r="K25" i="6"/>
  <c r="M25" i="6" s="1"/>
  <c r="I25" i="6" s="1"/>
  <c r="S25" i="6" s="1"/>
  <c r="K21" i="6"/>
  <c r="M21" i="6" s="1"/>
  <c r="I21" i="6" s="1"/>
  <c r="S21" i="6" s="1"/>
  <c r="K22" i="6"/>
  <c r="M22" i="6" s="1"/>
  <c r="I22" i="6" s="1"/>
  <c r="S22" i="6" s="1"/>
  <c r="K23" i="6"/>
  <c r="M23" i="6" s="1"/>
  <c r="I23" i="6" s="1"/>
  <c r="S23" i="6" s="1"/>
  <c r="M18" i="78"/>
  <c r="B118" i="78" s="1"/>
  <c r="K6" i="1"/>
  <c r="M18" i="9"/>
  <c r="B118" i="9" s="1"/>
  <c r="B14" i="74" s="1"/>
  <c r="B1" i="74" s="1"/>
  <c r="F27" i="6"/>
  <c r="F31" i="6" s="1"/>
  <c r="E51" i="40"/>
  <c r="E56" i="39"/>
  <c r="AC30" i="37"/>
  <c r="V42" i="37" s="1"/>
  <c r="I42" i="37" s="1"/>
  <c r="W30" i="37"/>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AN6" i="3"/>
  <c r="E16" i="3"/>
  <c r="AI6" i="3"/>
  <c r="E536" i="3"/>
  <c r="E586" i="3"/>
  <c r="AK6" i="3"/>
  <c r="E578" i="3"/>
  <c r="E549" i="3"/>
  <c r="E402" i="3"/>
  <c r="E434" i="3"/>
  <c r="E423" i="3"/>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E418"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114" i="3"/>
  <c r="E415" i="3"/>
  <c r="E395" i="3"/>
  <c r="E260" i="3"/>
  <c r="E550" i="3"/>
  <c r="E239" i="3"/>
  <c r="E516" i="3"/>
  <c r="E569" i="3"/>
  <c r="E396" i="3"/>
  <c r="E229" i="3"/>
  <c r="E151" i="3"/>
  <c r="E311" i="3"/>
  <c r="E514" i="3"/>
  <c r="E570" i="3"/>
  <c r="M6" i="3"/>
  <c r="AB6" i="3"/>
  <c r="E453" i="3"/>
  <c r="E306" i="3"/>
  <c r="E368" i="3"/>
  <c r="E296" i="3"/>
  <c r="E244" i="3"/>
  <c r="E262" i="3"/>
  <c r="E196" i="3"/>
  <c r="E136" i="3"/>
  <c r="E156" i="3"/>
  <c r="E236" i="3"/>
  <c r="E148" i="3"/>
  <c r="E269" i="3"/>
  <c r="E122" i="3"/>
  <c r="E89" i="3"/>
  <c r="E140" i="3"/>
  <c r="E85" i="3"/>
  <c r="E223" i="3"/>
  <c r="E238" i="3"/>
  <c r="E197" i="3"/>
  <c r="E116" i="3"/>
  <c r="E173" i="3"/>
  <c r="E105" i="3"/>
  <c r="E369"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69" i="3"/>
  <c r="E278" i="3"/>
  <c r="E563" i="3"/>
  <c r="E172" i="3"/>
  <c r="E445" i="3"/>
  <c r="E535" i="3"/>
  <c r="E509" i="3"/>
  <c r="E579" i="3"/>
  <c r="E431" i="3"/>
  <c r="E247" i="3"/>
  <c r="E201" i="3"/>
  <c r="E358" i="3"/>
  <c r="E559" i="3"/>
  <c r="E551" i="3"/>
  <c r="V6" i="3"/>
  <c r="E407" i="3"/>
  <c r="E350" i="3"/>
  <c r="E382" i="3"/>
  <c r="E303" i="3"/>
  <c r="E263" i="3"/>
  <c r="E301" i="3"/>
  <c r="E245" i="3"/>
  <c r="E159" i="3"/>
  <c r="E191" i="3"/>
  <c r="E99" i="3"/>
  <c r="E188" i="3"/>
  <c r="E228" i="3"/>
  <c r="E181" i="3"/>
  <c r="E157" i="3"/>
  <c r="E120" i="3"/>
  <c r="E45" i="3"/>
  <c r="E277" i="3"/>
  <c r="E224" i="3"/>
  <c r="E177" i="3"/>
  <c r="E193" i="3"/>
  <c r="E133" i="3"/>
  <c r="E313"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4" i="39"/>
  <c r="E59" i="40"/>
  <c r="E57" i="40"/>
  <c r="E62" i="39"/>
  <c r="AB30" i="37"/>
  <c r="T42" i="37" s="1"/>
  <c r="G42" i="37" s="1"/>
  <c r="U30" i="37"/>
  <c r="AA30" i="37"/>
  <c r="R42" i="37" s="1"/>
  <c r="S30" i="37"/>
  <c r="E58" i="40"/>
  <c r="E16" i="6"/>
  <c r="E63" i="39"/>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219" i="3"/>
  <c r="AY397" i="3"/>
  <c r="AY374" i="3"/>
  <c r="AY360" i="3"/>
  <c r="BH6" i="3"/>
  <c r="AY109" i="3"/>
  <c r="AY73" i="3"/>
  <c r="AY56" i="3"/>
  <c r="AY202" i="3"/>
  <c r="AY166" i="3"/>
  <c r="AY145" i="3"/>
  <c r="AY295" i="3"/>
  <c r="AY259" i="3"/>
  <c r="AY242"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76" i="3"/>
  <c r="AY188" i="3"/>
  <c r="AY297" i="3"/>
  <c r="AY335" i="3"/>
  <c r="AY409" i="3"/>
  <c r="AY228" i="3"/>
  <c r="AY465" i="3"/>
  <c r="BK6" i="3"/>
  <c r="AY108" i="3"/>
  <c r="AY28" i="3"/>
  <c r="AY138" i="3"/>
  <c r="AY294" i="3"/>
  <c r="AY214" i="3"/>
  <c r="AY381" i="3"/>
  <c r="AY554" i="3"/>
  <c r="AY104" i="3"/>
  <c r="AY24" i="3"/>
  <c r="AY177" i="3"/>
  <c r="AY290" i="3"/>
  <c r="AY210"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66" i="3"/>
  <c r="AY115" i="3"/>
  <c r="AY276" i="3"/>
  <c r="AY225" i="3"/>
  <c r="AY470" i="3"/>
  <c r="AY180" i="3"/>
  <c r="AY358" i="3"/>
  <c r="AY433" i="3"/>
  <c r="AY541" i="3"/>
  <c r="AY45" i="3"/>
  <c r="AY201" i="3"/>
  <c r="AY118" i="3"/>
  <c r="AY231" i="3"/>
  <c r="AY392" i="3"/>
  <c r="AY357" i="3"/>
  <c r="BJ6" i="3"/>
  <c r="AY41" i="3"/>
  <c r="AY197" i="3"/>
  <c r="AY114" i="3"/>
  <c r="AY274"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B61" i="39"/>
  <c r="F61" i="39" s="1"/>
  <c r="B60" i="39"/>
  <c r="F60" i="39" s="1"/>
  <c r="B56" i="39"/>
  <c r="F56" i="39" s="1"/>
  <c r="F66" i="39" s="1"/>
  <c r="B2" i="39" s="1"/>
  <c r="B3" i="39" s="1"/>
  <c r="B58" i="39"/>
  <c r="F58" i="39" s="1"/>
  <c r="B59" i="39"/>
  <c r="F59" i="39" s="1"/>
  <c r="B64" i="39"/>
  <c r="F64" i="39" s="1"/>
  <c r="B65" i="39"/>
  <c r="B57" i="39"/>
  <c r="F57" i="39" s="1"/>
  <c r="B63" i="39"/>
  <c r="F63" i="39" s="1"/>
  <c r="B62" i="39"/>
  <c r="F62" i="39" s="1"/>
  <c r="E65" i="39"/>
  <c r="E60" i="40"/>
  <c r="C101" i="43"/>
  <c r="E22" i="43"/>
  <c r="F22" i="43"/>
  <c r="D101" i="43"/>
  <c r="K101" i="43"/>
  <c r="F101" i="43"/>
  <c r="N101" i="43"/>
  <c r="G101" i="43"/>
  <c r="J101" i="43"/>
  <c r="N104" i="46"/>
  <c r="L101" i="43"/>
  <c r="H101" i="43"/>
  <c r="B113" i="43"/>
  <c r="G22" i="43"/>
  <c r="H22" i="43"/>
  <c r="I101" i="43"/>
  <c r="M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51" i="39"/>
  <c r="F51" i="39" s="1"/>
  <c r="E52" i="39"/>
  <c r="F52" i="39" s="1"/>
  <c r="B40" i="1"/>
  <c r="C19" i="15"/>
  <c r="Q66" i="67"/>
  <c r="Q57" i="67"/>
  <c r="F1" i="67"/>
  <c r="Q52" i="67"/>
  <c r="F11" i="67"/>
  <c r="C53" i="67" s="1"/>
  <c r="M11" i="67"/>
  <c r="J10" i="67" s="1"/>
  <c r="F11" i="15"/>
  <c r="M11" i="15"/>
  <c r="J10" i="15" s="1"/>
  <c r="J5" i="15" s="1"/>
  <c r="Q73" i="15"/>
  <c r="Q60" i="15"/>
  <c r="P17" i="43"/>
  <c r="N17" i="43"/>
  <c r="O17" i="43"/>
  <c r="M17" i="43"/>
  <c r="Q74" i="67"/>
  <c r="Q61" i="67"/>
  <c r="Q74" i="15"/>
  <c r="Q61" i="15"/>
  <c r="C49" i="15"/>
  <c r="Q60" i="67"/>
  <c r="Q73" i="67"/>
  <c r="F7" i="67"/>
  <c r="AE6" i="1"/>
  <c r="F43" i="67"/>
  <c r="M29" i="67"/>
  <c r="D14" i="12"/>
  <c r="D17" i="12" l="1"/>
  <c r="C17" i="12" s="1"/>
  <c r="D10" i="68"/>
  <c r="D10" i="11"/>
  <c r="C10" i="11" s="1"/>
  <c r="F50" i="67"/>
  <c r="C49" i="67" s="1"/>
  <c r="C48" i="67" s="1"/>
  <c r="C60" i="67" s="1"/>
  <c r="M7" i="67"/>
  <c r="J6" i="67" s="1"/>
  <c r="J5" i="67" s="1"/>
  <c r="C6" i="67"/>
  <c r="C10" i="67" s="1"/>
  <c r="C5" i="67" s="1"/>
  <c r="F71" i="67"/>
  <c r="R43" i="37"/>
  <c r="E42" i="37"/>
  <c r="G47" i="37"/>
  <c r="H47" i="37" s="1"/>
  <c r="G46" i="37"/>
  <c r="H46" i="37" s="1"/>
  <c r="H6" i="3"/>
  <c r="I47" i="37"/>
  <c r="J47" i="37" s="1"/>
  <c r="I46" i="37"/>
  <c r="J46" i="37" s="1"/>
  <c r="C7" i="74"/>
  <c r="C8" i="74"/>
  <c r="AC6" i="3"/>
  <c r="M6" i="1"/>
  <c r="H16" i="1"/>
  <c r="G16" i="1"/>
  <c r="Q16" i="1"/>
  <c r="K16" i="1"/>
  <c r="K27" i="6"/>
  <c r="M19" i="6"/>
  <c r="S6" i="1"/>
  <c r="M109" i="43"/>
  <c r="M102" i="43"/>
  <c r="M103" i="43"/>
  <c r="M105" i="43"/>
  <c r="M106" i="43"/>
  <c r="M104" i="43"/>
  <c r="M107" i="43"/>
  <c r="I109" i="43"/>
  <c r="I102" i="43"/>
  <c r="I103" i="43"/>
  <c r="I105" i="43"/>
  <c r="I104" i="43"/>
  <c r="I106" i="43"/>
  <c r="I107" i="43"/>
  <c r="H104" i="43"/>
  <c r="H106" i="43"/>
  <c r="H107" i="43"/>
  <c r="H102" i="43"/>
  <c r="H103" i="43"/>
  <c r="H105" i="43"/>
  <c r="H109" i="43"/>
  <c r="E102" i="43"/>
  <c r="E109" i="43"/>
  <c r="E103" i="43"/>
  <c r="E104" i="43"/>
  <c r="E105" i="43"/>
  <c r="E106" i="43"/>
  <c r="E107" i="43"/>
  <c r="B115" i="43"/>
  <c r="B116" i="43"/>
  <c r="C116" i="43" s="1"/>
  <c r="B117" i="43"/>
  <c r="C117" i="43" s="1"/>
  <c r="B118" i="43"/>
  <c r="C118" i="43" s="1"/>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D115" i="43"/>
  <c r="E115" i="43" s="1"/>
  <c r="F115" i="43" s="1"/>
  <c r="G115" i="43" s="1"/>
  <c r="H115" i="43" s="1"/>
  <c r="D116" i="43"/>
  <c r="E116" i="43" s="1"/>
  <c r="F116" i="43" s="1"/>
  <c r="G116" i="43" s="1"/>
  <c r="H116" i="43" s="1"/>
  <c r="D117" i="43"/>
  <c r="E117" i="43" s="1"/>
  <c r="F117" i="43" s="1"/>
  <c r="G117" i="43" s="1"/>
  <c r="H117" i="43" s="1"/>
  <c r="D118" i="43"/>
  <c r="E118" i="43" s="1"/>
  <c r="F118" i="43" s="1"/>
  <c r="L109" i="43"/>
  <c r="L104" i="43"/>
  <c r="L107" i="43"/>
  <c r="L102" i="43"/>
  <c r="L103" i="43"/>
  <c r="L105" i="43"/>
  <c r="L106" i="43"/>
  <c r="J103" i="43"/>
  <c r="J104" i="43"/>
  <c r="J105" i="43"/>
  <c r="J107" i="43"/>
  <c r="J106" i="43"/>
  <c r="J109" i="43"/>
  <c r="J102" i="43"/>
  <c r="N103" i="43"/>
  <c r="N106" i="43"/>
  <c r="N102" i="43"/>
  <c r="N104" i="43"/>
  <c r="N107" i="43"/>
  <c r="N109" i="43"/>
  <c r="N105" i="43"/>
  <c r="K102" i="43"/>
  <c r="K103" i="43"/>
  <c r="K104" i="43"/>
  <c r="K106" i="43"/>
  <c r="K107" i="43"/>
  <c r="K105" i="43"/>
  <c r="K109" i="43"/>
  <c r="C103" i="43"/>
  <c r="C105" i="43"/>
  <c r="C107" i="43"/>
  <c r="C109" i="43"/>
  <c r="C102" i="43"/>
  <c r="C104" i="43"/>
  <c r="C106" i="43"/>
  <c r="F65" i="39"/>
  <c r="G102" i="43"/>
  <c r="G105" i="43"/>
  <c r="G103" i="43"/>
  <c r="G107" i="43"/>
  <c r="G104" i="43"/>
  <c r="G106" i="43"/>
  <c r="G109" i="43"/>
  <c r="F107" i="43"/>
  <c r="F106" i="43"/>
  <c r="F104" i="43"/>
  <c r="F102" i="43"/>
  <c r="F103" i="43"/>
  <c r="F105" i="43"/>
  <c r="F109" i="43"/>
  <c r="D103" i="43"/>
  <c r="D105" i="43"/>
  <c r="D107" i="43"/>
  <c r="D109" i="43"/>
  <c r="D102" i="43"/>
  <c r="D104" i="43"/>
  <c r="D106" i="43"/>
  <c r="D22" i="43"/>
  <c r="D19" i="6"/>
  <c r="D26" i="6"/>
  <c r="C18" i="4"/>
  <c r="D8" i="6"/>
  <c r="D23" i="6"/>
  <c r="D14" i="6"/>
  <c r="D5" i="6"/>
  <c r="D12" i="6"/>
  <c r="D11" i="6"/>
  <c r="D13" i="6"/>
  <c r="D28" i="6"/>
  <c r="E61" i="40"/>
  <c r="H23" i="6"/>
  <c r="H26" i="6"/>
  <c r="H20" i="6"/>
  <c r="D25" i="6"/>
  <c r="D15" i="6"/>
  <c r="D22" i="6"/>
  <c r="D21" i="6"/>
  <c r="D24" i="6"/>
  <c r="D20" i="6"/>
  <c r="R20" i="6" s="1"/>
  <c r="D6" i="6"/>
  <c r="D9" i="6"/>
  <c r="D10" i="6"/>
  <c r="D29" i="6"/>
  <c r="H25" i="6"/>
  <c r="H22" i="6"/>
  <c r="H21" i="6"/>
  <c r="H24" i="6"/>
  <c r="E66" i="39"/>
  <c r="J24" i="15"/>
  <c r="J18" i="15"/>
  <c r="J26" i="15"/>
  <c r="J29" i="15" s="1"/>
  <c r="C53" i="15"/>
  <c r="C48" i="15" s="1"/>
  <c r="C10" i="15"/>
  <c r="C5" i="15" s="1"/>
  <c r="F24" i="67"/>
  <c r="C24" i="67" s="1"/>
  <c r="F25" i="12"/>
  <c r="F22" i="68"/>
  <c r="F24" i="15"/>
  <c r="C24" i="15" s="1"/>
  <c r="F22" i="11"/>
  <c r="F22" i="69"/>
  <c r="C20" i="15"/>
  <c r="C26" i="15" s="1"/>
  <c r="C16" i="67"/>
  <c r="C14" i="67"/>
  <c r="C34" i="69"/>
  <c r="D10" i="69"/>
  <c r="C17" i="67"/>
  <c r="D20" i="12"/>
  <c r="F41" i="67"/>
  <c r="M16" i="1" l="1"/>
  <c r="O6" i="1"/>
  <c r="C20" i="12"/>
  <c r="C18" i="12" s="1"/>
  <c r="J24" i="67"/>
  <c r="J26" i="67"/>
  <c r="J29" i="67" s="1"/>
  <c r="J18" i="67"/>
  <c r="D19" i="69"/>
  <c r="C10" i="69"/>
  <c r="C8" i="69" s="1"/>
  <c r="C10" i="68"/>
  <c r="D19" i="68"/>
  <c r="C18" i="67"/>
  <c r="C15" i="67"/>
  <c r="E6" i="70"/>
  <c r="E2" i="70" s="1"/>
  <c r="AR6" i="1"/>
  <c r="S16" i="1"/>
  <c r="AQ6" i="1"/>
  <c r="T6" i="1"/>
  <c r="T16" i="1" s="1"/>
  <c r="F27" i="68"/>
  <c r="F27" i="11"/>
  <c r="C38" i="69"/>
  <c r="C35" i="69"/>
  <c r="N16" i="1"/>
  <c r="L16" i="1"/>
  <c r="E6" i="3"/>
  <c r="C88" i="78" s="1"/>
  <c r="C89" i="78" s="1"/>
  <c r="C87" i="78" s="1"/>
  <c r="C43" i="37"/>
  <c r="C42" i="37"/>
  <c r="I19" i="6"/>
  <c r="M27" i="6"/>
  <c r="H10" i="40"/>
  <c r="F10" i="39"/>
  <c r="J10" i="40"/>
  <c r="J10" i="39"/>
  <c r="F10" i="40"/>
  <c r="H10" i="39"/>
  <c r="E47" i="37"/>
  <c r="F47" i="37" s="1"/>
  <c r="E46" i="37"/>
  <c r="F46" i="37" s="1"/>
  <c r="R24" i="6"/>
  <c r="R22" i="6"/>
  <c r="D30" i="6"/>
  <c r="F69" i="67"/>
  <c r="C66" i="67"/>
  <c r="R23" i="6"/>
  <c r="A7" i="51"/>
  <c r="B7" i="72" s="1"/>
  <c r="C4" i="52"/>
  <c r="B45" i="72" s="1"/>
  <c r="A10" i="51"/>
  <c r="B9" i="72" s="1"/>
  <c r="C23" i="15"/>
  <c r="C29" i="15" s="1"/>
  <c r="Q49" i="15" s="1"/>
  <c r="R21" i="6"/>
  <c r="D16" i="6"/>
  <c r="R26" i="6"/>
  <c r="M19" i="78"/>
  <c r="C118" i="78" s="1"/>
  <c r="M19" i="9"/>
  <c r="C118" i="9" s="1"/>
  <c r="C14" i="74" s="1"/>
  <c r="D27" i="6"/>
  <c r="C15" i="74"/>
  <c r="C115" i="43"/>
  <c r="D113" i="43" s="1"/>
  <c r="J22" i="43" s="1"/>
  <c r="R25" i="6"/>
  <c r="S6" i="43"/>
  <c r="T6" i="43" s="1"/>
  <c r="V6" i="43" s="1"/>
  <c r="S5" i="43"/>
  <c r="T5" i="43" s="1"/>
  <c r="V5" i="43" s="1"/>
  <c r="S7" i="43"/>
  <c r="T7" i="43" s="1"/>
  <c r="V7" i="43" s="1"/>
  <c r="S3" i="43"/>
  <c r="T3" i="43" s="1"/>
  <c r="V3" i="43" s="1"/>
  <c r="C23" i="43"/>
  <c r="C21" i="43" s="1"/>
  <c r="S4" i="43"/>
  <c r="T4" i="43" s="1"/>
  <c r="V4" i="43" s="1"/>
  <c r="S2" i="43"/>
  <c r="T2" i="43" s="1"/>
  <c r="V2" i="43" s="1"/>
  <c r="C66" i="15"/>
  <c r="C60" i="15"/>
  <c r="C33" i="67"/>
  <c r="C38" i="67"/>
  <c r="C32" i="67"/>
  <c r="C26" i="11"/>
  <c r="D22" i="11" s="1"/>
  <c r="C24" i="11"/>
  <c r="C25" i="11"/>
  <c r="C44" i="11"/>
  <c r="D41" i="11" s="1"/>
  <c r="C23" i="11"/>
  <c r="C23" i="68"/>
  <c r="C26" i="68"/>
  <c r="D22" i="68" s="1"/>
  <c r="C44" i="68"/>
  <c r="D41" i="68" s="1"/>
  <c r="C38" i="15"/>
  <c r="C32" i="15"/>
  <c r="C26" i="69"/>
  <c r="D22" i="69" s="1"/>
  <c r="C44" i="69"/>
  <c r="D41" i="69" s="1"/>
  <c r="C26" i="12"/>
  <c r="D25" i="12" s="1"/>
  <c r="F28" i="12"/>
  <c r="F27" i="69"/>
  <c r="D31" i="6" l="1"/>
  <c r="I6" i="6" s="1"/>
  <c r="P6" i="1"/>
  <c r="P16" i="1" s="1"/>
  <c r="O16" i="1"/>
  <c r="F34" i="11"/>
  <c r="F34" i="68"/>
  <c r="C19" i="67"/>
  <c r="C20" i="67" s="1"/>
  <c r="C26" i="67" s="1"/>
  <c r="D37" i="68"/>
  <c r="C19" i="68"/>
  <c r="D37" i="69"/>
  <c r="C37" i="69" s="1"/>
  <c r="C33" i="69" s="1"/>
  <c r="C19" i="69"/>
  <c r="B2" i="74"/>
  <c r="D7" i="74" s="1"/>
  <c r="AA10" i="40"/>
  <c r="R42" i="40" s="1"/>
  <c r="S10" i="40"/>
  <c r="AC10" i="40"/>
  <c r="V42" i="40" s="1"/>
  <c r="I42" i="40" s="1"/>
  <c r="W10" i="40"/>
  <c r="U10" i="40"/>
  <c r="AB10" i="40"/>
  <c r="T42" i="40" s="1"/>
  <c r="G42" i="40" s="1"/>
  <c r="L18" i="9"/>
  <c r="I27" i="6"/>
  <c r="H19" i="6"/>
  <c r="L18" i="78"/>
  <c r="S19" i="6"/>
  <c r="S27" i="6" s="1"/>
  <c r="B3" i="37"/>
  <c r="B2" i="37"/>
  <c r="C29" i="12"/>
  <c r="D28" i="12" s="1"/>
  <c r="C29" i="68"/>
  <c r="D27" i="68" s="1"/>
  <c r="C47" i="68"/>
  <c r="D45" i="68" s="1"/>
  <c r="U10" i="39"/>
  <c r="AB10" i="39"/>
  <c r="W10" i="39"/>
  <c r="AC10" i="39"/>
  <c r="S10" i="39"/>
  <c r="AA10" i="39"/>
  <c r="F50" i="11"/>
  <c r="F50" i="69"/>
  <c r="F50" i="68"/>
  <c r="C47" i="11"/>
  <c r="D45" i="11" s="1"/>
  <c r="C29" i="11"/>
  <c r="D27" i="11" s="1"/>
  <c r="C28" i="11"/>
  <c r="C27" i="11" s="1"/>
  <c r="C47" i="69"/>
  <c r="D45" i="69" s="1"/>
  <c r="C29" i="69"/>
  <c r="D27" i="69" s="1"/>
  <c r="J19" i="15"/>
  <c r="J17" i="15" s="1"/>
  <c r="C57" i="15"/>
  <c r="C61" i="15" s="1"/>
  <c r="C59" i="15" s="1"/>
  <c r="C36" i="15"/>
  <c r="C33" i="15"/>
  <c r="C31" i="15" s="1"/>
  <c r="J59" i="15"/>
  <c r="J60" i="15" s="1"/>
  <c r="L46" i="15" s="1"/>
  <c r="C13" i="15"/>
  <c r="C37" i="15" s="1"/>
  <c r="J14" i="15"/>
  <c r="J22" i="15" s="1"/>
  <c r="C29" i="43"/>
  <c r="I5" i="6"/>
  <c r="D8" i="74"/>
  <c r="C22" i="11"/>
  <c r="C31" i="11" s="1"/>
  <c r="F11" i="12"/>
  <c r="C37" i="68" l="1"/>
  <c r="G46" i="40"/>
  <c r="H46" i="40" s="1"/>
  <c r="G47" i="40"/>
  <c r="H47" i="40" s="1"/>
  <c r="I46" i="40"/>
  <c r="J46" i="40" s="1"/>
  <c r="E42" i="40"/>
  <c r="I47" i="40" s="1"/>
  <c r="J47" i="40" s="1"/>
  <c r="R43" i="40"/>
  <c r="C36" i="68"/>
  <c r="C34" i="68"/>
  <c r="C14" i="12"/>
  <c r="C16" i="12" s="1"/>
  <c r="C21" i="12" s="1"/>
  <c r="C36" i="11"/>
  <c r="C37" i="11"/>
  <c r="C34" i="11"/>
  <c r="Q48" i="15"/>
  <c r="C23" i="67"/>
  <c r="C29" i="67" s="1"/>
  <c r="C24" i="69"/>
  <c r="C20" i="68"/>
  <c r="C24" i="68"/>
  <c r="C39" i="69"/>
  <c r="C42" i="69"/>
  <c r="R19" i="6"/>
  <c r="H27" i="6"/>
  <c r="L19" i="78"/>
  <c r="L19" i="9"/>
  <c r="C64" i="15"/>
  <c r="J13" i="15"/>
  <c r="J23" i="15" s="1"/>
  <c r="J16" i="15" s="1"/>
  <c r="J25" i="15" s="1"/>
  <c r="C75" i="15"/>
  <c r="C30" i="15"/>
  <c r="C39" i="15" s="1"/>
  <c r="C40" i="15" s="1"/>
  <c r="Q70" i="15"/>
  <c r="C56" i="15"/>
  <c r="C65" i="15" s="1"/>
  <c r="E29" i="43"/>
  <c r="C26" i="43" s="1"/>
  <c r="C30" i="43"/>
  <c r="E30" i="43" s="1"/>
  <c r="C27" i="43" s="1"/>
  <c r="E6" i="76"/>
  <c r="C43" i="40" l="1"/>
  <c r="C6" i="69" s="1"/>
  <c r="C42" i="40"/>
  <c r="E47" i="40"/>
  <c r="F47" i="40" s="1"/>
  <c r="E46" i="40"/>
  <c r="F46" i="40" s="1"/>
  <c r="C22" i="12"/>
  <c r="C35" i="11"/>
  <c r="C38" i="11"/>
  <c r="C35" i="68"/>
  <c r="C38" i="68"/>
  <c r="C13" i="67"/>
  <c r="Q49" i="67"/>
  <c r="J14" i="67"/>
  <c r="J59" i="67"/>
  <c r="J60" i="67" s="1"/>
  <c r="C36" i="67"/>
  <c r="J19" i="67"/>
  <c r="C57" i="67"/>
  <c r="C25" i="68"/>
  <c r="C22" i="68" s="1"/>
  <c r="C28" i="68"/>
  <c r="C27" i="68" s="1"/>
  <c r="R27" i="6"/>
  <c r="R6" i="1"/>
  <c r="C46" i="69"/>
  <c r="C45" i="69" s="1"/>
  <c r="C43" i="69"/>
  <c r="C41" i="69" s="1"/>
  <c r="C58" i="15"/>
  <c r="C67" i="15" s="1"/>
  <c r="C68" i="15" s="1"/>
  <c r="C71" i="15" s="1"/>
  <c r="Q69" i="15"/>
  <c r="Q68" i="15" s="1"/>
  <c r="C80" i="15"/>
  <c r="C79" i="15" s="1"/>
  <c r="E2" i="76"/>
  <c r="B2" i="43"/>
  <c r="C43" i="15"/>
  <c r="Q65" i="15"/>
  <c r="Q47" i="15"/>
  <c r="Q53" i="15" s="1"/>
  <c r="Q56" i="15"/>
  <c r="B2" i="15"/>
  <c r="B3" i="15" s="1"/>
  <c r="C83" i="15"/>
  <c r="C82" i="15" s="1"/>
  <c r="F35" i="67"/>
  <c r="M21" i="67"/>
  <c r="B6" i="76"/>
  <c r="L51" i="15"/>
  <c r="L57" i="15" l="1"/>
  <c r="L60" i="15" s="1"/>
  <c r="Q66" i="15" s="1"/>
  <c r="Q75" i="15" s="1"/>
  <c r="Q67" i="15"/>
  <c r="C7" i="69"/>
  <c r="C5" i="69" s="1"/>
  <c r="C33" i="11"/>
  <c r="B55" i="40"/>
  <c r="F55" i="40" s="1"/>
  <c r="B60" i="40"/>
  <c r="F60" i="40" s="1"/>
  <c r="B58" i="40"/>
  <c r="F58" i="40" s="1"/>
  <c r="B52" i="40"/>
  <c r="F52" i="40" s="1"/>
  <c r="B51" i="40"/>
  <c r="F51" i="40" s="1"/>
  <c r="B53" i="40"/>
  <c r="F53" i="40" s="1"/>
  <c r="B57" i="40"/>
  <c r="F57" i="40" s="1"/>
  <c r="B59" i="40"/>
  <c r="F59" i="40" s="1"/>
  <c r="B56" i="40"/>
  <c r="F56" i="40" s="1"/>
  <c r="B54" i="40"/>
  <c r="F54" i="40" s="1"/>
  <c r="C33" i="68"/>
  <c r="C42" i="68" s="1"/>
  <c r="C31" i="68"/>
  <c r="Q48" i="67"/>
  <c r="L46" i="67"/>
  <c r="C64" i="67"/>
  <c r="C61" i="67"/>
  <c r="J13" i="67"/>
  <c r="J23" i="67" s="1"/>
  <c r="J22" i="67"/>
  <c r="C75" i="67"/>
  <c r="C37" i="67"/>
  <c r="C56" i="67"/>
  <c r="C65" i="67" s="1"/>
  <c r="Q70" i="67"/>
  <c r="C49" i="69"/>
  <c r="C51" i="69" s="1"/>
  <c r="J20" i="67"/>
  <c r="J17" i="67" s="1"/>
  <c r="C34" i="67"/>
  <c r="C31" i="67" s="1"/>
  <c r="F63" i="67"/>
  <c r="C62" i="67" s="1"/>
  <c r="R16" i="1"/>
  <c r="C46" i="15"/>
  <c r="B2" i="76"/>
  <c r="B3" i="76" s="1"/>
  <c r="B3" i="43"/>
  <c r="Q57" i="15"/>
  <c r="Q62" i="15" s="1"/>
  <c r="C23" i="69" l="1"/>
  <c r="C20" i="69"/>
  <c r="C25" i="69" s="1"/>
  <c r="F61" i="40"/>
  <c r="B2" i="40" s="1"/>
  <c r="B3" i="40" s="1"/>
  <c r="C39" i="11"/>
  <c r="C42" i="11"/>
  <c r="C30" i="67"/>
  <c r="C39" i="67" s="1"/>
  <c r="C80" i="67" s="1"/>
  <c r="C79" i="67" s="1"/>
  <c r="C91" i="78"/>
  <c r="C39" i="68"/>
  <c r="C43" i="68" s="1"/>
  <c r="C41" i="68" s="1"/>
  <c r="C59" i="67"/>
  <c r="C58" i="67" s="1"/>
  <c r="C67" i="67" s="1"/>
  <c r="C68" i="67" s="1"/>
  <c r="C71" i="67" s="1"/>
  <c r="J16" i="67"/>
  <c r="J25" i="67" s="1"/>
  <c r="L51" i="67"/>
  <c r="C28" i="69" l="1"/>
  <c r="C27" i="69" s="1"/>
  <c r="C22" i="69"/>
  <c r="C43" i="11"/>
  <c r="C41" i="11" s="1"/>
  <c r="C49" i="11" s="1"/>
  <c r="C51" i="11" s="1"/>
  <c r="C46" i="11"/>
  <c r="C45" i="11" s="1"/>
  <c r="C40" i="67"/>
  <c r="Q65" i="67" s="1"/>
  <c r="Q75" i="67" s="1"/>
  <c r="Q67" i="67"/>
  <c r="Q69" i="67"/>
  <c r="Q68" i="67" s="1"/>
  <c r="C92" i="78"/>
  <c r="C94" i="78"/>
  <c r="C46" i="68"/>
  <c r="C45" i="68" s="1"/>
  <c r="C49" i="68" s="1"/>
  <c r="C51" i="68" s="1"/>
  <c r="C31" i="69" l="1"/>
  <c r="C52" i="69" s="1"/>
  <c r="B2" i="69" s="1"/>
  <c r="C52" i="11"/>
  <c r="B2" i="11" s="1"/>
  <c r="B3" i="11" s="1"/>
  <c r="C83" i="67"/>
  <c r="C82" i="67" s="1"/>
  <c r="Q47" i="67"/>
  <c r="Q53" i="67" s="1"/>
  <c r="Q56" i="67"/>
  <c r="Q62" i="67" s="1"/>
  <c r="C45" i="67"/>
  <c r="C46" i="67" s="1"/>
  <c r="C43" i="67"/>
  <c r="D2" i="67"/>
  <c r="B3" i="67" s="1"/>
  <c r="C52" i="68"/>
  <c r="B2" i="68" s="1"/>
  <c r="B3" i="68" s="1"/>
  <c r="B2" i="67"/>
  <c r="C4" i="12" s="1"/>
  <c r="C19" i="9"/>
  <c r="D34" i="9"/>
  <c r="D20" i="78"/>
  <c r="D35" i="9"/>
  <c r="D19" i="78"/>
  <c r="D34" i="78"/>
  <c r="D35" i="78"/>
  <c r="AO6" i="1"/>
  <c r="C57" i="69" l="1"/>
  <c r="C56" i="69" s="1"/>
  <c r="C21" i="9"/>
  <c r="C102" i="9"/>
  <c r="C31" i="12"/>
  <c r="C23" i="12"/>
  <c r="C56" i="11"/>
  <c r="C57" i="11" s="1"/>
  <c r="C57" i="68"/>
  <c r="C56" i="68" s="1"/>
  <c r="D103" i="78"/>
  <c r="B6" i="70"/>
  <c r="B2" i="70" s="1"/>
  <c r="B3" i="70" s="1"/>
  <c r="D21" i="78"/>
  <c r="D102" i="78"/>
  <c r="B3" i="69"/>
  <c r="C20" i="9" s="1"/>
  <c r="C103" i="9" l="1"/>
  <c r="C30" i="12"/>
  <c r="C28" i="12" s="1"/>
  <c r="C27" i="12"/>
  <c r="C25" i="12" s="1"/>
  <c r="C32" i="12" l="1"/>
  <c r="B2" i="12" s="1"/>
  <c r="D19" i="9"/>
  <c r="B3" i="12"/>
  <c r="D102" i="9" l="1"/>
  <c r="G19" i="9"/>
  <c r="D21" i="9"/>
  <c r="D22" i="9"/>
  <c r="D20" i="9"/>
  <c r="G21" i="9" l="1"/>
  <c r="D103" i="9"/>
  <c r="G20" i="9"/>
  <c r="C32" i="9" s="1"/>
  <c r="C35" i="9" s="1"/>
  <c r="R24" i="31" l="1"/>
  <c r="R97" i="31" s="1"/>
  <c r="S97" i="31" s="1"/>
  <c r="C34" i="9"/>
  <c r="F118" i="9"/>
  <c r="F119" i="9" s="1"/>
  <c r="F5" i="52" s="1"/>
  <c r="B53" i="72" s="1"/>
  <c r="H118" i="9"/>
  <c r="I118" i="9" s="1"/>
  <c r="I4" i="52" s="1"/>
  <c r="G118" i="9" l="1"/>
  <c r="G4" i="52" s="1"/>
  <c r="B52" i="72" s="1"/>
  <c r="H102" i="9"/>
  <c r="D7" i="53" s="1"/>
  <c r="B21" i="72" s="1"/>
  <c r="C105" i="9"/>
  <c r="R104" i="31"/>
  <c r="S104" i="31" s="1"/>
  <c r="R108" i="31"/>
  <c r="S108" i="31" s="1"/>
  <c r="R77" i="31"/>
  <c r="S77" i="31" s="1"/>
  <c r="R86" i="31"/>
  <c r="S86" i="31" s="1"/>
  <c r="R100" i="31"/>
  <c r="S100" i="31" s="1"/>
  <c r="R40" i="31"/>
  <c r="S40" i="31" s="1"/>
  <c r="R56" i="31"/>
  <c r="S56" i="31" s="1"/>
  <c r="R91" i="31"/>
  <c r="S91" i="31" s="1"/>
  <c r="R94" i="31"/>
  <c r="S94" i="31" s="1"/>
  <c r="R84" i="31"/>
  <c r="S84" i="31" s="1"/>
  <c r="R71" i="31"/>
  <c r="S71" i="31" s="1"/>
  <c r="R75" i="31"/>
  <c r="S75" i="31" s="1"/>
  <c r="R72" i="31"/>
  <c r="S72" i="31" s="1"/>
  <c r="R66" i="31"/>
  <c r="S66" i="31" s="1"/>
  <c r="R34" i="31"/>
  <c r="S34" i="31" s="1"/>
  <c r="R83" i="31"/>
  <c r="S83" i="31" s="1"/>
  <c r="R44" i="31"/>
  <c r="S44" i="31" s="1"/>
  <c r="R64" i="31"/>
  <c r="S64" i="31" s="1"/>
  <c r="R62" i="31"/>
  <c r="S62" i="31" s="1"/>
  <c r="R82" i="31"/>
  <c r="S82" i="31" s="1"/>
  <c r="R31" i="31"/>
  <c r="S31" i="31" s="1"/>
  <c r="R106" i="31"/>
  <c r="S106" i="31" s="1"/>
  <c r="R41" i="31"/>
  <c r="S41" i="31" s="1"/>
  <c r="R109" i="31"/>
  <c r="S109" i="31" s="1"/>
  <c r="R57" i="31"/>
  <c r="S57" i="31" s="1"/>
  <c r="R88" i="31"/>
  <c r="S88" i="31" s="1"/>
  <c r="R37" i="31"/>
  <c r="S37" i="31" s="1"/>
  <c r="R95" i="31"/>
  <c r="S95" i="31" s="1"/>
  <c r="R89" i="31"/>
  <c r="S89" i="31" s="1"/>
  <c r="R63" i="31"/>
  <c r="S63" i="31" s="1"/>
  <c r="R33" i="31"/>
  <c r="S33" i="31" s="1"/>
  <c r="R78" i="31"/>
  <c r="S78" i="31" s="1"/>
  <c r="R85" i="31"/>
  <c r="S85" i="31" s="1"/>
  <c r="R76" i="31"/>
  <c r="S76" i="31" s="1"/>
  <c r="R73" i="31"/>
  <c r="S73" i="31" s="1"/>
  <c r="R42" i="31"/>
  <c r="S42" i="31" s="1"/>
  <c r="R99" i="31"/>
  <c r="S99" i="31" s="1"/>
  <c r="R36" i="31"/>
  <c r="S36" i="31" s="1"/>
  <c r="R48" i="31"/>
  <c r="S48" i="31" s="1"/>
  <c r="R98" i="31"/>
  <c r="S98" i="31" s="1"/>
  <c r="R55" i="31"/>
  <c r="S55" i="31" s="1"/>
  <c r="R53" i="31"/>
  <c r="S53" i="31" s="1"/>
  <c r="R51" i="31"/>
  <c r="S51" i="31" s="1"/>
  <c r="R90" i="31"/>
  <c r="S90" i="31" s="1"/>
  <c r="R39" i="31"/>
  <c r="S39" i="31" s="1"/>
  <c r="R107" i="31"/>
  <c r="S107" i="31" s="1"/>
  <c r="R60" i="31"/>
  <c r="S60" i="31" s="1"/>
  <c r="R93" i="31"/>
  <c r="S93" i="31" s="1"/>
  <c r="R32" i="31"/>
  <c r="S32" i="31" s="1"/>
  <c r="R49" i="31"/>
  <c r="S49" i="31" s="1"/>
  <c r="R65" i="31"/>
  <c r="S65" i="31" s="1"/>
  <c r="R80" i="31"/>
  <c r="S80" i="31" s="1"/>
  <c r="R96" i="31"/>
  <c r="S96" i="31" s="1"/>
  <c r="R27" i="31"/>
  <c r="S27" i="31" s="1"/>
  <c r="R50" i="31"/>
  <c r="S50" i="31" s="1"/>
  <c r="R79" i="31"/>
  <c r="S79" i="31" s="1"/>
  <c r="R35" i="31"/>
  <c r="S35" i="31" s="1"/>
  <c r="S24" i="31"/>
  <c r="R26" i="31"/>
  <c r="S26" i="31" s="1"/>
  <c r="R47" i="31"/>
  <c r="S47" i="31" s="1"/>
  <c r="R74" i="31"/>
  <c r="S74" i="31" s="1"/>
  <c r="R102" i="31"/>
  <c r="S102" i="31" s="1"/>
  <c r="R54" i="31"/>
  <c r="S54" i="31" s="1"/>
  <c r="R38" i="31"/>
  <c r="S38" i="31" s="1"/>
  <c r="R29" i="31"/>
  <c r="S29" i="31" s="1"/>
  <c r="R52" i="31"/>
  <c r="S52" i="31" s="1"/>
  <c r="R28" i="31"/>
  <c r="S28" i="31" s="1"/>
  <c r="R61" i="31"/>
  <c r="S61" i="31" s="1"/>
  <c r="R92" i="31"/>
  <c r="S92" i="31" s="1"/>
  <c r="R43" i="31"/>
  <c r="S43" i="31" s="1"/>
  <c r="R103" i="31"/>
  <c r="S103" i="31" s="1"/>
  <c r="R105" i="31"/>
  <c r="S105" i="31" s="1"/>
  <c r="R67" i="31"/>
  <c r="S67" i="31" s="1"/>
  <c r="R45" i="31"/>
  <c r="S45" i="31" s="1"/>
  <c r="R59" i="31"/>
  <c r="S59" i="31" s="1"/>
  <c r="R70" i="31"/>
  <c r="S70" i="31" s="1"/>
  <c r="R69" i="31"/>
  <c r="S69" i="31" s="1"/>
  <c r="R58" i="31"/>
  <c r="S58" i="31" s="1"/>
  <c r="R30" i="31"/>
  <c r="S30" i="31" s="1"/>
  <c r="R68" i="31"/>
  <c r="S68" i="31" s="1"/>
  <c r="R101" i="31"/>
  <c r="S101" i="31" s="1"/>
  <c r="R87" i="31"/>
  <c r="S87" i="31" s="1"/>
  <c r="R25" i="31"/>
  <c r="S25" i="31" s="1"/>
  <c r="R110" i="31"/>
  <c r="S110" i="31" s="1"/>
  <c r="R81" i="31"/>
  <c r="S81" i="31" s="1"/>
  <c r="R46" i="31"/>
  <c r="S46" i="31" s="1"/>
  <c r="F4" i="52"/>
  <c r="B51" i="72" s="1"/>
  <c r="D118" i="9"/>
  <c r="H101" i="9"/>
  <c r="D14" i="74"/>
  <c r="C104" i="9"/>
  <c r="H4" i="52"/>
  <c r="H119" i="9"/>
  <c r="H5" i="52" s="1"/>
  <c r="E118" i="9" l="1"/>
  <c r="E4" i="52" s="1"/>
  <c r="B48" i="72" s="1"/>
  <c r="S22" i="31"/>
  <c r="D15" i="74" s="1"/>
  <c r="B5" i="74" s="1"/>
  <c r="D119" i="9"/>
  <c r="D5" i="52" s="1"/>
  <c r="B49" i="72" s="1"/>
  <c r="D4" i="52"/>
  <c r="B47" i="72" s="1"/>
  <c r="E14" i="74"/>
  <c r="F14" i="74"/>
  <c r="H107" i="9"/>
  <c r="D5" i="53"/>
  <c r="M48" i="9"/>
  <c r="D45" i="9"/>
  <c r="E15" i="74" l="1"/>
  <c r="G15" i="74"/>
  <c r="R22" i="31"/>
  <c r="B21" i="31" s="1"/>
  <c r="F15" i="74"/>
  <c r="B20" i="31"/>
  <c r="D55" i="9"/>
  <c r="M53" i="9" s="1"/>
  <c r="C93" i="9"/>
  <c r="C86" i="9" s="1"/>
  <c r="C85" i="9"/>
  <c r="C72" i="9"/>
  <c r="C78" i="9"/>
  <c r="C73" i="9" s="1"/>
  <c r="D52" i="9"/>
  <c r="D53" i="9"/>
  <c r="C64" i="9"/>
  <c r="C63" i="9" s="1"/>
  <c r="C67" i="9" s="1"/>
  <c r="C68" i="9" s="1"/>
  <c r="D54" i="9" s="1"/>
  <c r="D6" i="53"/>
  <c r="B22" i="72" s="1"/>
  <c r="B20" i="72"/>
  <c r="D13" i="53"/>
  <c r="D122" i="9"/>
  <c r="H108" i="9"/>
  <c r="D15" i="53" s="1"/>
  <c r="B31" i="72" s="1"/>
  <c r="M49" i="9"/>
  <c r="D5" i="74"/>
  <c r="C5" i="74"/>
  <c r="C19" i="78"/>
  <c r="C20" i="78"/>
  <c r="G19" i="78" l="1"/>
  <c r="C32" i="78" s="1"/>
  <c r="H118" i="78" s="1"/>
  <c r="D22" i="78"/>
  <c r="C21" i="78"/>
  <c r="C102" i="78"/>
  <c r="C103" i="78"/>
  <c r="G20" i="78"/>
  <c r="G21" i="78"/>
  <c r="C95" i="9"/>
  <c r="D14" i="53"/>
  <c r="B32" i="72" s="1"/>
  <c r="B30" i="72"/>
  <c r="C35" i="78"/>
  <c r="F118" i="78" s="1"/>
  <c r="F119" i="78" s="1"/>
  <c r="L64" i="9"/>
  <c r="M64" i="9" s="1"/>
  <c r="L66" i="9"/>
  <c r="M66" i="9" s="1"/>
  <c r="L67" i="9"/>
  <c r="M67" i="9" s="1"/>
  <c r="L65" i="9"/>
  <c r="M65" i="9" s="1"/>
  <c r="L68" i="9"/>
  <c r="M68" i="9" s="1"/>
  <c r="L63" i="9"/>
  <c r="M63" i="9" s="1"/>
  <c r="G14" i="74"/>
  <c r="B6" i="74" s="1"/>
  <c r="D8" i="52"/>
  <c r="D123" i="9"/>
  <c r="D9" i="52" s="1"/>
  <c r="C79" i="9"/>
  <c r="C80" i="9" s="1"/>
  <c r="E80" i="9" s="1"/>
  <c r="E81" i="9" s="1"/>
  <c r="C96" i="9"/>
  <c r="E96" i="9" s="1"/>
  <c r="E97" i="9" s="1"/>
  <c r="G118" i="78" l="1"/>
  <c r="C34" i="78"/>
  <c r="D118" i="78" s="1"/>
  <c r="D119" i="78" s="1"/>
  <c r="M69" i="9"/>
  <c r="N69" i="9" s="1"/>
  <c r="C97" i="9"/>
  <c r="D58" i="9" s="1"/>
  <c r="D56" i="9" s="1"/>
  <c r="M54" i="9" s="1"/>
  <c r="N57" i="9" s="1"/>
  <c r="N58" i="9" s="1"/>
  <c r="C81" i="9"/>
  <c r="C6" i="74"/>
  <c r="D6" i="74"/>
  <c r="I118" i="78"/>
  <c r="C104" i="78"/>
  <c r="H119" i="78"/>
  <c r="H101" i="78"/>
  <c r="E118" i="78" l="1"/>
  <c r="N59" i="9"/>
  <c r="N61" i="9" s="1"/>
  <c r="P57" i="9"/>
  <c r="D45" i="78"/>
  <c r="M48" i="78"/>
  <c r="H107" i="78"/>
  <c r="H102" i="78"/>
  <c r="C105" i="78"/>
  <c r="N60" i="9" l="1"/>
  <c r="M49" i="78"/>
  <c r="D122" i="78"/>
  <c r="D123" i="78" s="1"/>
  <c r="H108" i="78"/>
  <c r="C78" i="78"/>
  <c r="C73" i="78" s="1"/>
  <c r="D52" i="78"/>
  <c r="C72" i="78"/>
  <c r="C93" i="78"/>
  <c r="C86" i="78" s="1"/>
  <c r="D53" i="78"/>
  <c r="D48" i="78" s="1"/>
  <c r="M52" i="78" s="1"/>
  <c r="C85" i="78"/>
  <c r="C64" i="78"/>
  <c r="C63" i="78" s="1"/>
  <c r="C67" i="78" s="1"/>
  <c r="C68" i="78" s="1"/>
  <c r="D54" i="78" s="1"/>
  <c r="D55" i="78"/>
  <c r="M53" i="78" s="1"/>
  <c r="C79" i="78" l="1"/>
  <c r="C80" i="78" s="1"/>
  <c r="E80" i="78" s="1"/>
  <c r="E81" i="78" s="1"/>
  <c r="C95" i="78"/>
  <c r="C96" i="78" s="1"/>
  <c r="E96" i="78" s="1"/>
  <c r="E97" i="78" s="1"/>
  <c r="L66" i="78"/>
  <c r="M66" i="78" s="1"/>
  <c r="L63" i="78"/>
  <c r="M63" i="78" s="1"/>
  <c r="L67" i="78"/>
  <c r="M67" i="78" s="1"/>
  <c r="L64" i="78"/>
  <c r="M64" i="78" s="1"/>
  <c r="L68" i="78"/>
  <c r="M68" i="78" s="1"/>
  <c r="L65" i="78"/>
  <c r="M65" i="78" s="1"/>
  <c r="C97" i="78" l="1"/>
  <c r="D58" i="78" s="1"/>
  <c r="D56" i="78" s="1"/>
  <c r="M54" i="78" s="1"/>
  <c r="N57" i="78" s="1"/>
  <c r="N58" i="78" s="1"/>
  <c r="C81" i="78"/>
  <c r="M69" i="78"/>
  <c r="N69" i="78" s="1"/>
  <c r="N59" i="78" l="1"/>
  <c r="N61" i="78" s="1"/>
  <c r="P57" i="78"/>
  <c r="N60" i="78"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<sst xmlns="http://schemas.openxmlformats.org/spreadsheetml/2006/main" count="8323" uniqueCount="3388">
  <si>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</si>
  <si>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</si>
  <si>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</si>
  <si>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</si>
  <si>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</si>
  <si>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</si>
  <si>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</si>
  <si>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</si>
  <si>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</si>
  <si>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</si>
  <si>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</si>
  <si>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</si>
  <si>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</si>
  <si>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</si>
  <si>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</si>
  <si>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</si>
  <si>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</si>
  <si>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</si>
  <si>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</si>
  <si>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</si>
  <si>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</si>
  <si>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</si>
  <si>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</si>
  <si>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</si>
  <si>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</si>
  <si>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</si>
  <si>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</si>
  <si>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</si>
  <si>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</si>
  <si>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</si>
  <si>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</si>
  <si>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</si>
  <si>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</si>
  <si>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</si>
  <si>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</si>
  <si>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</si>
  <si>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</si>
  <si>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</si>
  <si>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</si>
  <si>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</si>
  <si>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</si>
  <si>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</si>
  <si>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</si>
  <si>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</si>
  <si>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</si>
  <si>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</si>
  <si>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</si>
  <si>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</si>
  <si>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</si>
  <si>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</si>
  <si>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</si>
  <si>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</si>
  <si>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</si>
  <si>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</si>
  <si>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</si>
  <si>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</si>
  <si>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</si>
  <si>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</si>
  <si>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</si>
  <si>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</si>
  <si>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</si>
  <si>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</si>
  <si>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</si>
  <si>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</si>
  <si>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</si>
  <si>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</si>
  <si>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</si>
  <si>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</si>
  <si>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</si>
  <si>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</si>
  <si>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</si>
  <si>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</si>
  <si>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</si>
  <si>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</si>
  <si>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</si>
  <si>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</si>
  <si>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</si>
  <si>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</si>
  <si>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</si>
  <si>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</si>
  <si>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</si>
  <si>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</si>
  <si>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</si>
  <si>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</si>
  <si>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</si>
  <si>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</si>
  <si>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</si>
  <si>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</si>
  <si>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</si>
  <si>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</si>
  <si>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</si>
  <si>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</si>
  <si>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</si>
  <si>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</si>
  <si>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</si>
  <si>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</si>
  <si>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</si>
  <si>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</si>
  <si>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</si>
  <si>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</si>
  <si>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</si>
  <si>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</si>
  <si>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</si>
  <si>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</si>
  <si>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</si>
  <si>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</si>
  <si>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</si>
  <si>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</si>
  <si>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</si>
  <si>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</si>
  <si>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</si>
  <si>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</si>
  <si>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</si>
  <si>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</si>
  <si>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</si>
  <si>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</si>
  <si>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</si>
  <si>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</si>
  <si>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</si>
  <si>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</si>
  <si>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</si>
  <si>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</si>
  <si>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</si>
  <si>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</si>
  <si>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</si>
  <si>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</si>
  <si>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</si>
  <si>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</si>
  <si>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</si>
  <si>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</si>
  <si>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</si>
  <si>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</si>
  <si>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</si>
  <si>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</si>
  <si>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</si>
  <si>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</si>
  <si>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</si>
  <si>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</si>
  <si>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</si>
  <si>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</si>
  <si>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</si>
  <si>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</si>
  <si>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</si>
  <si>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</si>
  <si>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</si>
  <si>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</si>
  <si>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</si>
  <si>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</si>
  <si>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</si>
  <si>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</si>
  <si>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</si>
  <si>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</si>
  <si>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</si>
  <si>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</si>
  <si>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</si>
  <si>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</si>
  <si>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</si>
  <si>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</si>
  <si>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</si>
  <si>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</si>
  <si>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</si>
  <si>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</si>
  <si>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</si>
  <si>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</si>
  <si>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</si>
  <si>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</si>
  <si>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</si>
  <si>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</si>
  <si>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</si>
  <si>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</si>
  <si>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</si>
  <si>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</si>
  <si>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</si>
  <si>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</si>
  <si>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</si>
  <si>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</si>
  <si>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</si>
  <si>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</si>
  <si>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</si>
  <si>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</si>
  <si>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</si>
  <si>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</si>
  <si>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</si>
  <si>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</si>
  <si>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</si>
  <si>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</si>
  <si>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</si>
  <si>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</si>
  <si>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</si>
  <si>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</si>
  <si>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</si>
  <si>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</si>
  <si>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</si>
  <si>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</si>
  <si>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</si>
  <si>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</si>
  <si>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</si>
  <si>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</si>
  <si>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</si>
  <si>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</si>
  <si>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</si>
  <si>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</si>
  <si>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</si>
  <si>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</si>
  <si>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</si>
  <si>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</si>
  <si>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</si>
  <si>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</si>
  <si>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</si>
  <si>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</si>
  <si>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</si>
  <si>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</si>
  <si>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</si>
  <si>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</si>
  <si>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</si>
  <si>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</si>
  <si>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</si>
  <si>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</si>
  <si>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</si>
  <si>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</si>
  <si>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</si>
  <si>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</si>
  <si>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</si>
  <si>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</si>
  <si>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</si>
  <si>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</si>
  <si>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</si>
  <si>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</si>
  <si>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</si>
  <si>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</si>
  <si>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</si>
  <si>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</si>
  <si>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</si>
  <si>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</si>
  <si>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</si>
  <si>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</si>
  <si>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</si>
  <si>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</si>
  <si>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</si>
  <si>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</si>
  <si>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</si>
  <si>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</si>
  <si>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</si>
  <si>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</si>
  <si>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</si>
  <si>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</si>
  <si>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</si>
  <si>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</si>
  <si>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</si>
  <si>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</si>
  <si>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</si>
  <si>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</si>
  <si>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</si>
  <si>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</si>
  <si>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</si>
  <si>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</si>
  <si>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</si>
  <si>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</si>
  <si>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</si>
  <si>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</si>
  <si>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</si>
  <si>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</si>
  <si>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</si>
  <si>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</si>
  <si>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</si>
  <si>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</si>
  <si>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</si>
  <si>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</si>
  <si>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</si>
  <si>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</si>
  <si>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</si>
  <si>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</si>
  <si>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</si>
  <si>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</si>
  <si>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</si>
  <si>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</si>
  <si>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</si>
  <si>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</si>
  <si>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</si>
  <si>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</si>
  <si>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</si>
  <si>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</si>
  <si>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</si>
  <si>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</si>
  <si>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</si>
  <si>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</si>
  <si>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</si>
  <si>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</si>
  <si>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</si>
  <si>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</si>
  <si>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</si>
  <si>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</si>
  <si>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</si>
  <si>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</si>
  <si>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</si>
  <si>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</si>
  <si>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</si>
  <si>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</si>
  <si>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</si>
  <si>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</si>
  <si>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</si>
  <si>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</si>
  <si>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</si>
  <si>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</si>
  <si>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</si>
  <si>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</si>
  <si>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</si>
  <si>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</si>
  <si>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</si>
  <si>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</si>
  <si>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</si>
  <si>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</si>
  <si>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</si>
  <si>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</si>
  <si>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</si>
  <si>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</si>
  <si>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</si>
  <si>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</si>
  <si>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</si>
  <si>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</si>
  <si>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</si>
  <si>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</si>
  <si>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</si>
  <si>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</si>
  <si>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</si>
  <si>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</si>
  <si>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</si>
  <si>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</si>
  <si>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</si>
  <si>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</si>
  <si>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</si>
  <si>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</si>
  <si>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</si>
  <si>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</si>
  <si>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</si>
  <si>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</si>
  <si>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</si>
  <si>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</si>
  <si>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</si>
  <si>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</si>
  <si>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</si>
  <si>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</si>
  <si>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</si>
  <si>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</si>
  <si>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</si>
  <si>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</si>
  <si>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</si>
  <si>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</si>
  <si>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</si>
  <si>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</si>
  <si>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</si>
  <si>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</si>
  <si>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</si>
  <si>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</si>
  <si>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</si>
  <si>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</si>
  <si>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</si>
  <si>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</si>
  <si>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</si>
  <si>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</si>
  <si>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</si>
  <si>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</si>
  <si>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</si>
  <si>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</si>
  <si>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</si>
  <si>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</si>
  <si>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</si>
  <si>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</si>
  <si>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</si>
  <si>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</si>
  <si>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</si>
  <si>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</si>
  <si>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</si>
  <si>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</si>
  <si>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</si>
  <si>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</si>
  <si>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</si>
  <si>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</si>
  <si>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</si>
  <si>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</si>
  <si>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</si>
  <si>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</si>
  <si>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</si>
  <si>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</si>
  <si>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</si>
  <si>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</si>
  <si>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</si>
  <si>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</si>
  <si>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</si>
  <si>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</si>
  <si>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</si>
  <si>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</si>
  <si>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</si>
  <si>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</si>
  <si>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</si>
  <si>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</si>
  <si>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</si>
  <si>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</si>
  <si>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</si>
  <si>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</si>
  <si>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</si>
  <si>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</si>
  <si>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</si>
  <si>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</si>
  <si>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</si>
  <si>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</si>
  <si>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</si>
  <si>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</si>
  <si>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</si>
  <si>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</si>
  <si>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</si>
  <si>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</si>
  <si>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</si>
  <si>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</si>
  <si>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</si>
  <si>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</si>
  <si>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</si>
  <si>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</si>
  <si>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</si>
  <si>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</si>
  <si>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</si>
  <si>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</si>
  <si>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</si>
  <si>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</si>
  <si>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</si>
  <si>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</si>
  <si>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</si>
  <si>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</si>
  <si>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</si>
  <si>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</si>
  <si>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</si>
  <si>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</si>
  <si>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</si>
  <si>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</si>
  <si>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</si>
  <si>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</si>
  <si>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</si>
  <si>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</si>
  <si>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</si>
  <si>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</si>
  <si>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</si>
  <si>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</si>
  <si>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</si>
  <si>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</si>
  <si>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</si>
  <si>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</si>
  <si>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</si>
  <si>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</si>
  <si>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</si>
  <si>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</si>
  <si>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</si>
  <si>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</si>
  <si>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</si>
  <si>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</si>
  <si>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</si>
  <si>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</si>
  <si>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</si>
  <si>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</si>
  <si>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</si>
  <si>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</si>
  <si>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</si>
  <si>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</si>
  <si>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</si>
  <si>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</si>
  <si>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</si>
  <si>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</si>
  <si>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</si>
  <si>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</si>
  <si>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</si>
  <si>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</si>
  <si>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</si>
  <si>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</si>
  <si>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</si>
  <si>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</si>
  <si>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</si>
  <si>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</si>
  <si>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</si>
  <si>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</si>
  <si>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</si>
  <si>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</si>
  <si>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</si>
  <si>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</si>
  <si>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</si>
  <si>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</si>
  <si>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</si>
  <si>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</si>
  <si>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</si>
  <si>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</si>
  <si>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</si>
  <si>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</si>
  <si>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</si>
  <si>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</si>
  <si>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</si>
  <si>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</si>
  <si>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</si>
  <si>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</si>
  <si>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</si>
  <si>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</si>
  <si>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</si>
  <si>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</si>
  <si>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</si>
  <si>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</si>
  <si>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</si>
  <si>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</si>
  <si>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</si>
  <si>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</si>
  <si>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</si>
  <si>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</si>
  <si>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</si>
  <si>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</si>
  <si>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</si>
  <si>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</si>
  <si>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</si>
  <si>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</si>
  <si>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</si>
  <si>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</si>
  <si>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</si>
  <si>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</si>
  <si>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</si>
  <si>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</si>
  <si>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</si>
  <si>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</si>
  <si>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</si>
  <si>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</si>
  <si>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</si>
  <si>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</si>
  <si>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</si>
  <si>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</si>
  <si>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</si>
  <si>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</si>
  <si>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</si>
  <si>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</si>
  <si>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</si>
  <si>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</si>
  <si>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</si>
  <si>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</si>
  <si>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</si>
  <si>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</si>
  <si>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</si>
  <si>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</si>
  <si>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</si>
  <si>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</si>
  <si>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</si>
  <si>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</si>
  <si>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</si>
  <si>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</si>
  <si>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</si>
  <si>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</si>
  <si>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</si>
  <si>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</si>
  <si>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</si>
  <si>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</si>
  <si>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</si>
  <si>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</si>
  <si>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</si>
  <si>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</si>
  <si>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</si>
  <si>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</si>
  <si>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</si>
  <si>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</si>
  <si>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</si>
  <si>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</si>
  <si>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</si>
  <si>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</si>
  <si>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</si>
  <si>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</si>
  <si>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</si>
  <si>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</si>
  <si>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</si>
  <si>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</si>
  <si>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</si>
  <si>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</si>
  <si>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</si>
  <si>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</si>
  <si>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</si>
  <si>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</si>
  <si>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</si>
  <si>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</si>
  <si>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</si>
  <si>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</si>
  <si>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</si>
  <si>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</si>
  <si>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</si>
  <si>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</si>
  <si>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</si>
  <si>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</si>
  <si>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</si>
  <si>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</si>
  <si>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</si>
  <si>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</si>
  <si>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</si>
  <si>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</si>
  <si>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</si>
  <si>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</si>
  <si>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</si>
  <si>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</si>
  <si>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</si>
  <si>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</si>
  <si>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</si>
  <si>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</si>
  <si>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</si>
  <si>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</si>
  <si>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</si>
  <si>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</si>
  <si>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</si>
  <si>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</si>
  <si>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</si>
  <si>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</si>
  <si>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</si>
  <si>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</si>
  <si>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</si>
  <si>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</si>
  <si>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</si>
  <si>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</si>
  <si>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</si>
  <si>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</si>
  <si>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</si>
  <si>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</si>
  <si>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</si>
  <si>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</si>
  <si>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</si>
  <si>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</si>
  <si>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</si>
  <si>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</si>
  <si>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</si>
  <si>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</si>
  <si>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</si>
  <si>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</si>
  <si>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</si>
  <si>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</si>
  <si>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</si>
  <si>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</si>
  <si>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</si>
  <si>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</si>
  <si>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</si>
  <si>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</si>
  <si>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</si>
  <si>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</si>
  <si>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</si>
  <si>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</si>
  <si>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</si>
  <si>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</si>
  <si>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</si>
  <si>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</si>
  <si>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</si>
  <si>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</si>
  <si>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</si>
  <si>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</si>
  <si>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</si>
  <si>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</si>
  <si>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</si>
  <si>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</si>
  <si>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</si>
  <si>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</si>
  <si>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</si>
  <si>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</si>
  <si>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</si>
  <si>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</si>
  <si>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</si>
  <si>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</si>
  <si>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</si>
  <si>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</si>
  <si>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</si>
  <si>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</si>
  <si>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</si>
  <si>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</si>
  <si>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</si>
  <si>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</si>
  <si>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</si>
  <si>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</si>
  <si>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</si>
  <si>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</si>
  <si>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</si>
  <si>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</si>
  <si>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</si>
  <si>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</si>
  <si>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</si>
  <si>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</si>
  <si>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</si>
  <si>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</si>
  <si>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</si>
  <si>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</si>
  <si>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</si>
  <si>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</si>
  <si>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</si>
  <si>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</si>
  <si>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</si>
  <si>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</si>
  <si>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</si>
  <si>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</si>
  <si>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</si>
  <si>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</si>
  <si>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</si>
  <si>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</si>
  <si>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</si>
  <si>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</si>
  <si>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</si>
  <si>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</si>
  <si>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</si>
  <si>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</si>
  <si>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</si>
  <si>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</si>
  <si>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</si>
  <si>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</si>
  <si>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</si>
  <si>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</si>
  <si>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</si>
  <si>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</si>
  <si>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</si>
  <si>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</si>
  <si>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</si>
  <si>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</si>
  <si>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</si>
  <si>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</si>
  <si>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</si>
  <si>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</si>
  <si>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</si>
  <si>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</si>
  <si>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</si>
  <si>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</si>
  <si>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</si>
  <si>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</si>
  <si>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</si>
  <si>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</si>
  <si>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</si>
  <si>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</si>
  <si>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</si>
  <si>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</si>
  <si>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</si>
  <si>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</si>
  <si>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</si>
  <si>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</si>
  <si>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</si>
  <si>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</si>
  <si>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</si>
  <si>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</si>
  <si>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</si>
  <si>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</si>
  <si>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</si>
  <si>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</si>
  <si>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</si>
  <si>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</si>
  <si>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</si>
  <si>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</si>
  <si>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</si>
  <si>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</si>
  <si>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</si>
  <si>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</si>
  <si>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</si>
  <si>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</si>
  <si>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</si>
  <si>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</si>
  <si>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</si>
  <si>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</si>
  <si>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</si>
  <si>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</si>
  <si>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</si>
  <si>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</si>
  <si>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</si>
  <si>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</si>
  <si>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</si>
  <si>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</si>
  <si>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</si>
  <si>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</si>
  <si>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</si>
  <si>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</si>
  <si>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</si>
  <si>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</si>
  <si>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</si>
  <si>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</si>
  <si>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</si>
  <si>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</si>
  <si>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</si>
  <si>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</si>
  <si>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</si>
  <si>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</si>
  <si>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</si>
  <si>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</si>
  <si>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</si>
  <si>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</si>
  <si>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</si>
  <si>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</si>
  <si>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</si>
  <si>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</si>
  <si>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</si>
  <si>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</si>
  <si>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</si>
  <si>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</si>
  <si>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</si>
  <si>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</si>
  <si>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</si>
  <si>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</si>
  <si>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</si>
  <si>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</si>
  <si>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</si>
  <si>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</si>
  <si>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</si>
  <si>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</si>
  <si>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</si>
  <si>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</si>
  <si>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</si>
  <si>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</si>
  <si>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</si>
  <si>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</si>
  <si>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</si>
  <si>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</si>
  <si>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</si>
  <si>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</si>
  <si>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</si>
  <si>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</si>
  <si>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</si>
  <si>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</si>
  <si>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</si>
  <si>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</si>
  <si>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</si>
  <si>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</si>
  <si>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</si>
  <si>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</si>
  <si>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</si>
  <si>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</si>
  <si>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</si>
  <si>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</si>
  <si>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</si>
  <si>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</si>
  <si>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</si>
  <si>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</si>
  <si>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</si>
  <si>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</si>
  <si>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</si>
  <si>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</si>
  <si>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</si>
  <si>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</si>
  <si>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</si>
  <si>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</si>
  <si>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</si>
  <si>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</si>
  <si>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</si>
  <si>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</si>
  <si>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</si>
  <si>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</si>
  <si>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</si>
  <si>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</si>
  <si>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</si>
  <si>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</si>
  <si>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</si>
  <si>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</si>
  <si>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</si>
  <si>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</si>
  <si>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</si>
  <si>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</si>
  <si>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</si>
  <si>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</si>
  <si>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</si>
  <si>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</si>
  <si>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</si>
  <si>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</si>
  <si>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</si>
  <si>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</si>
  <si>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</si>
  <si>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</si>
  <si>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</si>
  <si>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</si>
  <si>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</si>
  <si>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</si>
  <si>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</si>
  <si>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</si>
  <si>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</si>
  <si>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</si>
  <si>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</si>
  <si>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</si>
  <si>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</si>
  <si>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</si>
  <si>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</si>
  <si>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</si>
  <si>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</si>
  <si>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</si>
  <si>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</si>
  <si>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</si>
  <si>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</si>
  <si>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</si>
  <si>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</si>
  <si>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</si>
  <si>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</si>
  <si>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</si>
  <si>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</si>
  <si>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</si>
  <si>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</si>
  <si>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</si>
  <si>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</si>
  <si>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</si>
  <si>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</si>
  <si>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</si>
  <si>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</si>
  <si>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</si>
  <si>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</si>
  <si>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</si>
  <si>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</si>
  <si>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</si>
  <si>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</si>
  <si>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</si>
  <si>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</si>
  <si>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</si>
  <si>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</si>
  <si>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</si>
  <si>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</si>
  <si>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</si>
  <si>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</si>
  <si>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</si>
  <si>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</si>
  <si>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</si>
  <si>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</si>
  <si>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</si>
  <si>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</si>
  <si>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</si>
  <si>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</si>
  <si>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</si>
  <si>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</si>
  <si>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</si>
  <si>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</si>
  <si>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</si>
  <si>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</si>
  <si>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</si>
  <si>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</si>
  <si>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</si>
  <si>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</si>
  <si>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</si>
  <si>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</si>
  <si>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</si>
  <si>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</si>
  <si>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</si>
  <si>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</si>
  <si>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</si>
  <si>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</si>
  <si>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</si>
  <si>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</si>
  <si>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</si>
  <si>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</si>
  <si>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</si>
  <si>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</si>
  <si>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</si>
  <si>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</si>
  <si>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</si>
  <si>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</si>
  <si>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</si>
  <si>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</si>
  <si>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</si>
  <si>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</si>
  <si>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</si>
  <si>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</si>
  <si>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</si>
  <si>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</si>
  <si>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</si>
  <si>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</si>
  <si>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</si>
  <si>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</si>
  <si>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</si>
  <si>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</si>
  <si>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</si>
  <si>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</si>
  <si>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</si>
  <si>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</si>
  <si>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</si>
  <si>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</si>
  <si>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</si>
  <si>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</si>
  <si>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</si>
  <si>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</si>
  <si>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</si>
  <si>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</si>
  <si>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</si>
  <si>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</si>
  <si>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</si>
  <si>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</si>
  <si>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</si>
  <si>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</si>
  <si>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</si>
  <si>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</si>
  <si>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</si>
  <si>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</si>
  <si>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</si>
  <si>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</si>
  <si>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</si>
  <si>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</si>
  <si>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</si>
  <si>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</si>
  <si>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</si>
  <si>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</si>
  <si>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</si>
  <si>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</si>
  <si>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</si>
  <si>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</si>
  <si>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</si>
  <si>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</si>
  <si>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</si>
  <si>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</si>
  <si>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</si>
  <si>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</si>
  <si>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</si>
  <si>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</si>
  <si>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</si>
  <si>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</si>
  <si>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</si>
  <si>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</si>
  <si>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</si>
  <si>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</si>
  <si>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</si>
  <si>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</si>
  <si>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</si>
  <si>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</si>
  <si>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</si>
  <si>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</si>
  <si>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</si>
  <si>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</si>
  <si>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</si>
  <si>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</si>
  <si>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</si>
  <si>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</si>
  <si>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</si>
  <si>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</si>
  <si>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</si>
  <si>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</si>
  <si>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</si>
  <si>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</si>
  <si>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</si>
  <si>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</si>
  <si>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</si>
  <si>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</si>
  <si>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</si>
  <si>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</si>
  <si>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</si>
  <si>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</si>
  <si>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</si>
  <si>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</si>
  <si>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</si>
  <si>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</si>
  <si>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</si>
  <si>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</si>
  <si>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</si>
  <si>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</si>
  <si>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</si>
  <si>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</si>
  <si>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</si>
  <si>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</si>
  <si>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</si>
  <si>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</si>
  <si>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</si>
  <si>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</si>
  <si>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</si>
  <si>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</si>
  <si>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</si>
  <si>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</si>
  <si>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</si>
  <si>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</si>
  <si>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</si>
  <si>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</si>
  <si>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</si>
  <si>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</si>
  <si>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</si>
  <si>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</si>
  <si>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</si>
  <si>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</si>
  <si>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</si>
  <si>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</si>
  <si>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</si>
  <si>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</si>
  <si>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</si>
  <si>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</si>
  <si>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</si>
  <si>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</si>
  <si>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</si>
  <si>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</si>
  <si>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</si>
  <si>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</si>
  <si>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</si>
  <si>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</si>
  <si>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</si>
  <si>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</si>
  <si>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</si>
  <si>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</si>
  <si>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</si>
  <si>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</si>
  <si>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</si>
  <si>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</si>
  <si>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</si>
  <si>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</si>
  <si>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</si>
  <si>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</si>
  <si>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</si>
  <si>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</si>
  <si>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</si>
  <si>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</si>
  <si>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</si>
  <si>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</si>
  <si>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</si>
  <si>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</si>
  <si>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</si>
  <si>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</si>
  <si>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</si>
  <si>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</si>
  <si>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</si>
  <si>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</si>
  <si>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</si>
  <si>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</si>
  <si>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</si>
  <si>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</si>
  <si>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</si>
  <si>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</si>
  <si>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</si>
  <si>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</si>
  <si>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</si>
  <si>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</si>
  <si>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</si>
  <si>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</si>
  <si>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</si>
  <si>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</si>
  <si>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</si>
  <si>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</si>
  <si>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</si>
  <si>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</si>
  <si>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</si>
  <si>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</si>
  <si>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</si>
  <si>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</si>
  <si>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</si>
  <si>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</si>
  <si>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</si>
  <si>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</si>
  <si>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</si>
  <si>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</si>
  <si>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</si>
  <si>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</si>
  <si>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</si>
  <si>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</si>
  <si>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</si>
  <si>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</si>
  <si>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</si>
  <si>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</si>
  <si>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</si>
  <si>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</si>
  <si>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</si>
  <si>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</si>
  <si>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</si>
  <si>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</si>
  <si>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</si>
  <si>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</si>
  <si>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</si>
  <si>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</si>
  <si>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</si>
  <si>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</si>
  <si>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</si>
  <si>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</si>
  <si>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</si>
  <si>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</si>
  <si>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</si>
  <si>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</si>
  <si>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</si>
  <si>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</si>
  <si>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</si>
  <si>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</si>
  <si>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</si>
  <si>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</si>
  <si>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</si>
  <si>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</si>
  <si>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</si>
  <si>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</si>
  <si>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</si>
  <si>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</si>
  <si>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</si>
  <si>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</si>
  <si>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</si>
  <si>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</si>
  <si>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</si>
  <si>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</si>
  <si>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</si>
  <si>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</si>
  <si>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</si>
  <si>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</si>
  <si>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</si>
  <si>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</si>
  <si>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</si>
  <si>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</si>
  <si>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</si>
  <si>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</si>
  <si>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</si>
  <si>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</si>
  <si>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</si>
  <si>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</si>
  <si>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</si>
  <si>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</si>
  <si>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</si>
  <si>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</si>
  <si>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</si>
  <si>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</si>
  <si>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</si>
  <si>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</si>
  <si>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</si>
  <si>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</si>
  <si>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</si>
  <si>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</si>
  <si>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</si>
  <si>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</si>
  <si>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</si>
  <si>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</si>
  <si>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</si>
  <si>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</si>
  <si>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</si>
  <si>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</si>
  <si>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</si>
  <si>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</si>
  <si>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</si>
  <si>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</si>
  <si>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</si>
  <si>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</si>
  <si>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</si>
  <si>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</si>
  <si>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</si>
  <si>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</si>
  <si>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</si>
  <si>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</si>
  <si>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</si>
  <si>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</si>
  <si>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</si>
  <si>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</si>
  <si>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</si>
  <si>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</si>
  <si>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</si>
  <si>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</si>
  <si>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</si>
  <si>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</si>
  <si>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</si>
  <si>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</si>
  <si>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</si>
  <si>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</si>
  <si>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</si>
  <si>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</si>
  <si>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</si>
  <si>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</si>
  <si>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</si>
  <si>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</si>
  <si>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</si>
  <si>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</si>
  <si>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</si>
  <si>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</si>
  <si>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</si>
  <si>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</si>
  <si>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</si>
  <si>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</si>
  <si>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</si>
  <si>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</si>
  <si>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</si>
  <si>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</si>
  <si>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</si>
  <si>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</si>
  <si>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</si>
  <si>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</si>
  <si>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</si>
  <si>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</si>
  <si>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</si>
  <si>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</si>
  <si>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</si>
  <si>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</si>
  <si>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</si>
  <si>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</si>
  <si>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</si>
  <si>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</si>
  <si>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</si>
  <si>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</si>
  <si>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</si>
  <si>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</si>
  <si>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</si>
  <si>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</si>
  <si>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</si>
  <si>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</si>
  <si>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</si>
  <si>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</si>
  <si>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</si>
  <si>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</si>
  <si>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</si>
  <si>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</si>
  <si>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</si>
  <si>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</si>
  <si>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</si>
  <si>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</si>
  <si>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</si>
  <si>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</si>
  <si>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</si>
  <si>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</si>
  <si>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</si>
  <si>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</si>
  <si>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</si>
  <si>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</si>
  <si>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</si>
  <si>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</si>
  <si>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</si>
  <si>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</si>
  <si>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</si>
  <si>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</si>
  <si>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</si>
  <si>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</si>
  <si>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</si>
  <si>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</si>
  <si>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</si>
  <si>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</si>
  <si>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</si>
  <si>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</si>
  <si>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</si>
  <si>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</si>
  <si>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</si>
  <si>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</si>
  <si>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</si>
  <si>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</si>
  <si>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</si>
  <si>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</si>
  <si>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</si>
  <si>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</si>
  <si>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</si>
  <si>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</si>
  <si>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</si>
  <si>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</si>
  <si>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</si>
  <si>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</si>
  <si>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</si>
  <si>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</si>
  <si>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</si>
  <si>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</si>
  <si>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</si>
  <si>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</si>
  <si>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</si>
  <si>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</si>
  <si>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</si>
  <si>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</si>
  <si>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</si>
  <si>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</si>
  <si>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</si>
  <si>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</si>
  <si>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</si>
  <si>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</si>
  <si>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</si>
  <si>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</si>
  <si>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</si>
  <si>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</si>
  <si>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</si>
  <si>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</si>
  <si>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</si>
  <si>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</si>
  <si>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</si>
  <si>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</si>
  <si>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</si>
  <si>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</si>
  <si>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</si>
  <si>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</si>
  <si>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</si>
  <si>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</si>
  <si>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</si>
  <si>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</si>
  <si>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</si>
  <si>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</si>
  <si>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</si>
  <si>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</si>
  <si>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</si>
  <si>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</si>
  <si>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</si>
  <si>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</si>
  <si>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</si>
  <si>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</si>
  <si>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</si>
  <si>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</si>
  <si>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</si>
  <si>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</si>
  <si>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</si>
  <si>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</si>
  <si>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</si>
  <si>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</si>
  <si>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</si>
  <si>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</si>
  <si>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</si>
  <si>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</si>
  <si>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</si>
  <si>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</si>
  <si>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</si>
  <si>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</si>
  <si>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</si>
  <si>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</si>
  <si>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</si>
  <si>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</si>
  <si>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</si>
  <si>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</si>
  <si>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</si>
  <si>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</si>
  <si>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</si>
  <si>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</si>
  <si>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</si>
  <si>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</si>
  <si>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</si>
  <si>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</si>
  <si>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</si>
  <si>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</si>
  <si>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</si>
  <si>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</si>
  <si>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</si>
  <si>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</si>
  <si>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</si>
  <si>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</si>
  <si>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</si>
  <si>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</si>
  <si>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</si>
  <si>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</si>
  <si>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</si>
  <si>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</si>
  <si>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</si>
  <si>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</si>
  <si>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</si>
  <si>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</si>
  <si>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</si>
  <si>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</si>
  <si>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</si>
  <si>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</si>
  <si>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</si>
  <si>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</si>
  <si>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</si>
  <si>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</si>
  <si>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</si>
  <si>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</si>
  <si>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</si>
  <si>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</si>
  <si>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</si>
  <si>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</si>
  <si>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</si>
  <si>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</si>
  <si>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</si>
  <si>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</si>
  <si>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</si>
  <si>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</si>
  <si>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</si>
  <si>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</si>
  <si>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</si>
  <si>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</si>
  <si>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</si>
  <si>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</si>
  <si>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</si>
  <si>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</si>
  <si>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</si>
  <si>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</si>
  <si>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</si>
  <si>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</si>
  <si>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</si>
  <si>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</si>
  <si>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</si>
  <si>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</si>
  <si>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</si>
  <si>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</si>
  <si>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</si>
  <si>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</si>
  <si>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</si>
  <si>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</si>
  <si>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</si>
  <si>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</si>
  <si>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</si>
  <si>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</si>
  <si>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</si>
  <si>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</si>
  <si>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</si>
  <si>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</si>
  <si>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</si>
  <si>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</si>
  <si>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</si>
  <si>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</si>
  <si>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</si>
  <si>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</si>
  <si>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</si>
  <si>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</si>
  <si>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</si>
  <si>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</si>
  <si>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</si>
  <si>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</si>
  <si>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</si>
  <si>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</si>
  <si>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</si>
  <si>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</si>
  <si>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</si>
  <si>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</si>
  <si>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</si>
  <si>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</si>
  <si>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</si>
  <si>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</si>
  <si>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</si>
  <si>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</si>
  <si>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</si>
  <si>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</si>
  <si>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</si>
  <si>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</si>
  <si>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</si>
  <si>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</si>
  <si>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</si>
  <si>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</si>
  <si>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</si>
  <si>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</si>
  <si>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</si>
  <si>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</si>
  <si>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</si>
  <si>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</si>
  <si>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</si>
  <si>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</si>
  <si>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</si>
  <si>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</si>
  <si>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</si>
  <si>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</si>
  <si>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</si>
  <si>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</si>
  <si>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</si>
  <si>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</si>
  <si>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</si>
  <si>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</si>
  <si>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</si>
  <si>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</si>
  <si>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</si>
  <si>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</si>
  <si>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</si>
  <si>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</si>
  <si>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</si>
  <si>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</si>
  <si>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</si>
  <si>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</si>
  <si>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</si>
  <si>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</si>
  <si>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</si>
  <si>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</si>
  <si>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</si>
  <si>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</si>
  <si>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</si>
  <si>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</si>
  <si>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</si>
  <si>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</si>
  <si>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</si>
  <si>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</si>
  <si>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</si>
  <si>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</si>
  <si>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</si>
  <si>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</si>
  <si>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</si>
  <si>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</si>
  <si>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</si>
  <si>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</si>
  <si>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</si>
  <si>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</si>
  <si>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</si>
  <si>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</si>
  <si>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</si>
  <si>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</si>
  <si>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</si>
  <si>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</si>
  <si>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</si>
  <si>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</si>
  <si>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</si>
  <si>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</si>
  <si>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</si>
  <si>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</si>
  <si>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</si>
  <si>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</si>
  <si>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</si>
  <si>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</si>
  <si>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</si>
  <si>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</si>
  <si>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</si>
  <si>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</si>
  <si>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</si>
  <si>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</si>
  <si>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</si>
  <si>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</si>
  <si>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</si>
  <si>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</si>
  <si>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</si>
  <si>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</si>
  <si>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</si>
  <si>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</si>
  <si>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</si>
  <si>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</si>
  <si>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</si>
  <si>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</si>
  <si>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</si>
  <si>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</si>
  <si>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</si>
  <si>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</si>
  <si>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</si>
  <si>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</si>
  <si>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</si>
  <si>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</si>
  <si>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</si>
  <si>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</si>
  <si>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</si>
  <si>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</si>
  <si>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</si>
  <si>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</si>
  <si>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</si>
  <si>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</si>
  <si>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</si>
  <si>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</si>
  <si>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</si>
  <si>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</si>
  <si>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</si>
  <si>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</si>
  <si>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</si>
  <si>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</si>
  <si>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</si>
  <si>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</si>
  <si>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</si>
  <si>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</si>
  <si>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</si>
  <si>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</si>
  <si>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</si>
  <si>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</si>
  <si>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</si>
  <si>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</si>
  <si>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</si>
  <si>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</si>
  <si>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</si>
  <si>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</si>
  <si>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</si>
  <si>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</si>
  <si>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</si>
  <si>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</si>
  <si>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</si>
  <si>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</si>
  <si>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</si>
  <si>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</si>
  <si>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</si>
  <si>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</si>
  <si>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</si>
  <si>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</si>
  <si>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</si>
  <si>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</si>
  <si>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</si>
  <si>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</si>
  <si>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</si>
  <si>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</si>
  <si>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</si>
  <si>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</si>
  <si>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</si>
  <si>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</si>
  <si>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</si>
  <si>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</si>
  <si>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</si>
  <si>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</si>
  <si>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</si>
  <si>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</si>
  <si>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</si>
  <si>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</si>
  <si>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</si>
  <si>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</si>
  <si>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</si>
  <si>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</si>
  <si>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</si>
  <si>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</si>
  <si>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</si>
  <si>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</si>
  <si>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</si>
  <si>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</si>
  <si>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</si>
  <si>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</si>
  <si>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</si>
  <si>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</si>
  <si>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</si>
  <si>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</si>
  <si>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</si>
  <si>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</si>
  <si>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</si>
  <si>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</si>
  <si>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</si>
  <si>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</si>
  <si>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</si>
  <si>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</si>
  <si>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</si>
  <si>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</si>
  <si>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</si>
  <si>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</si>
  <si>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</si>
  <si>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</si>
  <si>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</si>
  <si>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</si>
  <si>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</si>
  <si>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</si>
  <si>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</si>
  <si>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</si>
  <si>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</si>
  <si>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</si>
  <si>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</si>
  <si>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</si>
  <si>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</si>
  <si>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</si>
  <si>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</si>
  <si>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</si>
  <si>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</si>
  <si>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</si>
  <si>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</si>
  <si>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</si>
  <si>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</si>
  <si>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</si>
  <si>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</si>
  <si>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</si>
  <si>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</si>
  <si>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</si>
  <si>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</si>
  <si>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</si>
  <si>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</si>
  <si>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</si>
  <si>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</si>
  <si>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</si>
  <si>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</si>
  <si>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</si>
  <si>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</si>
  <si>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</si>
  <si>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</si>
  <si>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</si>
  <si>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</si>
  <si>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</si>
  <si>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</si>
  <si>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</si>
  <si>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</si>
  <si>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</si>
  <si>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</si>
  <si>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</si>
  <si>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</si>
  <si>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</si>
  <si>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</si>
  <si>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</si>
  <si>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</si>
  <si>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</si>
  <si>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</si>
  <si>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</si>
  <si>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</si>
  <si>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</si>
  <si>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</si>
  <si>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</si>
  <si>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</si>
  <si>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</si>
  <si>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</si>
  <si>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</si>
  <si>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</si>
  <si>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</si>
  <si>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</si>
  <si>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</si>
  <si>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</si>
  <si>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</si>
  <si>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</si>
  <si>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</si>
  <si>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</si>
  <si>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</si>
  <si>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</si>
  <si>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</si>
  <si>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</si>
  <si>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</si>
  <si>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</si>
  <si>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</si>
  <si>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</si>
  <si>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</si>
  <si>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</si>
  <si>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</si>
  <si>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</si>
  <si>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</si>
  <si>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</si>
  <si>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</si>
  <si>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</si>
  <si>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</si>
  <si>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</si>
  <si>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</si>
  <si>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</si>
  <si>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</si>
  <si>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</si>
  <si>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</si>
  <si>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</si>
  <si>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</si>
  <si>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</si>
  <si>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</si>
  <si>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</si>
  <si>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</si>
  <si>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</si>
  <si>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</si>
  <si>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</si>
  <si>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</si>
  <si>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</si>
  <si>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</si>
  <si>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</si>
  <si>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</si>
  <si>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</si>
  <si>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</si>
  <si>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</si>
  <si>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</si>
  <si>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</si>
  <si>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</si>
  <si>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</si>
  <si>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</si>
  <si>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</si>
  <si>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</si>
  <si>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</si>
  <si>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</si>
  <si>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</si>
  <si>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</si>
  <si>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</si>
  <si>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</si>
  <si>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</si>
  <si>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</si>
  <si>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</si>
  <si>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</si>
  <si>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</si>
  <si>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</si>
  <si>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</si>
  <si>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</si>
  <si>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</si>
  <si>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</si>
  <si>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</si>
  <si>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</si>
  <si>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</si>
  <si>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</si>
  <si>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</si>
  <si>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</si>
  <si>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</si>
  <si>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</si>
  <si>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</si>
  <si>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</si>
  <si>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</si>
  <si>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</si>
  <si>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</si>
  <si>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</si>
  <si>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</si>
  <si>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</si>
  <si>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</si>
  <si>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</si>
  <si>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</si>
  <si>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</si>
  <si>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</si>
  <si>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</si>
  <si>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</si>
  <si>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</si>
  <si>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</si>
  <si>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</si>
  <si>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</si>
  <si>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</si>
  <si>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</si>
  <si>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</si>
  <si>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</si>
  <si>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</si>
  <si>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</si>
  <si>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</si>
  <si>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</si>
  <si>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</si>
  <si>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</si>
  <si>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</si>
  <si>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</si>
  <si>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</si>
  <si>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</si>
  <si>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</si>
  <si>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</si>
  <si>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</si>
  <si>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</si>
  <si>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</si>
  <si>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</si>
  <si>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</si>
  <si>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</si>
  <si>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</si>
  <si>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</si>
  <si>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</si>
  <si>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</si>
  <si>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</si>
  <si>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</si>
  <si>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</si>
  <si>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</si>
  <si>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</si>
  <si>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</si>
  <si>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</si>
  <si>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</si>
  <si>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</si>
  <si>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</si>
  <si>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</si>
  <si>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</si>
  <si>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</si>
  <si>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</si>
  <si>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</si>
  <si>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</si>
  <si>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</si>
  <si>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</si>
  <si>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</si>
  <si>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</si>
  <si>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</si>
  <si>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</si>
  <si>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</si>
  <si>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</si>
  <si>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</si>
  <si>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</si>
  <si>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</si>
  <si>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</si>
  <si>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</si>
  <si>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</si>
  <si>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</si>
  <si>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</si>
  <si>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</si>
  <si>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</si>
  <si>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</si>
  <si>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</si>
  <si>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</si>
  <si>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</si>
  <si>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</si>
  <si>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</si>
  <si>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</si>
  <si>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</si>
  <si>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</si>
  <si>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</si>
  <si>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</si>
  <si>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</si>
  <si>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</si>
  <si>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</si>
  <si>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</si>
  <si>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</si>
  <si>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</si>
  <si>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</si>
  <si>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</si>
  <si>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</si>
  <si>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</si>
  <si>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</si>
  <si>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</si>
  <si>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</si>
  <si>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</si>
  <si>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</si>
  <si>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</si>
  <si>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</si>
  <si>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</si>
  <si>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</si>
  <si>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</si>
  <si>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</si>
  <si>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</si>
  <si>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</si>
  <si>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</si>
  <si>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</si>
  <si>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</si>
  <si>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</si>
  <si>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</si>
  <si>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</si>
  <si>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</si>
  <si>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</si>
  <si>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</si>
  <si>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</si>
  <si>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</si>
  <si>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</si>
  <si>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</si>
  <si>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</si>
  <si>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</si>
  <si>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</si>
  <si>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</si>
  <si>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</si>
  <si>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</si>
  <si>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</si>
  <si>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</si>
  <si>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</si>
  <si>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</si>
  <si>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</si>
  <si>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</si>
  <si>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</si>
  <si>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</si>
  <si>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</si>
  <si>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</si>
  <si>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</si>
  <si>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</si>
  <si>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</si>
  <si>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</si>
  <si>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</si>
  <si>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</si>
  <si>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</si>
  <si>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</si>
  <si>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</si>
  <si>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</si>
  <si>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</si>
  <si>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</si>
  <si>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</si>
  <si>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</si>
  <si>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</si>
  <si>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</si>
  <si>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</si>
  <si>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</si>
  <si>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</si>
  <si>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</si>
  <si>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</si>
  <si>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</si>
  <si>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</si>
  <si>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</si>
  <si>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</si>
  <si>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</si>
  <si>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</si>
  <si>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</si>
  <si>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</si>
  <si>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</si>
  <si>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</si>
  <si>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</si>
  <si>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</si>
  <si>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</si>
  <si>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</si>
  <si>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</si>
  <si>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</si>
  <si>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</si>
  <si>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</si>
  <si>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</si>
  <si>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</si>
  <si>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</si>
  <si>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</si>
  <si>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</si>
  <si>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</si>
  <si>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</si>
  <si>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</si>
  <si>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</si>
  <si>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</si>
  <si>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</si>
  <si>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</si>
  <si>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</si>
  <si>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</si>
  <si>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</si>
  <si>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</si>
  <si>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</si>
  <si>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</si>
  <si>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</si>
  <si>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</si>
  <si>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</si>
  <si>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</si>
  <si>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</si>
  <si>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</si>
  <si>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</si>
  <si>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</si>
  <si>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</si>
  <si>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</si>
  <si>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</si>
  <si>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</si>
  <si>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</si>
  <si>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</si>
  <si>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</si>
  <si>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</si>
  <si>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</si>
  <si>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</si>
  <si>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</si>
  <si>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</si>
  <si>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</si>
  <si>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</si>
  <si>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</si>
  <si>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</si>
  <si>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</si>
  <si>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</si>
  <si>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</si>
  <si>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</si>
  <si>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</si>
  <si>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</si>
  <si>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</si>
  <si>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</si>
  <si>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</si>
  <si>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</si>
  <si>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</si>
  <si>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</si>
  <si>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</si>
  <si>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</si>
  <si>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</si>
  <si>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</si>
  <si>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</si>
  <si>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</si>
  <si>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</si>
  <si>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</si>
  <si>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</si>
  <si>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</si>
  <si>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</si>
  <si>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</si>
  <si>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</si>
  <si>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</si>
  <si>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</si>
  <si>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</si>
  <si>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</si>
  <si>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</si>
  <si>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</si>
  <si>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</si>
  <si>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</si>
  <si>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</si>
  <si>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</si>
  <si>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</si>
  <si>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</si>
  <si>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</si>
  <si>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</si>
  <si>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</si>
  <si>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</si>
  <si>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</si>
  <si>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</si>
  <si>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</si>
  <si>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</si>
  <si>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</si>
  <si>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</si>
  <si>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</si>
  <si>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</si>
  <si>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</si>
  <si>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</si>
  <si>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</si>
  <si>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</si>
  <si>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</si>
  <si>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</si>
  <si>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</si>
  <si>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</si>
  <si>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</si>
  <si>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</si>
  <si>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</si>
  <si>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</si>
  <si>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</si>
  <si>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</si>
  <si>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</si>
  <si>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</si>
  <si>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</si>
  <si>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</si>
  <si>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</si>
  <si>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</si>
  <si>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</si>
  <si>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</si>
  <si>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</si>
  <si>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</si>
  <si>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</si>
  <si>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</si>
  <si>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</si>
  <si>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</si>
  <si>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</si>
  <si>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</si>
  <si>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</si>
  <si>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</si>
  <si>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</si>
  <si>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</si>
  <si>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</si>
  <si>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</si>
  <si>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</si>
  <si>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</si>
  <si>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</si>
  <si>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</si>
  <si>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</si>
  <si>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</si>
  <si>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</si>
  <si>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</si>
  <si>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</si>
  <si>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</si>
  <si>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</si>
  <si>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</si>
  <si>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</si>
  <si>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</si>
  <si>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</si>
  <si>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</si>
  <si>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</si>
  <si>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</si>
  <si>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</si>
  <si>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</si>
  <si>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</si>
  <si>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</si>
  <si>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</si>
  <si>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</si>
  <si>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</si>
  <si>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</si>
  <si>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</si>
  <si>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</si>
  <si>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</si>
  <si>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</si>
  <si>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</si>
  <si>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</si>
  <si>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</si>
  <si>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</si>
  <si>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</si>
  <si>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</si>
  <si>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</si>
  <si>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</si>
  <si>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</si>
  <si>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</si>
  <si>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</si>
  <si>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</si>
  <si>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</si>
  <si>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</si>
  <si>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</si>
  <si>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</si>
  <si>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</si>
  <si>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</si>
  <si>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</si>
  <si>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</si>
  <si>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</si>
  <si>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</si>
  <si>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</si>
  <si>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</si>
  <si>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</si>
  <si>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</si>
  <si>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</si>
  <si>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</si>
  <si>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</si>
  <si>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</si>
  <si>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</si>
  <si>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</si>
  <si>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</si>
  <si>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</si>
  <si>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</si>
  <si>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</si>
  <si>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</si>
  <si>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</si>
  <si>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</si>
  <si>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</si>
  <si>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</si>
  <si>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</si>
  <si>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</si>
  <si>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</si>
  <si>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</si>
  <si>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</si>
  <si>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</si>
  <si>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</si>
  <si>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</si>
  <si>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</si>
  <si>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</si>
  <si>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</si>
  <si>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</si>
  <si>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</si>
  <si>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</si>
  <si>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</si>
  <si>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</si>
  <si>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</si>
  <si>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</si>
  <si>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</si>
  <si>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</si>
  <si>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</si>
  <si>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</si>
  <si>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</si>
  <si>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</si>
  <si>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</si>
  <si>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</si>
  <si>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</si>
  <si>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</si>
  <si>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</si>
  <si>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</si>
  <si>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</si>
  <si>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</si>
  <si>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</si>
  <si>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</si>
  <si>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</si>
  <si>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</si>
  <si>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</si>
  <si>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</si>
  <si>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</si>
  <si>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</si>
  <si>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</si>
  <si>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</si>
  <si>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</si>
  <si>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</si>
  <si>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</si>
  <si>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</si>
  <si>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</si>
  <si>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</si>
  <si>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</si>
  <si>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</si>
  <si>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</si>
  <si>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</si>
  <si>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</si>
  <si>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</si>
  <si>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</si>
  <si>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</si>
  <si>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</si>
  <si>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</si>
  <si>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</si>
  <si>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</si>
  <si>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</si>
  <si>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</si>
  <si>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</si>
  <si>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</si>
  <si>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</si>
  <si>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</si>
  <si>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</si>
  <si>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</si>
  <si>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</si>
  <si>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</si>
  <si>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</si>
  <si>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</si>
  <si>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</si>
  <si>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</si>
  <si>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</si>
  <si>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</si>
  <si>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</si>
  <si>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</si>
  <si>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</si>
  <si>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</si>
  <si>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</si>
  <si>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</si>
  <si>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</si>
  <si>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</si>
  <si>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</si>
  <si>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</si>
  <si>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</si>
  <si>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</si>
  <si>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</si>
  <si>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</si>
  <si>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</si>
  <si>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</si>
  <si>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</si>
  <si>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</si>
  <si>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</si>
  <si>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</si>
  <si>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</si>
  <si>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</si>
  <si>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</si>
  <si>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</si>
  <si>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</si>
  <si>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</si>
  <si>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</si>
  <si>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</si>
  <si>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</si>
  <si>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</si>
  <si>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</si>
  <si>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</si>
  <si>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</si>
  <si>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</si>
  <si>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</si>
  <si>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</si>
  <si>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</si>
  <si>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</si>
  <si>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</si>
  <si>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</si>
  <si>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</si>
  <si>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</si>
  <si>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</si>
  <si>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</si>
  <si>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</si>
  <si>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</si>
  <si>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</si>
  <si>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</si>
  <si>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</si>
  <si>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</si>
  <si>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</si>
  <si>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</si>
  <si>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</si>
  <si>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</si>
  <si>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</si>
  <si>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</si>
  <si>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</si>
  <si>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</si>
  <si>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</si>
  <si>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</si>
  <si>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</si>
  <si>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</si>
  <si>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</si>
  <si>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</si>
  <si>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</si>
  <si>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</si>
  <si>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</si>
  <si>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</si>
  <si>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</si>
  <si>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</si>
  <si>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</si>
  <si>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</si>
  <si>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</si>
  <si>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</si>
  <si>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</si>
  <si>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</si>
  <si>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</si>
  <si>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</si>
  <si>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</si>
  <si>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</si>
  <si>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</si>
  <si>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</si>
  <si>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</si>
  <si>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</si>
  <si>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</si>
  <si>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</si>
  <si>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</si>
  <si>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</si>
  <si>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</si>
  <si>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</si>
  <si>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</si>
  <si>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</si>
  <si>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</si>
  <si>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</si>
  <si>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</si>
  <si>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</si>
  <si>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</si>
  <si>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</si>
  <si>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</si>
  <si>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</si>
  <si>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</si>
  <si>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</si>
  <si>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</si>
  <si>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</si>
  <si>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</si>
  <si>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</si>
  <si>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</si>
  <si>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</si>
  <si>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</si>
  <si>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</si>
  <si>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</si>
  <si>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</si>
  <si>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</si>
  <si>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</si>
  <si>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</si>
  <si>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</si>
  <si>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</si>
  <si>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</si>
  <si>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</si>
  <si>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</si>
  <si>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</si>
  <si>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</si>
  <si>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</si>
  <si>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</si>
  <si>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</si>
  <si>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</si>
  <si>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</si>
  <si>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</si>
  <si>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</si>
  <si>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</si>
  <si>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</si>
  <si>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</si>
  <si>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</si>
  <si>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</si>
  <si>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</si>
  <si>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</si>
  <si>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</si>
  <si>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</si>
  <si>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</si>
  <si>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</si>
  <si>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</si>
  <si>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</si>
  <si>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</si>
  <si>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</si>
  <si>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</si>
  <si>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</si>
  <si>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</si>
  <si>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</si>
  <si>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</si>
  <si>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</si>
  <si>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</si>
  <si>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</si>
  <si>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</si>
  <si>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</si>
  <si>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</si>
  <si>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</si>
  <si>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</si>
  <si>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</si>
  <si>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</si>
  <si>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</si>
  <si>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</si>
  <si>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</si>
  <si>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</si>
  <si>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</si>
  <si>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</si>
  <si>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</si>
  <si>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</si>
  <si>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</si>
  <si>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</si>
  <si>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</si>
  <si>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</si>
  <si>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</si>
  <si>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</si>
  <si>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</si>
  <si>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</si>
  <si>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</si>
  <si>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</si>
  <si>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</si>
  <si>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</si>
  <si>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</si>
  <si>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</si>
  <si>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</si>
  <si>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</si>
  <si>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</si>
  <si>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</si>
  <si>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</si>
  <si>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</si>
  <si>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</si>
  <si>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</si>
  <si>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</si>
  <si>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</si>
  <si>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</si>
  <si>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</si>
  <si>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</si>
  <si>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</si>
  <si>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</si>
  <si>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</si>
  <si>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</si>
  <si>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</si>
  <si>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</si>
  <si>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</si>
  <si>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</si>
  <si>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</si>
  <si>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</si>
  <si>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</si>
  <si>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</si>
  <si>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</si>
  <si>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</si>
  <si>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</si>
  <si>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</si>
  <si>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</si>
  <si>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</si>
  <si>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</si>
  <si>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</si>
  <si>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</si>
  <si>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</si>
  <si>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</si>
  <si>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</si>
  <si>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</si>
  <si>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</si>
  <si>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</si>
  <si>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</si>
  <si>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</si>
  <si>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</si>
  <si>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</si>
  <si>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</si>
  <si>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</si>
  <si>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</si>
  <si>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</si>
  <si>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</si>
  <si>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</si>
  <si>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</si>
  <si>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</si>
  <si>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</si>
  <si>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</si>
  <si>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</si>
  <si>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</si>
  <si>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</si>
  <si>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</si>
  <si>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</si>
  <si>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</si>
  <si>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</si>
  <si>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</si>
  <si>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</si>
  <si>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</si>
  <si>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</si>
  <si>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</si>
  <si>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</si>
  <si>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</si>
  <si>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</si>
  <si>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</si>
  <si>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</si>
  <si>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</si>
  <si>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</si>
  <si>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</si>
  <si>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</si>
  <si>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</si>
  <si>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</si>
  <si>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</si>
  <si>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</si>
  <si>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</si>
  <si>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</si>
  <si>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</si>
  <si>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</si>
  <si>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</si>
  <si>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</si>
  <si>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</si>
  <si>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</si>
  <si>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</si>
  <si>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</si>
  <si>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</si>
  <si>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</si>
  <si>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</si>
  <si>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</si>
  <si>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</si>
  <si>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</si>
  <si>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</si>
  <si>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</si>
  <si>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</si>
  <si>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</si>
  <si>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</si>
  <si>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</si>
  <si>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</si>
  <si>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</si>
  <si>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</si>
  <si>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</si>
  <si>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</si>
  <si>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</si>
  <si>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</si>
  <si>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</si>
  <si>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</si>
  <si>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</si>
  <si>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</si>
  <si>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</si>
  <si>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</si>
  <si>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</si>
  <si>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</si>
  <si>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</si>
  <si>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</si>
  <si>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</si>
  <si>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</si>
  <si>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</si>
  <si>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</si>
  <si>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</si>
  <si>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</si>
  <si>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</si>
  <si>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</si>
  <si>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</si>
  <si>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</si>
  <si>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</si>
  <si>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</si>
  <si>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</si>
  <si>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</si>
  <si>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</si>
  <si>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</si>
  <si>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</si>
  <si>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</si>
  <si>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</si>
  <si>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</si>
  <si>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</si>
  <si>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</si>
  <si>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</si>
  <si>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</si>
  <si>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</si>
  <si>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</si>
  <si>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</si>
  <si>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</si>
  <si>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</si>
  <si>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</si>
  <si>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</si>
  <si>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</si>
  <si>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</si>
  <si>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</si>
  <si>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</si>
  <si>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</si>
  <si>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</si>
  <si>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</si>
  <si>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</si>
  <si>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</si>
  <si>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</si>
  <si>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</si>
  <si>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</si>
  <si>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</si>
  <si>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</si>
  <si>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</si>
  <si>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</si>
  <si>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</si>
  <si>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</si>
  <si>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</si>
  <si>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</si>
  <si>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</si>
  <si>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</si>
  <si>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</si>
  <si>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</si>
  <si>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</si>
  <si>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</si>
  <si>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</si>
  <si>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</si>
  <si>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</si>
  <si>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</si>
  <si>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</si>
  <si>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</si>
  <si>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</si>
  <si>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</si>
  <si>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</si>
  <si>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</si>
  <si>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</si>
  <si>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</si>
  <si>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</si>
  <si>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</si>
  <si>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</si>
  <si>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</si>
  <si>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</si>
  <si>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</si>
  <si>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</si>
  <si>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</si>
  <si>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</si>
  <si>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</si>
  <si>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</si>
  <si>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</si>
  <si>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</si>
  <si>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</si>
  <si>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</si>
  <si>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</si>
  <si>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</si>
  <si>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</si>
  <si>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</si>
  <si>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</si>
  <si>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</si>
  <si>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</si>
  <si>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</si>
  <si>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</si>
  <si>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</si>
  <si>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</si>
  <si>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</si>
  <si>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</si>
  <si>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</si>
  <si>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</si>
  <si>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</si>
  <si>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</si>
  <si>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</si>
  <si>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</si>
  <si>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</si>
  <si>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</si>
  <si>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</si>
  <si>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</si>
  <si>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</si>
  <si>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</si>
  <si>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</si>
  <si>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</si>
  <si>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</si>
  <si>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</si>
  <si>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</si>
  <si>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</si>
  <si>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</si>
  <si>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</si>
  <si>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</si>
  <si>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</si>
  <si>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</si>
  <si>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</si>
  <si>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</si>
  <si>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</si>
  <si>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</si>
  <si>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</si>
  <si>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</si>
  <si>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</si>
  <si>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</si>
  <si>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</si>
  <si>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</si>
  <si>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</si>
  <si>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</si>
  <si>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</si>
  <si>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</si>
  <si>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</si>
  <si>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</si>
  <si>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</si>
  <si>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</si>
  <si>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</si>
  <si>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</si>
  <si>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</si>
  <si>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</si>
  <si>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</si>
  <si>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</si>
  <si>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</si>
  <si>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</si>
  <si>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</si>
  <si>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</si>
  <si>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</si>
  <si>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</si>
  <si>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</si>
  <si>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</si>
  <si>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</si>
  <si>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</si>
  <si>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</si>
  <si>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</si>
  <si>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</si>
  <si>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</si>
  <si>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</si>
  <si>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</si>
  <si>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</si>
  <si>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</si>
  <si>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</si>
  <si>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</si>
  <si>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</si>
  <si>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</si>
  <si>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</si>
  <si>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</si>
  <si>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</si>
  <si>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</si>
  <si>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</si>
  <si>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</si>
  <si>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</si>
  <si>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</si>
  <si>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</si>
  <si>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</si>
  <si>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</si>
  <si>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</si>
  <si>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</si>
  <si>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</si>
  <si>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</si>
  <si>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</si>
  <si>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</si>
  <si>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</si>
  <si>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</si>
  <si>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</si>
  <si>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</si>
  <si>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</si>
  <si>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</si>
  <si>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</si>
  <si>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</si>
  <si>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</si>
  <si>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</si>
  <si>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</si>
  <si>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</si>
  <si>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</si>
  <si>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</si>
  <si>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</si>
  <si>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</si>
  <si>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</si>
  <si>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</si>
  <si>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</si>
  <si>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</si>
  <si>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</si>
  <si>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</si>
  <si>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</si>
  <si>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</si>
  <si>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</si>
  <si>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</si>
  <si>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</si>
  <si>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</si>
  <si>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</si>
  <si>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</si>
  <si>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</si>
  <si>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</si>
  <si>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</si>
  <si>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</si>
  <si>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</si>
  <si>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</si>
  <si>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</si>
  <si>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</si>
  <si>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</si>
  <si>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</si>
  <si>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</si>
  <si>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</si>
  <si>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</si>
  <si>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</si>
  <si>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</si>
  <si>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</si>
  <si>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</si>
  <si>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</si>
  <si>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</si>
  <si>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</si>
  <si>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</si>
  <si>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</si>
  <si>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</si>
  <si>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</si>
  <si>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</si>
  <si>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</si>
  <si>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</si>
  <si>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</si>
  <si>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</si>
  <si>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</si>
  <si>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</si>
  <si>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</si>
  <si>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</si>
  <si>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</si>
  <si>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</si>
  <si>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</si>
  <si>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</si>
  <si>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</si>
  <si>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</si>
  <si>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</si>
  <si>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</si>
  <si>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</si>
  <si>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</si>
  <si>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</si>
  <si>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</si>
  <si>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</si>
  <si>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</si>
  <si>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</si>
  <si>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</si>
  <si>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</si>
  <si>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</si>
  <si>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</si>
  <si>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</si>
  <si>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</si>
  <si>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</si>
  <si>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</si>
  <si>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</si>
  <si>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</si>
  <si>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</si>
  <si>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</si>
  <si>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</si>
  <si>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</si>
  <si>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</si>
  <si>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</si>
  <si>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</si>
  <si>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</si>
  <si>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</si>
  <si>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</si>
  <si>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</si>
  <si>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</si>
  <si>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</si>
  <si>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</si>
  <si>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</si>
  <si>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</si>
  <si>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</si>
  <si>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</si>
  <si>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</si>
  <si>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</si>
  <si>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</si>
  <si>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</si>
  <si>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</si>
  <si>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</si>
  <si>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</si>
  <si>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</si>
  <si>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</si>
  <si>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</si>
  <si>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</si>
  <si>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</si>
  <si>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</si>
  <si>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</si>
  <si>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</si>
  <si>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</si>
  <si>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</si>
  <si>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</si>
  <si>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</si>
  <si>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</si>
  <si>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</si>
  <si>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</si>
  <si>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</si>
  <si>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</si>
  <si>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</si>
  <si>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</si>
  <si>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</si>
  <si>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</si>
  <si>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</si>
  <si>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</si>
  <si>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</si>
  <si>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</si>
  <si>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</si>
  <si>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</si>
  <si>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</si>
  <si>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</si>
  <si>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</si>
  <si>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</si>
  <si>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</si>
  <si>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</si>
  <si>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</si>
  <si>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</si>
  <si>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</si>
  <si>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</si>
  <si>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</si>
  <si>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</si>
  <si>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</si>
  <si>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</si>
  <si>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</si>
  <si>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</si>
  <si>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</si>
  <si>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</si>
  <si>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</si>
  <si>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</si>
  <si>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</si>
  <si>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</si>
  <si>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</si>
  <si>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</si>
  <si>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</si>
  <si>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</si>
  <si>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</si>
  <si>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</si>
  <si>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</si>
  <si>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</si>
  <si>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</si>
  <si>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</si>
  <si>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</si>
  <si>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</si>
  <si>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</si>
  <si>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</si>
  <si>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</si>
  <si>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</si>
  <si>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</si>
  <si>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</si>
  <si>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</si>
  <si>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</si>
  <si>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</si>
  <si>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</si>
  <si>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</si>
  <si>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</si>
  <si>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</si>
  <si>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</si>
  <si>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</si>
  <si>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</si>
  <si>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</si>
  <si>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</si>
  <si>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</si>
  <si>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</si>
  <si>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</si>
  <si>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</si>
  <si>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</si>
  <si>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</si>
  <si>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</si>
  <si>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</si>
  <si>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</si>
  <si>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</si>
  <si>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</si>
  <si>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</si>
  <si>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</si>
  <si>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</si>
  <si>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</si>
  <si>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</si>
  <si>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</si>
  <si>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</si>
  <si>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</si>
  <si>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</si>
  <si>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</si>
  <si>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</si>
  <si>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</si>
  <si>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</si>
  <si>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</si>
  <si>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</si>
  <si>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</si>
  <si>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</si>
  <si>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</si>
  <si>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</si>
  <si>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</si>
  <si>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</si>
  <si>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</si>
  <si>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</si>
  <si>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</si>
  <si>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</si>
  <si>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</si>
  <si>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</si>
  <si>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</si>
  <si>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</si>
  <si>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</si>
  <si>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</si>
  <si>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</si>
  <si>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</si>
  <si>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</si>
  <si>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</si>
  <si>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</si>
  <si>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</si>
  <si>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</si>
  <si>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</si>
  <si>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</si>
  <si>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</si>
  <si>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</si>
  <si>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</si>
  <si>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</si>
  <si>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</si>
  <si>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</si>
  <si>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</si>
  <si>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</si>
  <si>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</si>
  <si>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</si>
  <si>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</si>
  <si>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</si>
  <si>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</si>
  <si>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</si>
  <si>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</si>
  <si>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</si>
  <si>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</si>
  <si>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</si>
  <si>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</si>
  <si>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</si>
  <si>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</si>
  <si>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</si>
  <si>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</si>
  <si>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</si>
  <si>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</si>
  <si>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</si>
  <si>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</si>
  <si>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</si>
  <si>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</si>
  <si>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</si>
  <si>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</si>
  <si>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</si>
  <si>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</si>
  <si>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</si>
  <si>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</si>
  <si>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</si>
  <si>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</si>
  <si>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</si>
  <si>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</si>
  <si>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</si>
  <si>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</si>
  <si>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</si>
  <si>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</si>
  <si>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</si>
  <si>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</si>
  <si>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</si>
  <si>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</si>
  <si>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</si>
  <si>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t>平安银行</t>
    <phoneticPr fontId="6" type="noConversion"/>
  </si>
  <si>
    <t>抵押</t>
  </si>
  <si>
    <t>房地产抵押价值</t>
  </si>
  <si>
    <t>其他：</t>
  </si>
  <si>
    <t>企业</t>
  </si>
  <si>
    <t>出让</t>
  </si>
  <si>
    <t>工业项目</t>
  </si>
  <si>
    <t>在建</t>
  </si>
  <si>
    <t>17-11号</t>
    <phoneticPr fontId="3" type="noConversion"/>
  </si>
  <si>
    <t>楼层</t>
    <phoneticPr fontId="32" type="noConversion"/>
  </si>
  <si>
    <r>
      <t>2</t>
    </r>
    <r>
      <rPr>
        <sz val="11"/>
        <rFont val="宋体"/>
        <family val="3"/>
        <charset val="134"/>
      </rPr>
      <t>层</t>
    </r>
    <phoneticPr fontId="32" type="noConversion"/>
  </si>
  <si>
    <t>层高</t>
    <phoneticPr fontId="32" type="noConversion"/>
  </si>
  <si>
    <t>17-12号</t>
    <phoneticPr fontId="3" type="noConversion"/>
  </si>
  <si>
    <t>17-25号</t>
    <phoneticPr fontId="3" type="noConversion"/>
  </si>
  <si>
    <t>1层超高</t>
    <phoneticPr fontId="32" type="noConversion"/>
  </si>
  <si>
    <t>工业</t>
    <phoneticPr fontId="32" type="noConversion"/>
  </si>
  <si>
    <t>40-50（含）</t>
  </si>
  <si>
    <t>现房</t>
  </si>
  <si>
    <t>现房</t>
    <phoneticPr fontId="32" type="noConversion"/>
  </si>
  <si>
    <t>期房</t>
    <phoneticPr fontId="32" type="noConversion"/>
  </si>
  <si>
    <t>期房</t>
    <phoneticPr fontId="32" type="noConversion"/>
  </si>
  <si>
    <t>较好</t>
  </si>
  <si>
    <t>一般</t>
  </si>
  <si>
    <t>标准厂房</t>
  </si>
  <si>
    <t>标准厂房</t>
    <phoneticPr fontId="32" type="noConversion"/>
  </si>
  <si>
    <t>钢混</t>
  </si>
  <si>
    <t>钢混</t>
    <phoneticPr fontId="32" type="noConversion"/>
  </si>
  <si>
    <t>精装</t>
    <phoneticPr fontId="32" type="noConversion"/>
  </si>
  <si>
    <t>普装</t>
    <phoneticPr fontId="32" type="noConversion"/>
  </si>
  <si>
    <t>简装</t>
  </si>
  <si>
    <t>简装</t>
    <phoneticPr fontId="32" type="noConversion"/>
  </si>
  <si>
    <t>毛坯</t>
  </si>
  <si>
    <t>毛坯</t>
    <phoneticPr fontId="32" type="noConversion"/>
  </si>
  <si>
    <t>专业</t>
  </si>
  <si>
    <t>专业</t>
    <phoneticPr fontId="32" type="noConversion"/>
  </si>
  <si>
    <t>五通</t>
  </si>
  <si>
    <t>五通</t>
    <phoneticPr fontId="32" type="noConversion"/>
  </si>
  <si>
    <t>普通</t>
    <phoneticPr fontId="32" type="noConversion"/>
  </si>
  <si>
    <t>1层超高</t>
    <phoneticPr fontId="32" type="noConversion"/>
  </si>
  <si>
    <t>状态</t>
    <phoneticPr fontId="32" type="noConversion"/>
  </si>
  <si>
    <t>标准</t>
    <phoneticPr fontId="32" type="noConversion"/>
  </si>
  <si>
    <r>
      <t>1</t>
    </r>
    <r>
      <rPr>
        <sz val="11"/>
        <color indexed="8"/>
        <rFont val="宋体"/>
        <family val="3"/>
        <charset val="134"/>
      </rPr>
      <t>层超高</t>
    </r>
    <phoneticPr fontId="32" type="noConversion"/>
  </si>
  <si>
    <t>好</t>
  </si>
  <si>
    <t>售价</t>
  </si>
  <si>
    <t>收益法 (元)</t>
  </si>
  <si>
    <t>工业厂房</t>
  </si>
  <si>
    <t>地上</t>
  </si>
  <si>
    <t>是</t>
  </si>
  <si>
    <t>押一</t>
  </si>
  <si>
    <t>非生产用房</t>
  </si>
  <si>
    <t>否</t>
  </si>
  <si>
    <t>层高</t>
    <phoneticPr fontId="3" type="noConversion"/>
  </si>
  <si>
    <t>成新度</t>
    <phoneticPr fontId="3" type="noConversion"/>
  </si>
  <si>
    <t>1-1#</t>
  </si>
  <si>
    <t>1-3#</t>
  </si>
  <si>
    <t>1-4#</t>
  </si>
  <si>
    <t>1-5#</t>
  </si>
  <si>
    <t>1-6#</t>
  </si>
  <si>
    <t>1-7#</t>
  </si>
  <si>
    <t>2-1#</t>
  </si>
  <si>
    <t>2-2#</t>
  </si>
  <si>
    <t>2-3#</t>
  </si>
  <si>
    <t>2-4#</t>
  </si>
  <si>
    <t>2-5#</t>
  </si>
  <si>
    <t>2-6#</t>
  </si>
  <si>
    <t>3-1#</t>
  </si>
  <si>
    <t>3-2#</t>
  </si>
  <si>
    <t>3-3#</t>
  </si>
  <si>
    <t>3-4#</t>
  </si>
  <si>
    <t>3-6#</t>
  </si>
  <si>
    <t>5-1#</t>
  </si>
  <si>
    <t>5-2#</t>
  </si>
  <si>
    <t>5-3#</t>
  </si>
  <si>
    <t>5-4#</t>
  </si>
  <si>
    <t>5-6#</t>
  </si>
  <si>
    <t>5-7#</t>
  </si>
  <si>
    <t>5-8#</t>
  </si>
  <si>
    <t>9-1#</t>
  </si>
  <si>
    <t>9-2#</t>
  </si>
  <si>
    <t>9-3#</t>
  </si>
  <si>
    <t>9-4#</t>
  </si>
  <si>
    <t>9-5#</t>
  </si>
  <si>
    <t>9-8#</t>
  </si>
  <si>
    <t>9-9#</t>
  </si>
  <si>
    <t>6-2#</t>
  </si>
  <si>
    <t>6-5#</t>
  </si>
  <si>
    <t>6-9#</t>
  </si>
  <si>
    <t>6-10#</t>
  </si>
  <si>
    <t>7-2#</t>
  </si>
  <si>
    <t>7-6#</t>
  </si>
  <si>
    <t>7-7#</t>
  </si>
  <si>
    <t>8-3#</t>
  </si>
  <si>
    <t>8-4#</t>
  </si>
  <si>
    <t>8-7#</t>
  </si>
  <si>
    <t>8-8#</t>
  </si>
  <si>
    <t>8-9#</t>
  </si>
  <si>
    <t>8-11#</t>
  </si>
  <si>
    <t>14-9#</t>
  </si>
  <si>
    <t>15-9#</t>
  </si>
  <si>
    <t>15-11#</t>
  </si>
  <si>
    <t>14-1#</t>
  </si>
  <si>
    <t>14-2#</t>
  </si>
  <si>
    <t>14-3#</t>
  </si>
  <si>
    <t>14-4#</t>
  </si>
  <si>
    <t>14-5#</t>
  </si>
  <si>
    <t>14-6#</t>
  </si>
  <si>
    <t>14-7#</t>
  </si>
  <si>
    <t>14-8#</t>
  </si>
  <si>
    <t>15-1#</t>
  </si>
  <si>
    <t>15-5#</t>
  </si>
  <si>
    <t>15-6#</t>
  </si>
  <si>
    <t>15-8#</t>
  </si>
  <si>
    <t>16-1#</t>
  </si>
  <si>
    <t>16-2#</t>
  </si>
  <si>
    <t>16-3#</t>
  </si>
  <si>
    <t>16-4#</t>
  </si>
  <si>
    <t>16-5#</t>
  </si>
  <si>
    <t>16-8#</t>
  </si>
  <si>
    <t>10#</t>
  </si>
  <si>
    <t>2#</t>
  </si>
  <si>
    <t>5#</t>
  </si>
  <si>
    <t>6#</t>
  </si>
  <si>
    <t>7#</t>
  </si>
  <si>
    <t>8#</t>
  </si>
  <si>
    <t>11#</t>
  </si>
  <si>
    <t>12#</t>
  </si>
  <si>
    <t>13#</t>
  </si>
  <si>
    <t>14#</t>
  </si>
  <si>
    <t>16#</t>
  </si>
  <si>
    <t>17#</t>
  </si>
  <si>
    <t>18#</t>
  </si>
  <si>
    <t>19#</t>
  </si>
  <si>
    <t>20#</t>
  </si>
  <si>
    <t>21#</t>
  </si>
  <si>
    <t>22#</t>
  </si>
  <si>
    <t>23#</t>
  </si>
  <si>
    <t>24#</t>
  </si>
  <si>
    <t>25#</t>
  </si>
  <si>
    <t>26#</t>
  </si>
  <si>
    <t>27#</t>
  </si>
  <si>
    <t>超高</t>
  </si>
  <si>
    <t>超高</t>
    <phoneticPr fontId="25" type="noConversion"/>
  </si>
  <si>
    <t>标准</t>
  </si>
  <si>
    <t>标准</t>
    <phoneticPr fontId="25" type="noConversion"/>
  </si>
  <si>
    <r>
      <t>3</t>
    </r>
    <r>
      <rPr>
        <sz val="11"/>
        <rFont val="宋体"/>
        <family val="3"/>
        <charset val="134"/>
      </rPr>
      <t>层</t>
    </r>
    <phoneticPr fontId="32" type="noConversion"/>
  </si>
  <si>
    <t>按租金收入计税</t>
  </si>
  <si>
    <t>估价对象位于沈北新区，园区建设成熟度较好，产业集聚程度较好</t>
    <phoneticPr fontId="41" type="noConversion"/>
  </si>
  <si>
    <t>估价对象周边道路通达状况较好、公共交通通达情况一般、停车较便捷，综合评价交通便捷度一般</t>
    <phoneticPr fontId="41" type="noConversion"/>
  </si>
  <si>
    <t>估价对象所在区域公共配套设施齐备情况一般</t>
    <phoneticPr fontId="41" type="noConversion"/>
  </si>
  <si>
    <t>估价对象所在区域基础设施水平达五通</t>
    <phoneticPr fontId="25" type="noConversion"/>
  </si>
  <si>
    <t>该园区内无污染型企业，绿化情况一般，卫生条件一般，整体环境状况一般</t>
    <phoneticPr fontId="41" type="noConversion"/>
  </si>
  <si>
    <t>较一致</t>
    <phoneticPr fontId="25" type="noConversion"/>
  </si>
  <si>
    <t>多面临街</t>
  </si>
  <si>
    <t>总价</t>
  </si>
  <si>
    <t>收益比率</t>
  </si>
  <si>
    <t>典型户型修正</t>
  </si>
  <si>
    <t>典型户型修正</t>
    <phoneticPr fontId="16" type="noConversion"/>
  </si>
  <si>
    <t>情况3</t>
  </si>
  <si>
    <t>仅含出让金</t>
  </si>
  <si>
    <t>5-7#</t>
    <phoneticPr fontId="3" type="noConversion"/>
  </si>
  <si>
    <t>工程进度</t>
  </si>
  <si>
    <t>地块名称</t>
  </si>
  <si>
    <t>城市</t>
  </si>
  <si>
    <t>用地性质</t>
  </si>
  <si>
    <t>建设用地面积(㎡)</t>
  </si>
  <si>
    <t>规划建筑面积(㎡)</t>
  </si>
  <si>
    <t>容积率</t>
  </si>
  <si>
    <t>出让方式</t>
  </si>
  <si>
    <t>截止日期</t>
  </si>
  <si>
    <t>起始价(万元)</t>
  </si>
  <si>
    <t>成交价(万元)</t>
  </si>
  <si>
    <t>成交楼面价(元/㎡)</t>
  </si>
  <si>
    <t>成交地面价</t>
    <phoneticPr fontId="3" type="noConversion"/>
  </si>
  <si>
    <t>溢价率</t>
  </si>
  <si>
    <t>受让单位</t>
  </si>
  <si>
    <t>蒲河大道南侧-112</t>
  </si>
  <si>
    <t>沈阳市</t>
  </si>
  <si>
    <t>工业用地</t>
  </si>
  <si>
    <t>≥1</t>
  </si>
  <si>
    <t>挂牌</t>
  </si>
  <si>
    <t>2018-07-23</t>
  </si>
  <si>
    <t>沈阳思耐特电驱动科技有限公司</t>
  </si>
  <si>
    <t>辉山大街西侧-45</t>
  </si>
  <si>
    <t>2018-07-03</t>
  </si>
  <si>
    <t>沈阳新阳光机电科技有限公司</t>
  </si>
  <si>
    <t>辉山大街东侧-29</t>
  </si>
  <si>
    <t>辽宁禾丰牧业股份有限公司</t>
  </si>
  <si>
    <t>蒲河大道南侧-110</t>
  </si>
  <si>
    <t>沈阳金杯锦恒汽车安全系统有限公司</t>
  </si>
  <si>
    <t>沈北开发大道南侧-178</t>
  </si>
  <si>
    <t>2018-06-21</t>
  </si>
  <si>
    <t>沈阳首府电子商务有限公司</t>
  </si>
  <si>
    <t>沈北开发大道南侧-179</t>
  </si>
  <si>
    <t>沈阳首府汽车产业管理有限公司</t>
  </si>
  <si>
    <t>蒲河大道南侧-109地块</t>
  </si>
  <si>
    <t>2018-05-04</t>
  </si>
  <si>
    <t>沈阳百岁生物科技产业园开发有限公司</t>
  </si>
  <si>
    <t>沈北开发大道北侧-165地块</t>
  </si>
  <si>
    <t>沈阳光启航空装备技术有限责任公司</t>
  </si>
  <si>
    <t>107省道北侧-10</t>
  </si>
  <si>
    <t>≥0.7</t>
  </si>
  <si>
    <t>2018-01-25</t>
  </si>
  <si>
    <t>中国航空工业集团公司沈阳空气动力研究所</t>
  </si>
  <si>
    <t>101国道西侧-109</t>
  </si>
  <si>
    <t>沈阳刚玉玻璃制型有限公司</t>
  </si>
  <si>
    <t>沈北新区</t>
  </si>
  <si>
    <t>2017-12-14</t>
  </si>
  <si>
    <t>沈阳红药集团股份有限公司</t>
  </si>
  <si>
    <t>203国道西侧-52</t>
  </si>
  <si>
    <t>≤1.0</t>
  </si>
  <si>
    <t>2017-07-27</t>
  </si>
  <si>
    <t>沈阳伊利乳品有限责任公司</t>
  </si>
  <si>
    <t>辉山大街东侧-27</t>
  </si>
  <si>
    <t>2017-07-19</t>
  </si>
  <si>
    <t>辽宁省林业科学研究院</t>
  </si>
  <si>
    <t>2017-05-16</t>
  </si>
  <si>
    <t>沈阳炜伦工业自动化设备有限公司</t>
  </si>
  <si>
    <t>沈北开发大道北侧-160地块</t>
  </si>
  <si>
    <t>2017-04-20</t>
  </si>
  <si>
    <t>沈阳明日宇航工业有限责任公司</t>
  </si>
  <si>
    <t>辉山大街西侧-41地块</t>
  </si>
  <si>
    <t>≥1.0</t>
  </si>
  <si>
    <t>2017-02-15</t>
  </si>
  <si>
    <t>203国道东侧-86地块</t>
  </si>
  <si>
    <t>2017-01-05</t>
  </si>
  <si>
    <t>沈阳永达铝业有限公司</t>
  </si>
  <si>
    <t>203国道东侧-87地块</t>
  </si>
  <si>
    <t>沈阳晟隆汽车零部件有限公司</t>
  </si>
  <si>
    <t>101国道东侧-79</t>
  </si>
  <si>
    <t>2016-10-14</t>
  </si>
  <si>
    <t>沈阳光谷联合发展有限公司</t>
  </si>
  <si>
    <t>101国道东侧-78</t>
  </si>
  <si>
    <t>沈北开发大道北侧-155</t>
  </si>
  <si>
    <t>沈阳创新华夏机械制造有限公司</t>
  </si>
  <si>
    <t>沈北开发大道北侧-158</t>
  </si>
  <si>
    <t>沈阳天达航空科技有限公司</t>
  </si>
  <si>
    <t>101国道东侧-80</t>
  </si>
  <si>
    <t>沈北开发大道北侧-157</t>
  </si>
  <si>
    <t>辽宁联航通用航空工程院有限公司</t>
  </si>
  <si>
    <t>洋什村-1</t>
  </si>
  <si>
    <t>2016-09-12</t>
  </si>
  <si>
    <t>辽宁鹏程防火门业有限公司</t>
  </si>
  <si>
    <t>沈北开发大道北侧-154</t>
  </si>
  <si>
    <t>2016-08-18</t>
  </si>
  <si>
    <t>辉山大街西侧-40</t>
  </si>
  <si>
    <t>好丽友食品(沈阳)有限公司</t>
  </si>
  <si>
    <t>101国道东侧-77地块</t>
  </si>
  <si>
    <t>2016-08-11</t>
  </si>
  <si>
    <t>沈阳北玉种子科技有限公司</t>
  </si>
  <si>
    <t>203国道西侧-48</t>
  </si>
  <si>
    <t>2016-06-16</t>
  </si>
  <si>
    <t>沈阳爱允贝贝食品有限公司</t>
  </si>
  <si>
    <t>蒲河大道南侧-99</t>
  </si>
  <si>
    <t>沈阳宝隆飞机零部件有限公司</t>
  </si>
  <si>
    <t>蒲河大道南侧-100地块</t>
  </si>
  <si>
    <t>2016-06-01</t>
  </si>
  <si>
    <t>卡斯马汽车系统(上海)有限公司</t>
  </si>
  <si>
    <t>沈北开发大道南侧-173地块</t>
  </si>
  <si>
    <t>≤0.7</t>
  </si>
  <si>
    <t>沈阳妙盛新能源有限公司</t>
  </si>
  <si>
    <t>101国道东侧-75地块</t>
  </si>
  <si>
    <t>2016-05-19</t>
  </si>
  <si>
    <t>辽宁众诚能源科技发展有限公司</t>
  </si>
  <si>
    <t>沈北开发大道北侧-153地块</t>
  </si>
  <si>
    <t>2016-04-27</t>
  </si>
  <si>
    <t>沈阳天汽模航空部件有限公司</t>
  </si>
  <si>
    <t>沈北开发大道北侧-150地块</t>
  </si>
  <si>
    <t>2016-04-18</t>
  </si>
  <si>
    <t>沈阳易北仓储服务有限公司</t>
  </si>
  <si>
    <t>辉山大街西侧-38地块</t>
  </si>
  <si>
    <t>2016-03-18</t>
  </si>
  <si>
    <t>蒲河大道北侧-193地块</t>
  </si>
  <si>
    <t>≤0.8</t>
  </si>
  <si>
    <t>2016-02-23</t>
  </si>
  <si>
    <t>沈阳利源轨道装备有限公司</t>
  </si>
  <si>
    <t>沈北开发大道南侧-172地块</t>
  </si>
  <si>
    <t>2016-02-02</t>
  </si>
  <si>
    <t>沈阳恒运发沈北物流园有限公司</t>
  </si>
  <si>
    <t>203国道西侧-49地块</t>
  </si>
  <si>
    <t>沈阳市泽溢饮料有限公司</t>
  </si>
  <si>
    <t>辉山大街东侧-25地块</t>
  </si>
  <si>
    <t>2015-12-15</t>
  </si>
  <si>
    <t>沈阳同联药业有限公司</t>
  </si>
  <si>
    <t>101国道西侧-100地块</t>
  </si>
  <si>
    <t>2015-12-14</t>
  </si>
  <si>
    <t>沈阳汉富置业有限公司</t>
  </si>
  <si>
    <t>辉山大街西侧-37地块</t>
  </si>
  <si>
    <t>沈阳君悦企业管理有限公司</t>
  </si>
  <si>
    <t>102国道东侧-31</t>
  </si>
  <si>
    <t>2015-11-16</t>
  </si>
  <si>
    <t>沈阳住恒果蔬有限公司</t>
  </si>
  <si>
    <t>沈北开发大道南侧-171地块</t>
  </si>
  <si>
    <t>2015-10-20</t>
  </si>
  <si>
    <t>102国道东侧-32</t>
  </si>
  <si>
    <t>2015-10-08</t>
  </si>
  <si>
    <t>沈阳满佳食品有限公司</t>
  </si>
  <si>
    <t>101国道西侧-91地块</t>
  </si>
  <si>
    <t>2015-09-22</t>
  </si>
  <si>
    <t>沈阳中荣印刷有限公司</t>
  </si>
  <si>
    <t>沈北开发大道北侧-149地块</t>
  </si>
  <si>
    <t>沈阳日日顺供应链有限公司</t>
  </si>
  <si>
    <t>蒲河大道北侧-189地块</t>
  </si>
  <si>
    <t>2015-08-28</t>
  </si>
  <si>
    <t>辉山大街西侧-35地块</t>
  </si>
  <si>
    <t>沈阳康博营养科技有限公司</t>
  </si>
  <si>
    <t>辉山大街西侧-36地块</t>
  </si>
  <si>
    <t>2015-08-27</t>
  </si>
  <si>
    <t>工业</t>
    <phoneticPr fontId="33" type="noConversion"/>
  </si>
  <si>
    <t>规则</t>
    <phoneticPr fontId="33" type="noConversion"/>
  </si>
  <si>
    <t>较规则</t>
  </si>
  <si>
    <t>较规则</t>
    <phoneticPr fontId="33" type="noConversion"/>
  </si>
  <si>
    <t>较不规则</t>
    <phoneticPr fontId="33" type="noConversion"/>
  </si>
  <si>
    <t>不规则</t>
    <phoneticPr fontId="33" type="noConversion"/>
  </si>
  <si>
    <t>七通</t>
    <phoneticPr fontId="33" type="noConversion"/>
  </si>
  <si>
    <t>六通</t>
    <phoneticPr fontId="33" type="noConversion"/>
  </si>
  <si>
    <t>五通</t>
    <phoneticPr fontId="33" type="noConversion"/>
  </si>
  <si>
    <t>四通</t>
    <phoneticPr fontId="33" type="noConversion"/>
  </si>
  <si>
    <t>三通</t>
    <phoneticPr fontId="33" type="noConversion"/>
  </si>
  <si>
    <t>好</t>
    <phoneticPr fontId="33" type="noConversion"/>
  </si>
  <si>
    <t>较好</t>
    <phoneticPr fontId="33" type="noConversion"/>
  </si>
  <si>
    <t>主干道</t>
    <phoneticPr fontId="33" type="noConversion"/>
  </si>
  <si>
    <t>次干道</t>
    <phoneticPr fontId="33" type="noConversion"/>
  </si>
  <si>
    <t>支路</t>
  </si>
  <si>
    <t>支路</t>
    <phoneticPr fontId="33" type="noConversion"/>
  </si>
  <si>
    <t>正常</t>
  </si>
  <si>
    <t>楼面地价</t>
  </si>
  <si>
    <t>5-7#工业厂房</t>
  </si>
  <si>
    <t>5-7#工业厂房</t>
    <phoneticPr fontId="7" type="noConversion"/>
  </si>
  <si>
    <t>已全部缴纳</t>
  </si>
  <si>
    <t>已包含在土地取得成本中</t>
  </si>
  <si>
    <t>成本法 (元)</t>
  </si>
  <si>
    <t>假设开发法</t>
  </si>
  <si>
    <t>A</t>
    <phoneticPr fontId="143" type="noConversion"/>
  </si>
  <si>
    <t>B</t>
    <phoneticPr fontId="143" type="noConversion"/>
  </si>
  <si>
    <t>C</t>
    <phoneticPr fontId="143" type="noConversion"/>
  </si>
  <si>
    <t>支路——未命名道路</t>
    <phoneticPr fontId="25" type="noConversion"/>
  </si>
  <si>
    <t>规划未命名道路</t>
    <phoneticPr fontId="33" type="noConversion"/>
  </si>
  <si>
    <t>*</t>
  </si>
  <si>
    <r>
      <t>沈北新区蒲文路</t>
    </r>
    <r>
      <rPr>
        <sz val="9"/>
        <color rgb="FF000000"/>
        <rFont val="Arial"/>
        <family val="2"/>
      </rPr>
      <t>16-100</t>
    </r>
    <r>
      <rPr>
        <sz val="9"/>
        <color rgb="FF000000"/>
        <rFont val="华文细黑"/>
        <family val="3"/>
        <charset val="134"/>
      </rPr>
      <t>号</t>
    </r>
  </si>
  <si>
    <r>
      <t>D</t>
    </r>
    <r>
      <rPr>
        <sz val="9"/>
        <color rgb="FF000000"/>
        <rFont val="华文细黑"/>
        <family val="3"/>
        <charset val="134"/>
      </rPr>
      <t>区</t>
    </r>
  </si>
  <si>
    <r>
      <t>4</t>
    </r>
    <r>
      <rPr>
        <sz val="9"/>
        <color rgb="FF000000"/>
        <rFont val="华文细黑"/>
        <family val="3"/>
        <charset val="134"/>
      </rPr>
      <t>层（有夹层）</t>
    </r>
  </si>
  <si>
    <r>
      <t>2012</t>
    </r>
    <r>
      <rPr>
        <sz val="9"/>
        <color rgb="FF000000"/>
        <rFont val="华文细黑"/>
        <family val="3"/>
        <charset val="134"/>
      </rPr>
      <t>年</t>
    </r>
  </si>
  <si>
    <t>空置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</si>
</sst>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Arial"/>
      <family val="2"/>
    </font>
    <font>
      <sz val="9"/>
      <color rgb="FF000000"/>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47" fillId="5" borderId="2"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176" fontId="47" fillId="5" borderId="1" xfId="0" applyNumberFormat="1" applyFont="1" applyFill="1" applyBorder="1" applyAlignment="1" applyProtection="1">
      <alignment horizontal="center" vertical="center" wrapText="1"/>
    </xf>
    <xf numFmtId="176" fontId="47" fillId="5" borderId="2" xfId="0" applyNumberFormat="1" applyFont="1" applyFill="1" applyBorder="1" applyAlignment="1" applyProtection="1">
      <alignment horizontal="center" vertical="center" wrapText="1"/>
      <protection locked="0"/>
    </xf>
    <xf numFmtId="176" fontId="47" fillId="5" borderId="2" xfId="0" applyNumberFormat="1" applyFont="1" applyFill="1" applyBorder="1" applyAlignment="1" applyProtection="1">
      <alignment horizontal="center" vertical="center" wrapText="1"/>
    </xf>
    <xf numFmtId="176" fontId="47" fillId="5" borderId="13" xfId="0" applyNumberFormat="1" applyFont="1" applyFill="1" applyBorder="1" applyAlignment="1" applyProtection="1">
      <alignment horizontal="center" vertical="center" wrapText="1"/>
    </xf>
    <xf numFmtId="176" fontId="47" fillId="5" borderId="1" xfId="0" applyNumberFormat="1" applyFont="1" applyFill="1" applyBorder="1" applyAlignment="1" applyProtection="1">
      <alignment vertical="center" wrapText="1"/>
      <protection locked="0"/>
    </xf>
    <xf numFmtId="176" fontId="47" fillId="5" borderId="1" xfId="0" applyNumberFormat="1" applyFont="1" applyFill="1" applyBorder="1" applyAlignment="1" applyProtection="1">
      <alignment horizontal="center" vertical="center" wrapText="1"/>
      <protection locked="0"/>
    </xf>
    <xf numFmtId="0" fontId="47" fillId="5" borderId="4"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176" fontId="47" fillId="5" borderId="24" xfId="0" applyNumberFormat="1" applyFont="1" applyFill="1" applyBorder="1" applyAlignment="1" applyProtection="1">
      <alignment horizontal="center" vertical="center" wrapText="1"/>
    </xf>
    <xf numFmtId="0" fontId="47" fillId="5" borderId="0" xfId="0" applyFont="1" applyFill="1" applyAlignment="1" applyProtection="1">
      <alignment horizontal="center" vertical="center" wrapText="1"/>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50" fillId="5" borderId="1" xfId="0" applyFont="1" applyFill="1" applyBorder="1" applyProtection="1">
      <alignment vertical="center"/>
      <protection locked="0"/>
    </xf>
    <xf numFmtId="0" fontId="50" fillId="5" borderId="1" xfId="0" applyFont="1" applyFill="1" applyBorder="1" applyAlignment="1" applyProtection="1">
      <alignment horizontal="center" vertical="center"/>
      <protection locked="0"/>
    </xf>
    <xf numFmtId="0" fontId="50" fillId="5" borderId="1" xfId="0" applyFont="1" applyFill="1" applyBorder="1" applyAlignment="1" applyProtection="1">
      <alignment horizontal="center" vertical="center"/>
    </xf>
    <xf numFmtId="0" fontId="63" fillId="5" borderId="1" xfId="0"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center" vertical="center"/>
    </xf>
    <xf numFmtId="0" fontId="55" fillId="5" borderId="1"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56" fillId="0" borderId="0" xfId="13"/>
    <xf numFmtId="0" fontId="19" fillId="0" borderId="0" xfId="13" applyFont="1"/>
    <xf numFmtId="0" fontId="137" fillId="2" borderId="51" xfId="0" applyNumberFormat="1" applyFont="1" applyFill="1" applyBorder="1" applyAlignment="1" applyProtection="1">
      <alignment horizontal="center" vertical="center" wrapText="1"/>
      <protection locked="0"/>
    </xf>
    <xf numFmtId="0" fontId="56" fillId="5" borderId="0" xfId="13" applyFill="1"/>
    <xf numFmtId="49" fontId="98" fillId="0" borderId="35" xfId="0" applyNumberFormat="1" applyFont="1" applyFill="1" applyBorder="1" applyAlignment="1" applyProtection="1">
      <alignment horizontal="center" vertical="center" wrapText="1"/>
      <protection locked="0"/>
    </xf>
    <xf numFmtId="0" fontId="254" fillId="0" borderId="81" xfId="0" applyFont="1" applyBorder="1" applyAlignment="1">
      <alignment horizontal="justify" vertical="center"/>
    </xf>
    <xf numFmtId="0" fontId="254" fillId="0" borderId="43" xfId="0" applyFont="1" applyBorder="1" applyAlignment="1">
      <alignment horizontal="justify" vertical="center"/>
    </xf>
    <xf numFmtId="0" fontId="255" fillId="0" borderId="43" xfId="0" applyFont="1" applyBorder="1" applyAlignment="1">
      <alignment horizontal="justify"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5" fillId="0" borderId="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494124</xdr:colOff>
      <xdr:row>47</xdr:row>
      <xdr:rowOff>65660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09524" cy="81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55</xdr:row>
      <xdr:rowOff>61998</xdr:rowOff>
    </xdr:from>
    <xdr:to>
      <xdr:col>7</xdr:col>
      <xdr:colOff>485775</xdr:colOff>
      <xdr:row>83</xdr:row>
      <xdr:rowOff>37065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67873"/>
          <a:ext cx="6343650" cy="4508967"/>
        </a:xfrm>
        <a:prstGeom prst="rect">
          <a:avLst/>
        </a:prstGeom>
      </xdr:spPr>
    </xdr:pic>
    <xdr:clientData/>
  </xdr:twoCellAnchor>
  <xdr:twoCellAnchor editAs="oneCell">
    <xdr:from>
      <xdr:col>8</xdr:col>
      <xdr:colOff>6108</xdr:colOff>
      <xdr:row>55</xdr:row>
      <xdr:rowOff>28575</xdr:rowOff>
    </xdr:from>
    <xdr:to>
      <xdr:col>13</xdr:col>
      <xdr:colOff>1750169</xdr:colOff>
      <xdr:row>81</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6549783" y="8934450"/>
          <a:ext cx="6030311" cy="4286250"/>
        </a:xfrm>
        <a:prstGeom prst="rect">
          <a:avLst/>
        </a:prstGeom>
      </xdr:spPr>
    </xdr:pic>
    <xdr:clientData/>
  </xdr:twoCellAnchor>
  <xdr:twoCellAnchor editAs="oneCell">
    <xdr:from>
      <xdr:col>13</xdr:col>
      <xdr:colOff>1943100</xdr:colOff>
      <xdr:row>55</xdr:row>
      <xdr:rowOff>13806</xdr:rowOff>
    </xdr:from>
    <xdr:to>
      <xdr:col>21</xdr:col>
      <xdr:colOff>0</xdr:colOff>
      <xdr:row>77</xdr:row>
      <xdr:rowOff>108792</xdr:rowOff>
    </xdr:to>
    <xdr:pic>
      <xdr:nvPicPr>
        <xdr:cNvPr id="5" name="图片 4"/>
        <xdr:cNvPicPr>
          <a:picLocks noChangeAspect="1"/>
        </xdr:cNvPicPr>
      </xdr:nvPicPr>
      <xdr:blipFill>
        <a:blip xmlns:r="http://schemas.openxmlformats.org/officeDocument/2006/relationships" r:embed="rId3"/>
        <a:stretch>
          <a:fillRect/>
        </a:stretch>
      </xdr:blipFill>
      <xdr:spPr>
        <a:xfrm>
          <a:off x="12773025" y="8919681"/>
          <a:ext cx="5353050" cy="365733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出让国有建设用地使用权及在建建筑物房地产抵押价值预评估</v>
      </c>
    </row>
    <row r="3" spans="1:2" s="1596" customFormat="1">
      <c r="A3" s="1594" t="s">
        <v>1221</v>
      </c>
      <c r="B3" s="1595">
        <f>'预评函-封皮'!B40</f>
        <v>0</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受贵公司委托，我公司对出让国有建设用地使用权及在建建筑物房地产抵押价值进行了预评估。</v>
      </c>
    </row>
    <row r="7" spans="1:2" s="1596" customFormat="1">
      <c r="A7" s="1594" t="s">
        <v>1264</v>
      </c>
      <c r="B7" s="1595" t="str">
        <f>'预评函-1'!A7</f>
        <v>估价对象为出让国有建设用地使用权及在建建筑物房地产，为所有。根据《国有土地使用证》[]，估价对象（分摊）出让国有建设用地使用权面积为1626.74平方米，建筑面积为1611平方米。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出让国有建设用地使用权及在建建筑物房地产,属开发建设的工业项目，该项目尚在开发建设中。根据《国有土地使用证》[]，估价对象（分摊）出让国有建设用地使用权面积为1626.74平方米，规划建筑面积为1611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为估价委托人在向平安银行办理贷款手续过程中，确定房地产抵押贷款额度提供参考依据而评估房地产抵押价值。</v>
      </c>
    </row>
    <row r="12" spans="1:2" s="1596" customFormat="1">
      <c r="A12" s="1594" t="s">
        <v>1226</v>
      </c>
      <c r="B12" s="1595" t="str">
        <f>'预评函-1'!A15</f>
        <v>2018年7月26日（评估专业人员实地查勘之日）</v>
      </c>
    </row>
    <row r="13" spans="1:2" s="1596" customFormat="1">
      <c r="A13" s="1594" t="s">
        <v>1227</v>
      </c>
      <c r="B13" s="1595" t="str">
        <f>'预评函-1'!A18</f>
        <v>本次估价的“房地产价值”是指在正常市场情况下，在价值时点2018年7月26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507</v>
      </c>
    </row>
    <row r="21" spans="1:2" s="1596" customFormat="1">
      <c r="A21" s="1594" t="s">
        <v>1235</v>
      </c>
      <c r="B21" s="1595">
        <f ca="1">'预评函-2'!D7</f>
        <v>3147</v>
      </c>
    </row>
    <row r="22" spans="1:2" s="1596" customFormat="1">
      <c r="A22" s="1594" t="s">
        <v>1236</v>
      </c>
      <c r="B22" s="1595" t="str">
        <f ca="1">'预评函-2'!D6</f>
        <v>伍佰零柒万元整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507</v>
      </c>
    </row>
    <row r="31" spans="1:2" s="1596" customFormat="1">
      <c r="A31" s="1594" t="s">
        <v>1274</v>
      </c>
      <c r="B31" s="1595">
        <f ca="1">'预评函-2'!D15</f>
        <v>3147</v>
      </c>
    </row>
    <row r="32" spans="1:2" s="1596" customFormat="1">
      <c r="A32" s="1594" t="s">
        <v>1241</v>
      </c>
      <c r="B32" s="1595" t="str">
        <f ca="1">'预评函-2'!D14</f>
        <v>伍佰零柒万元整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出让国有建设用地使用权及在建建筑物房地产</v>
      </c>
    </row>
    <row r="42" spans="1:2" s="1596" customFormat="1">
      <c r="A42" s="1594" t="s">
        <v>1288</v>
      </c>
      <c r="B42" s="1595" t="str">
        <f>'预评函-3'!B2</f>
        <v>建筑面积</v>
      </c>
    </row>
    <row r="43" spans="1:2" s="1596" customFormat="1">
      <c r="A43" s="1594" t="s">
        <v>1289</v>
      </c>
      <c r="B43" s="1595">
        <f>'预评函-3'!B4</f>
        <v>1611</v>
      </c>
    </row>
    <row r="44" spans="1:2" s="1596" customFormat="1">
      <c r="A44" s="1594" t="s">
        <v>1273</v>
      </c>
      <c r="B44" s="1595" t="str">
        <f>'预评函-3'!C2</f>
        <v>(分摊)土地面积</v>
      </c>
    </row>
    <row r="45" spans="1:2" s="1596" customFormat="1">
      <c r="A45" s="1594" t="s">
        <v>1245</v>
      </c>
      <c r="B45" s="1595">
        <f>'预评函-3'!C4</f>
        <v>1626.74</v>
      </c>
    </row>
    <row r="46" spans="1:2" s="1596" customFormat="1">
      <c r="A46" s="1594" t="s">
        <v>1271</v>
      </c>
      <c r="B46" s="1595" t="str">
        <f>'预评函-3'!D2</f>
        <v>出让国有建设用地使用权价值</v>
      </c>
    </row>
    <row r="47" spans="1:2" s="1596" customFormat="1">
      <c r="A47" s="1594" t="s">
        <v>1246</v>
      </c>
      <c r="B47" s="1595">
        <f ca="1">'预评函-3'!D4</f>
        <v>2879</v>
      </c>
    </row>
    <row r="48" spans="1:2" s="1596" customFormat="1">
      <c r="A48" s="1594" t="s">
        <v>1247</v>
      </c>
      <c r="B48" s="1595">
        <f ca="1">'预评函-3'!E4</f>
        <v>17871</v>
      </c>
    </row>
    <row r="49" spans="1:2" s="1596" customFormat="1">
      <c r="A49" s="1594" t="s">
        <v>1248</v>
      </c>
      <c r="B49" s="1595" t="str">
        <f ca="1">'预评函-3'!D5</f>
        <v>贰仟捌佰柒拾玖万元整</v>
      </c>
    </row>
    <row r="50" spans="1:2" s="1596" customFormat="1">
      <c r="A50" s="1594" t="s">
        <v>1272</v>
      </c>
      <c r="B50" s="1595" t="str">
        <f>'预评函-3'!F2</f>
        <v>在建建筑物价值</v>
      </c>
    </row>
    <row r="51" spans="1:2" s="1596" customFormat="1">
      <c r="A51" s="1594" t="s">
        <v>1249</v>
      </c>
      <c r="B51" s="1595">
        <f ca="1">'预评函-3'!F4</f>
        <v>-2372</v>
      </c>
    </row>
    <row r="52" spans="1:2" s="1596" customFormat="1">
      <c r="A52" s="1594" t="s">
        <v>1250</v>
      </c>
      <c r="B52" s="1595">
        <f ca="1">'预评函-3'!G4</f>
        <v>-14724</v>
      </c>
    </row>
    <row r="53" spans="1:2" s="1596" customFormat="1">
      <c r="A53" s="1594" t="s">
        <v>1278</v>
      </c>
      <c r="B53" s="1595" t="e">
        <f ca="1">'预评函-3'!F5</f>
        <v>#NUM!</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3201</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为估价委托人在向平安银行办理贷款手续过程中，确定房地产抵押贷款额度提供参考依据而评估房地产抵押价值。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平安银行办理贷款手续。平安银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49"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9"/>
      <c r="B54" s="2025" t="s">
        <v>864</v>
      </c>
      <c r="C54" s="2022" t="s">
        <v>1281</v>
      </c>
    </row>
    <row r="55" spans="1:4">
      <c r="A55" s="3049"/>
      <c r="B55" s="2025" t="s">
        <v>865</v>
      </c>
      <c r="C55" s="2022" t="s">
        <v>1282</v>
      </c>
    </row>
    <row r="56" spans="1:4">
      <c r="A56" s="3049"/>
      <c r="B56" s="2025" t="s">
        <v>866</v>
      </c>
      <c r="C56" s="2022" t="s">
        <v>1286</v>
      </c>
    </row>
    <row r="57" spans="1:4">
      <c r="A57" s="3049"/>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0" zoomScale="90" zoomScaleNormal="100" zoomScaleSheetLayoutView="90" workbookViewId="0">
      <selection activeCell="I14" sqref="I1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1776</v>
      </c>
      <c r="B1" s="3050" t="str">
        <f>IF(B10="北京市","北京市",C10)&amp;F10&amp;IF(结果表!G1="在建","出让国有建设用地使用权及在建建筑物",IF(结果表!G1="土地","出让国有建设用地使用权",))&amp;B9&amp;"预评估"</f>
        <v>出让国有建设用地使用权及在建建筑物房地产抵押价值预评估</v>
      </c>
      <c r="C1" s="3051"/>
      <c r="D1" s="3051"/>
      <c r="E1" s="3051"/>
      <c r="F1" s="3051"/>
      <c r="G1" s="3051"/>
      <c r="H1" s="3051"/>
      <c r="I1" s="305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8" t="s">
        <v>1778</v>
      </c>
      <c r="B3" s="2039">
        <v>43307</v>
      </c>
      <c r="C3" s="2040" t="s">
        <v>1779</v>
      </c>
      <c r="D3" s="2039">
        <f>B3</f>
        <v>43307</v>
      </c>
      <c r="E3" s="2029"/>
      <c r="F3" s="2029"/>
      <c r="G3" s="2029"/>
      <c r="H3" s="2029"/>
      <c r="I3" s="2029"/>
      <c r="J3" s="2029"/>
      <c r="K3" s="2030"/>
      <c r="L3" s="2031"/>
      <c r="M3" s="2031"/>
      <c r="N3" s="2032"/>
      <c r="O3" s="2033"/>
      <c r="P3" s="2032"/>
      <c r="Q3" s="2032"/>
      <c r="R3" s="2032"/>
      <c r="S3" s="2034"/>
    </row>
    <row r="4" spans="1:19" ht="18" customHeight="1" thickBot="1">
      <c r="A4" s="2041" t="s">
        <v>1780</v>
      </c>
      <c r="B4" s="2042" t="s">
        <v>3043</v>
      </c>
      <c r="C4" s="1040">
        <f ca="1">SUMIF(注册房地产估价师,B4,估价师及机构信息!B3:B24)</f>
        <v>1120050019</v>
      </c>
      <c r="D4" s="2042" t="s">
        <v>3044</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946" t="s">
        <v>3045</v>
      </c>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1" t="s">
        <v>1783</v>
      </c>
      <c r="B7" s="2055"/>
      <c r="C7" s="2052"/>
      <c r="D7" s="2053"/>
      <c r="E7" s="2037"/>
      <c r="F7" s="2045"/>
      <c r="G7" s="2045"/>
      <c r="H7" s="2045"/>
      <c r="I7" s="2045"/>
      <c r="J7" s="2045"/>
      <c r="K7" s="2056"/>
      <c r="L7" s="2031"/>
      <c r="M7" s="2031"/>
      <c r="N7" s="2032"/>
      <c r="O7" s="2033"/>
      <c r="P7" s="2032"/>
      <c r="Q7" s="2032"/>
      <c r="R7" s="2032"/>
    </row>
    <row r="8" spans="1:19" ht="18" customHeight="1">
      <c r="A8" s="2051" t="s">
        <v>1784</v>
      </c>
      <c r="B8" s="2057" t="s">
        <v>3046</v>
      </c>
      <c r="C8" s="2058"/>
      <c r="D8" s="3053" t="s">
        <v>1785</v>
      </c>
      <c r="E8" s="2059" t="s">
        <v>3047</v>
      </c>
      <c r="F8" s="2060"/>
      <c r="G8" s="2029"/>
      <c r="H8" s="2029"/>
      <c r="I8" s="2029"/>
      <c r="J8" s="2045"/>
      <c r="K8" s="2046"/>
      <c r="L8" s="2031"/>
      <c r="M8" s="2031"/>
      <c r="N8" s="2032"/>
      <c r="O8" s="2033"/>
      <c r="P8" s="2032"/>
      <c r="Q8" s="2032"/>
      <c r="R8" s="2032"/>
    </row>
    <row r="9" spans="1:19" ht="18" customHeight="1" thickBot="1">
      <c r="A9" s="2043" t="s">
        <v>1786</v>
      </c>
      <c r="B9" s="2061" t="s">
        <v>3047</v>
      </c>
      <c r="C9" s="2062"/>
      <c r="D9" s="3054"/>
      <c r="E9" s="2061"/>
      <c r="F9" s="2063"/>
      <c r="G9" s="2064"/>
      <c r="H9" s="2064"/>
      <c r="I9" s="2064"/>
      <c r="J9" s="2045"/>
      <c r="K9" s="2056"/>
      <c r="L9" s="2031"/>
      <c r="M9" s="2031"/>
      <c r="N9" s="2032"/>
      <c r="O9" s="2033"/>
      <c r="P9" s="2032"/>
      <c r="Q9" s="2032"/>
      <c r="R9" s="2032"/>
    </row>
    <row r="10" spans="1:19" ht="18" customHeight="1" thickTop="1">
      <c r="A10" s="2065" t="s">
        <v>1787</v>
      </c>
      <c r="B10" s="2066" t="s">
        <v>3048</v>
      </c>
      <c r="C10" s="2067"/>
      <c r="D10" s="2050"/>
      <c r="E10" s="2068" t="s">
        <v>1788</v>
      </c>
      <c r="F10" s="2069"/>
      <c r="G10" s="2070"/>
      <c r="H10" s="2071"/>
      <c r="I10" s="2050"/>
      <c r="J10" s="2045"/>
      <c r="K10" s="2056"/>
      <c r="L10" s="2031"/>
      <c r="M10" s="2031"/>
      <c r="N10" s="2032"/>
      <c r="O10" s="2033"/>
      <c r="P10" s="2032"/>
      <c r="Q10" s="2032"/>
      <c r="R10" s="2032"/>
    </row>
    <row r="11" spans="1:19" ht="18" customHeight="1">
      <c r="A11" s="2072" t="s">
        <v>1789</v>
      </c>
      <c r="B11" s="2073" t="s">
        <v>3049</v>
      </c>
      <c r="C11" s="2074"/>
      <c r="D11" s="2075"/>
      <c r="E11" s="2045"/>
      <c r="F11" s="2045"/>
      <c r="G11" s="2045"/>
      <c r="H11" s="2045"/>
      <c r="I11" s="2045"/>
      <c r="J11" s="2045"/>
      <c r="K11" s="2056"/>
      <c r="L11" s="2031"/>
      <c r="M11" s="2031"/>
      <c r="N11" s="2032"/>
      <c r="O11" s="2033"/>
      <c r="P11" s="2032"/>
      <c r="Q11" s="2032"/>
      <c r="R11" s="2032"/>
    </row>
    <row r="12" spans="1:19" ht="18" customHeight="1">
      <c r="A12" s="2076" t="s">
        <v>1790</v>
      </c>
      <c r="B12" s="2073" t="s">
        <v>3050</v>
      </c>
      <c r="C12" s="2077" t="s">
        <v>1791</v>
      </c>
      <c r="D12" s="2078" t="s">
        <v>1792</v>
      </c>
      <c r="E12" s="2078" t="s">
        <v>1793</v>
      </c>
      <c r="F12" s="2078" t="s">
        <v>1794</v>
      </c>
      <c r="G12" s="2078" t="s">
        <v>1795</v>
      </c>
      <c r="H12" s="2078" t="s">
        <v>1796</v>
      </c>
      <c r="I12" s="2078" t="s">
        <v>1797</v>
      </c>
      <c r="J12" s="2045"/>
      <c r="K12" s="2056"/>
      <c r="L12" s="2031"/>
      <c r="M12" s="2031"/>
      <c r="N12" s="2032"/>
      <c r="O12" s="2033"/>
      <c r="P12" s="2032"/>
      <c r="Q12" s="2032"/>
      <c r="R12" s="2032"/>
    </row>
    <row r="13" spans="1:19" ht="18" customHeight="1">
      <c r="A13" s="2079"/>
      <c r="B13" s="2080"/>
      <c r="C13" s="2081" t="s">
        <v>1798</v>
      </c>
      <c r="D13" s="2082"/>
      <c r="E13" s="2082"/>
      <c r="F13" s="2082"/>
      <c r="G13" s="2082"/>
      <c r="H13" s="2082"/>
      <c r="I13" s="1050">
        <v>58889</v>
      </c>
      <c r="J13" s="2045"/>
      <c r="K13" s="2056"/>
      <c r="L13" s="2031"/>
      <c r="M13" s="2031"/>
      <c r="N13" s="2032"/>
      <c r="O13" s="2033"/>
      <c r="P13" s="2032"/>
      <c r="Q13" s="2032"/>
      <c r="R13" s="2032"/>
    </row>
    <row r="14" spans="1:19" ht="18" customHeight="1">
      <c r="A14" s="2079"/>
      <c r="B14" s="2080"/>
      <c r="C14" s="2081" t="s">
        <v>1799</v>
      </c>
      <c r="D14" s="1053"/>
      <c r="E14" s="1053"/>
      <c r="F14" s="1053"/>
      <c r="G14" s="1053"/>
      <c r="H14" s="1053"/>
      <c r="I14" s="1053">
        <v>50</v>
      </c>
      <c r="J14" s="2045"/>
      <c r="K14" s="2083"/>
      <c r="L14" s="2031"/>
      <c r="M14" s="2031"/>
      <c r="N14" s="2032"/>
      <c r="O14" s="2033"/>
      <c r="P14" s="2032"/>
      <c r="Q14" s="2032"/>
      <c r="R14" s="2032"/>
    </row>
    <row r="15" spans="1:19" ht="18" customHeight="1">
      <c r="A15" s="2065"/>
      <c r="B15" s="2084"/>
      <c r="C15" s="2081"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42.69</v>
      </c>
      <c r="J15" s="2045"/>
      <c r="K15" s="2085"/>
      <c r="L15" s="2086"/>
      <c r="M15" s="2086"/>
      <c r="N15" s="2087"/>
      <c r="O15" s="2086"/>
      <c r="P15" s="2087"/>
      <c r="Q15" s="2032"/>
      <c r="R15" s="2032"/>
    </row>
    <row r="16" spans="1:19" ht="30.75" customHeight="1">
      <c r="A16" s="2068" t="s">
        <v>1801</v>
      </c>
      <c r="B16" s="3060"/>
      <c r="C16" s="3061"/>
      <c r="D16" s="3062"/>
      <c r="E16" s="2088" t="s">
        <v>1802</v>
      </c>
      <c r="F16" s="3063"/>
      <c r="G16" s="3064"/>
      <c r="H16" s="3064"/>
      <c r="I16" s="3065"/>
      <c r="J16" s="2032"/>
      <c r="K16" s="2085"/>
      <c r="L16" s="2086"/>
      <c r="M16" s="2086"/>
      <c r="N16" s="2087"/>
      <c r="O16" s="2086"/>
      <c r="P16" s="2087"/>
      <c r="Q16" s="2032"/>
      <c r="R16" s="2032"/>
    </row>
    <row r="17" spans="1:22" ht="18" customHeight="1">
      <c r="A17" s="2089" t="s">
        <v>1803</v>
      </c>
      <c r="B17" s="2038" t="s">
        <v>1804</v>
      </c>
      <c r="C17" s="1057">
        <f>'数据-汇总表'!E3</f>
        <v>1611</v>
      </c>
      <c r="D17" s="2090" t="s">
        <v>1805</v>
      </c>
      <c r="E17" s="3066" t="s">
        <v>1806</v>
      </c>
      <c r="F17" s="3067"/>
      <c r="G17" s="3067"/>
      <c r="H17" s="3067"/>
      <c r="I17" s="3068"/>
      <c r="J17" s="2032"/>
      <c r="K17" s="2091"/>
      <c r="L17" s="2086"/>
      <c r="M17" s="2086"/>
      <c r="N17" s="2087"/>
      <c r="O17" s="2086"/>
      <c r="P17" s="2087"/>
      <c r="Q17" s="2032"/>
      <c r="R17" s="2032"/>
      <c r="S17" s="2032"/>
      <c r="T17" s="2032"/>
      <c r="U17" s="2032"/>
      <c r="V17" s="2032"/>
    </row>
    <row r="18" spans="1:22" ht="36" customHeight="1" thickBot="1">
      <c r="A18" s="2092" t="s">
        <v>1807</v>
      </c>
      <c r="B18" s="2041" t="s">
        <v>1808</v>
      </c>
      <c r="C18" s="1447">
        <f>'数据-汇总表'!D3</f>
        <v>1626.74</v>
      </c>
      <c r="D18" s="2093" t="s">
        <v>1805</v>
      </c>
      <c r="E18" s="3069" t="s">
        <v>1809</v>
      </c>
      <c r="F18" s="3070"/>
      <c r="G18" s="3070"/>
      <c r="H18" s="3070"/>
      <c r="I18" s="3071"/>
      <c r="J18" s="2032"/>
      <c r="K18" s="2091"/>
      <c r="L18" s="2086"/>
      <c r="M18" s="2086"/>
      <c r="N18" s="2087"/>
      <c r="O18" s="2086"/>
      <c r="P18" s="2087"/>
      <c r="Q18" s="2032"/>
      <c r="R18" s="2032"/>
      <c r="S18" s="2032"/>
      <c r="T18" s="2032"/>
      <c r="U18" s="2032"/>
      <c r="V18" s="2032"/>
    </row>
    <row r="19" spans="1:22" ht="37.5" customHeight="1" thickTop="1" thickBot="1">
      <c r="A19" s="373" t="s">
        <v>1810</v>
      </c>
      <c r="B19" s="352" t="s">
        <v>1811</v>
      </c>
      <c r="C19" s="2094"/>
      <c r="D19" s="2095" t="s">
        <v>1812</v>
      </c>
      <c r="E19" s="2096"/>
      <c r="F19" s="2097" t="str">
        <f>IF(AND(C19="是",E19="否"),"是否提供他项权证或相关说明","")</f>
        <v/>
      </c>
      <c r="G19" s="2098"/>
      <c r="H19" s="2045"/>
      <c r="I19" s="2045"/>
      <c r="J19" s="2045"/>
      <c r="K19" s="2056"/>
      <c r="L19" s="2031"/>
      <c r="M19" s="2031"/>
      <c r="N19" s="2087"/>
      <c r="O19" s="2086"/>
      <c r="P19" s="2087"/>
      <c r="Q19" s="2032"/>
      <c r="R19" s="2032"/>
      <c r="S19" s="2032"/>
      <c r="T19" s="2032"/>
      <c r="U19" s="2032"/>
      <c r="V19" s="2032"/>
    </row>
    <row r="20" spans="1:22" ht="18" customHeight="1">
      <c r="A20" s="2099" t="s">
        <v>1813</v>
      </c>
      <c r="B20" s="3056" t="s">
        <v>1814</v>
      </c>
      <c r="C20" s="3057"/>
      <c r="D20" s="3058" t="s">
        <v>1815</v>
      </c>
      <c r="E20" s="3059"/>
      <c r="F20" s="2100" t="s">
        <v>1816</v>
      </c>
      <c r="G20" s="2045"/>
      <c r="H20" s="2045"/>
      <c r="I20" s="2045"/>
      <c r="J20" s="2045"/>
      <c r="K20" s="3055"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1818</v>
      </c>
      <c r="C21" s="2102" t="s">
        <v>1819</v>
      </c>
      <c r="D21" s="2103" t="s">
        <v>1820</v>
      </c>
      <c r="E21" s="2104" t="s">
        <v>1819</v>
      </c>
      <c r="F21" s="2105"/>
      <c r="G21" s="2045"/>
      <c r="H21" s="2045"/>
      <c r="I21" s="2045"/>
      <c r="J21" s="2045"/>
      <c r="K21" s="305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1821</v>
      </c>
      <c r="C22" s="2102" t="s">
        <v>1822</v>
      </c>
      <c r="D22" s="2029"/>
      <c r="E22" s="2029"/>
      <c r="F22" s="2107"/>
      <c r="G22" s="2045"/>
      <c r="H22" s="2045"/>
      <c r="I22" s="2045"/>
      <c r="J22" s="2045"/>
      <c r="K22" s="305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1823</v>
      </c>
      <c r="B23" s="183" t="s">
        <v>1824</v>
      </c>
      <c r="C23" s="2109"/>
      <c r="D23" s="2110" t="s">
        <v>1824</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1825</v>
      </c>
      <c r="C24" s="2114"/>
      <c r="D24" s="2108" t="s">
        <v>1825</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1826</v>
      </c>
      <c r="C25" s="2114"/>
      <c r="D25" s="2108" t="s">
        <v>1826</v>
      </c>
      <c r="E25" s="2115"/>
      <c r="F25" s="2107"/>
      <c r="G25" s="2045"/>
      <c r="H25" s="2045"/>
      <c r="I25" s="2045"/>
      <c r="J25" s="2045"/>
      <c r="K25" s="2056"/>
      <c r="L25" s="2031"/>
      <c r="M25" s="2031"/>
      <c r="N25" s="2087"/>
      <c r="O25" s="2086"/>
      <c r="P25" s="2087"/>
      <c r="Q25" s="2032"/>
      <c r="R25" s="2032"/>
      <c r="S25" s="2032"/>
      <c r="T25" s="2032"/>
      <c r="U25" s="2032"/>
      <c r="V25" s="2032"/>
    </row>
    <row r="26" spans="1:22" ht="18" customHeight="1" thickBot="1">
      <c r="A26" s="2116"/>
      <c r="B26" s="2117" t="s">
        <v>1827</v>
      </c>
      <c r="C26" s="2118"/>
      <c r="D26" s="2119" t="s">
        <v>1828</v>
      </c>
      <c r="E26" s="2120"/>
      <c r="F26" s="2121"/>
      <c r="G26" s="2064"/>
      <c r="H26" s="2064"/>
      <c r="I26" s="2064"/>
      <c r="J26" s="2045"/>
      <c r="K26" s="2056"/>
      <c r="L26" s="2031"/>
      <c r="M26" s="2031"/>
      <c r="N26" s="2087"/>
      <c r="O26" s="2086"/>
      <c r="P26" s="2087"/>
      <c r="Q26" s="2032"/>
      <c r="R26" s="2032"/>
      <c r="S26" s="2032"/>
      <c r="T26" s="2032"/>
      <c r="U26" s="2032"/>
      <c r="V26" s="2032"/>
    </row>
    <row r="27" spans="1:22" ht="18" customHeight="1" thickTop="1">
      <c r="A27" s="3073" t="s">
        <v>1829</v>
      </c>
      <c r="B27" s="2065" t="s">
        <v>1830</v>
      </c>
      <c r="C27" s="2122" t="s">
        <v>3051</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73"/>
      <c r="B28" s="2038" t="s">
        <v>1831</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73"/>
      <c r="B29" s="2038" t="s">
        <v>1832</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74"/>
      <c r="B30" s="2038" t="s">
        <v>1833</v>
      </c>
      <c r="C30" s="3075"/>
      <c r="D30" s="3076"/>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77" t="s">
        <v>1834</v>
      </c>
      <c r="B31" s="2129" t="s">
        <v>3052</v>
      </c>
      <c r="C31" s="2130" t="str">
        <f>IF(B31="现房","成新及维护状况正常否",IF(B31="在建","工程状态是否正常",IF(B31="土地","是否闲置","-")))</f>
        <v>工程状态是否正常</v>
      </c>
      <c r="D31" s="2131"/>
      <c r="E31" s="2132"/>
      <c r="F31" s="2045"/>
      <c r="G31" s="2045"/>
      <c r="H31" s="2045"/>
      <c r="I31" s="2045"/>
      <c r="J31" s="2045"/>
      <c r="K31" s="2054"/>
      <c r="L31" s="2031"/>
      <c r="M31" s="2031"/>
      <c r="N31" s="2032"/>
      <c r="O31" s="2033"/>
      <c r="P31" s="2032"/>
      <c r="Q31" s="2032"/>
      <c r="R31" s="2032"/>
      <c r="S31" s="2032"/>
      <c r="T31" s="2032"/>
      <c r="U31" s="2032"/>
      <c r="V31" s="2032"/>
    </row>
    <row r="32" spans="1:22" ht="18" customHeight="1">
      <c r="A32" s="3078"/>
      <c r="B32" s="2129"/>
      <c r="C32" s="2130" t="str">
        <f>IF(B32="现房","成新及维护状况是否正常",IF(B32="在建","工程状态是否正常",IF(B32="土地","是否闲置","-")))</f>
        <v>-</v>
      </c>
      <c r="D32" s="2131"/>
      <c r="E32" s="2132"/>
      <c r="F32" s="2045"/>
      <c r="G32" s="2045"/>
      <c r="H32" s="2045"/>
      <c r="I32" s="2045"/>
      <c r="J32" s="2045"/>
      <c r="K32" s="2056"/>
      <c r="L32" s="2031"/>
      <c r="M32" s="2031"/>
      <c r="N32" s="2032"/>
      <c r="O32" s="2033"/>
      <c r="P32" s="2032"/>
      <c r="Q32" s="2032"/>
      <c r="R32" s="2032"/>
      <c r="S32" s="2032"/>
      <c r="T32" s="2032"/>
      <c r="U32" s="2032"/>
      <c r="V32" s="2032"/>
    </row>
    <row r="33" spans="1:22" ht="18" customHeight="1">
      <c r="A33" s="3078"/>
      <c r="B33" s="2133"/>
      <c r="C33" s="2072" t="str">
        <f>IF(B33="现房","成新及维护状况是否正常",IF(B33="在建","工程状态是否正常",IF(B33="土地","是否闲置","-")))</f>
        <v>-</v>
      </c>
      <c r="D33" s="2134"/>
      <c r="E33" s="2135"/>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1835</v>
      </c>
      <c r="B34" s="2136"/>
      <c r="C34" s="2136"/>
      <c r="D34" s="2136"/>
      <c r="E34" s="2136"/>
      <c r="F34" s="2136"/>
      <c r="G34" s="2136"/>
      <c r="H34" s="2136"/>
      <c r="I34" s="2045"/>
      <c r="J34" s="2045"/>
      <c r="K34" s="1798">
        <f>COUNTIF(B34:H34,"——")</f>
        <v>0</v>
      </c>
      <c r="L34" s="2077" t="s">
        <v>1836</v>
      </c>
      <c r="M34" s="2077" t="s">
        <v>1837</v>
      </c>
      <c r="N34" s="2077" t="s">
        <v>1838</v>
      </c>
      <c r="O34" s="2077" t="s">
        <v>1839</v>
      </c>
      <c r="P34" s="2077" t="s">
        <v>1840</v>
      </c>
      <c r="Q34" s="2077" t="s">
        <v>1841</v>
      </c>
      <c r="R34" s="2077" t="s">
        <v>1842</v>
      </c>
      <c r="S34" s="3072" t="s">
        <v>1843</v>
      </c>
      <c r="T34" s="2137" t="str">
        <f>NUMBERSTRING(7-K34,1)&amp;"通"</f>
        <v>七通</v>
      </c>
      <c r="U34" s="2032"/>
      <c r="V34" s="2032"/>
    </row>
    <row r="35" spans="1:22" ht="18" customHeight="1">
      <c r="A35" s="2138"/>
      <c r="B35" s="3079" t="s">
        <v>1844</v>
      </c>
      <c r="C35" s="3079"/>
      <c r="D35" s="3079"/>
      <c r="E35" s="3079"/>
      <c r="F35" s="2139">
        <f>C10</f>
        <v>0</v>
      </c>
      <c r="G35" s="2045"/>
      <c r="H35" s="2045"/>
      <c r="I35" s="2045"/>
      <c r="J35" s="2045"/>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2"/>
      <c r="T35" s="48" t="str">
        <f>IF(T34="一通",L35,IF(T34="二通",M35,IF(T34="三通",N35,IF(T34="四通",O35,IF(T34="五通",P35,IF(T34="六通",Q35,R35))))))</f>
        <v>、、、、、、</v>
      </c>
      <c r="U35" s="2032"/>
      <c r="V35" s="2032"/>
    </row>
    <row r="36" spans="1:22" ht="18" customHeight="1">
      <c r="A36" s="2140"/>
      <c r="B36" s="2139" t="s">
        <v>1845</v>
      </c>
      <c r="C36" s="2139" t="s">
        <v>1846</v>
      </c>
      <c r="D36" s="2139" t="s">
        <v>1847</v>
      </c>
      <c r="E36" s="2139" t="s">
        <v>1848</v>
      </c>
      <c r="F36" s="2141"/>
      <c r="G36" s="2045"/>
      <c r="H36" s="2045"/>
      <c r="I36" s="2045"/>
      <c r="J36" s="2045"/>
      <c r="K36" s="2056"/>
      <c r="L36" s="2031"/>
      <c r="M36" s="2031"/>
      <c r="N36" s="2032"/>
      <c r="O36" s="2033"/>
      <c r="P36" s="2032"/>
      <c r="Q36" s="2032"/>
      <c r="R36" s="2032"/>
      <c r="S36" s="2032"/>
      <c r="T36" s="2032"/>
      <c r="U36" s="2032"/>
      <c r="V36" s="2032"/>
    </row>
    <row r="37" spans="1:22" ht="18" customHeight="1">
      <c r="A37" s="2142" t="s">
        <v>1849</v>
      </c>
      <c r="B37" s="2143"/>
      <c r="C37" s="2143"/>
      <c r="D37" s="2143"/>
      <c r="E37" s="2143"/>
      <c r="F37" s="2141"/>
      <c r="G37" s="2045"/>
      <c r="H37" s="2045"/>
      <c r="I37" s="2045"/>
      <c r="J37" s="2045"/>
      <c r="K37" s="2056"/>
      <c r="L37" s="2031"/>
      <c r="M37" s="2031"/>
      <c r="N37" s="2032"/>
      <c r="O37" s="2033"/>
      <c r="P37" s="2032"/>
      <c r="Q37" s="2032"/>
      <c r="R37" s="2032"/>
      <c r="S37" s="2032"/>
      <c r="T37" s="2032"/>
      <c r="U37" s="2032"/>
      <c r="V37" s="2032"/>
    </row>
    <row r="38" spans="1:22" ht="18" customHeight="1" thickBot="1">
      <c r="A38" s="2144" t="s">
        <v>1850</v>
      </c>
      <c r="B38" s="2145"/>
      <c r="C38" s="2145"/>
      <c r="D38" s="2145"/>
      <c r="E38" s="2145"/>
      <c r="F38" s="2146"/>
      <c r="G38" s="2064"/>
      <c r="H38" s="2064"/>
      <c r="I38" s="2064"/>
      <c r="J38" s="2045"/>
      <c r="K38" s="2056"/>
      <c r="L38" s="2031"/>
      <c r="M38" s="2031"/>
      <c r="N38" s="2032"/>
      <c r="O38" s="2033"/>
      <c r="P38" s="2032"/>
      <c r="Q38" s="2032"/>
      <c r="R38" s="2032"/>
      <c r="S38" s="2032"/>
      <c r="T38" s="2032"/>
      <c r="U38" s="2032"/>
      <c r="V38" s="2032"/>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1852</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1853</v>
      </c>
      <c r="B42" s="1798" t="s">
        <v>1854</v>
      </c>
      <c r="C42" s="1798" t="s">
        <v>1855</v>
      </c>
      <c r="D42" s="1798" t="s">
        <v>1856</v>
      </c>
      <c r="E42" s="1798" t="s">
        <v>1857</v>
      </c>
      <c r="F42" s="1798" t="s">
        <v>1858</v>
      </c>
      <c r="G42" s="1798" t="s">
        <v>1859</v>
      </c>
      <c r="H42" s="1798" t="s">
        <v>1860</v>
      </c>
      <c r="I42" s="1798" t="s">
        <v>1861</v>
      </c>
      <c r="J42" s="2155" t="s">
        <v>1862</v>
      </c>
      <c r="K42" s="2078" t="s">
        <v>1863</v>
      </c>
      <c r="L42" s="2078" t="s">
        <v>1864</v>
      </c>
      <c r="M42" s="2078" t="s">
        <v>1865</v>
      </c>
      <c r="N42" s="1798" t="s">
        <v>1866</v>
      </c>
      <c r="O42" s="1798" t="s">
        <v>1867</v>
      </c>
      <c r="P42" s="1798" t="s">
        <v>1868</v>
      </c>
      <c r="Q42" s="2077" t="s">
        <v>1869</v>
      </c>
      <c r="R42" s="2077" t="s">
        <v>1870</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8" activePane="bottomRight" state="frozen"/>
      <selection activeCell="C50" sqref="C50"/>
      <selection pane="topRight" activeCell="C50" sqref="C50"/>
      <selection pane="bottomLeft" activeCell="C50" sqref="C50"/>
      <selection pane="bottomRight" activeCell="B24" sqref="B24"/>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1876</v>
      </c>
      <c r="AZ2" s="1273"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ROUND(I5/163782.46*165383,2)</f>
        <v>1626.74</v>
      </c>
      <c r="B3" s="14">
        <f>IF(C3="否",G5-AT5,G5)</f>
        <v>1611</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6"/>
      <c r="C5" s="1806"/>
      <c r="D5" s="1809"/>
      <c r="E5" s="16" t="s">
        <v>1</v>
      </c>
      <c r="F5" s="16">
        <f>SUM(F13:F587)</f>
        <v>0</v>
      </c>
      <c r="G5" s="16">
        <f>SUM(G13:G587)</f>
        <v>1611</v>
      </c>
      <c r="H5" s="16">
        <f t="shared" ref="H5:AT5" si="0">SUM(H13:H656)</f>
        <v>1611</v>
      </c>
      <c r="I5" s="16">
        <f t="shared" si="0"/>
        <v>1611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1611</v>
      </c>
      <c r="BA5" s="18">
        <f t="shared" si="1"/>
        <v>1611</v>
      </c>
      <c r="BB5" s="18">
        <f t="shared" si="1"/>
        <v>1611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1626.74</v>
      </c>
      <c r="F6" s="16" t="s">
        <v>1</v>
      </c>
      <c r="G6" s="16" t="s">
        <v>2</v>
      </c>
      <c r="H6" s="20">
        <f>SUMIF(I$12:AB$12,"总值",I6:AB6)</f>
        <v>1626.74</v>
      </c>
      <c r="I6" s="16">
        <f t="shared" ref="I6:AB6" si="2">ROUND($A$3*I5/$B$3,2)</f>
        <v>1626.74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1626.74</v>
      </c>
      <c r="AZ6" s="16" t="s">
        <v>3</v>
      </c>
      <c r="BA6" s="16">
        <f>ROUND($AY$6*BA5/$AZ$5,2)</f>
        <v>1626.74</v>
      </c>
      <c r="BB6" s="16">
        <f>ROUND($AY$6*BB5/$AZ$5,2)</f>
        <v>1626.74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1889</v>
      </c>
      <c r="AV7" s="23" t="s">
        <v>1890</v>
      </c>
      <c r="AW7" s="2169" t="s">
        <v>1891</v>
      </c>
      <c r="AX7" s="23" t="s">
        <v>1884</v>
      </c>
      <c r="AY7" s="1806"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1"/>
      <c r="K8" s="1821"/>
      <c r="L8" s="1821"/>
      <c r="M8" s="1821"/>
      <c r="N8" s="1821"/>
      <c r="O8" s="1821"/>
      <c r="P8" s="1821"/>
      <c r="Q8" s="1821"/>
      <c r="R8" s="1821"/>
      <c r="S8" s="1821"/>
      <c r="T8" s="1821"/>
      <c r="U8" s="1821"/>
      <c r="V8" s="2189"/>
      <c r="W8" s="1821"/>
      <c r="X8" s="1821"/>
      <c r="Y8" s="1821"/>
      <c r="Z8" s="1821"/>
      <c r="AA8" s="2189"/>
      <c r="AB8" s="2190"/>
      <c r="AC8" s="984" t="s">
        <v>1895</v>
      </c>
      <c r="AD8" s="2191"/>
      <c r="AE8" s="2183"/>
      <c r="AF8" s="1821"/>
      <c r="AG8" s="1821"/>
      <c r="AH8" s="1821"/>
      <c r="AI8" s="1821"/>
      <c r="AJ8" s="1821"/>
      <c r="AK8" s="1821"/>
      <c r="AL8" s="1821"/>
      <c r="AM8" s="1821"/>
      <c r="AN8" s="1821"/>
      <c r="AO8" s="1821"/>
      <c r="AP8" s="1821"/>
      <c r="AQ8" s="1821"/>
      <c r="AR8" s="1821"/>
      <c r="AS8" s="1821"/>
      <c r="AT8" s="1295" t="s">
        <v>1896</v>
      </c>
      <c r="AU8" s="2185" t="s">
        <v>1897</v>
      </c>
      <c r="AV8" s="1295"/>
      <c r="AW8" s="2168"/>
      <c r="AX8" s="1295"/>
      <c r="AY8" s="2169"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1900</v>
      </c>
      <c r="I9" s="2194" t="s">
        <v>3091</v>
      </c>
      <c r="J9" s="984"/>
      <c r="K9" s="2194"/>
      <c r="L9" s="984"/>
      <c r="M9" s="2194"/>
      <c r="N9" s="984"/>
      <c r="O9" s="2194"/>
      <c r="P9" s="984"/>
      <c r="Q9" s="2194"/>
      <c r="R9" s="984"/>
      <c r="S9" s="2194"/>
      <c r="T9" s="984"/>
      <c r="U9" s="2194"/>
      <c r="V9" s="984"/>
      <c r="W9" s="2194"/>
      <c r="X9" s="2195"/>
      <c r="Y9" s="2194"/>
      <c r="Z9" s="984"/>
      <c r="AA9" s="2194"/>
      <c r="AB9" s="984"/>
      <c r="AC9" s="2186"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6"/>
      <c r="AT9" s="2185"/>
      <c r="AU9" s="2185" t="s">
        <v>1903</v>
      </c>
      <c r="AV9" s="1295"/>
      <c r="AW9" s="2168"/>
      <c r="AX9" s="1295"/>
      <c r="AY9" s="28"/>
      <c r="AZ9" s="28" t="s">
        <v>1893</v>
      </c>
      <c r="BA9" s="2197" t="s">
        <v>1904</v>
      </c>
      <c r="BB9" s="2198"/>
      <c r="BC9" s="1341"/>
      <c r="BD9" s="1341"/>
      <c r="BE9" s="1341"/>
      <c r="BF9" s="1341"/>
      <c r="BG9" s="1341"/>
      <c r="BH9" s="1341"/>
      <c r="BI9" s="1341"/>
      <c r="BJ9" s="1341"/>
      <c r="BK9" s="2199"/>
      <c r="BL9" s="15" t="s">
        <v>1905</v>
      </c>
      <c r="BM9" s="1821"/>
      <c r="BN9" s="2188"/>
      <c r="BO9" s="1821"/>
      <c r="BP9" s="1821"/>
      <c r="BQ9" s="1821"/>
      <c r="BR9" s="1821"/>
      <c r="BS9" s="1821"/>
      <c r="BT9" s="26"/>
    </row>
    <row r="10" spans="1:72" s="2192" customFormat="1" ht="12.75">
      <c r="A10" s="2185"/>
      <c r="B10" s="2185"/>
      <c r="C10" s="2185"/>
      <c r="D10" s="2185"/>
      <c r="E10" s="2185"/>
      <c r="F10" s="2185"/>
      <c r="G10" s="1295"/>
      <c r="H10" s="28"/>
      <c r="I10" s="2194" t="s">
        <v>6</v>
      </c>
      <c r="J10" s="984"/>
      <c r="K10" s="2200"/>
      <c r="L10" s="984"/>
      <c r="M10" s="2200"/>
      <c r="N10" s="984"/>
      <c r="O10" s="2200"/>
      <c r="P10" s="984"/>
      <c r="Q10" s="2200"/>
      <c r="R10" s="984"/>
      <c r="S10" s="2200"/>
      <c r="T10" s="984"/>
      <c r="U10" s="2200"/>
      <c r="V10" s="984"/>
      <c r="W10" s="2200"/>
      <c r="X10" s="984"/>
      <c r="Y10" s="2200"/>
      <c r="Z10" s="984"/>
      <c r="AA10" s="2200"/>
      <c r="AB10" s="984"/>
      <c r="AC10" s="1295"/>
      <c r="AD10" s="15" t="s">
        <v>1906</v>
      </c>
      <c r="AE10" s="2201"/>
      <c r="AF10" s="15" t="s">
        <v>1906</v>
      </c>
      <c r="AG10" s="2201"/>
      <c r="AH10" s="15" t="s">
        <v>1907</v>
      </c>
      <c r="AI10" s="2201"/>
      <c r="AJ10" s="15" t="s">
        <v>1907</v>
      </c>
      <c r="AK10" s="2201"/>
      <c r="AL10" s="15" t="s">
        <v>1908</v>
      </c>
      <c r="AM10" s="1301"/>
      <c r="AN10" s="15" t="s">
        <v>1908</v>
      </c>
      <c r="AO10" s="1301"/>
      <c r="AP10" s="15" t="s">
        <v>1909</v>
      </c>
      <c r="AQ10" s="1301"/>
      <c r="AR10" s="15" t="s">
        <v>1909</v>
      </c>
      <c r="AS10" s="1301"/>
      <c r="AT10" s="2185"/>
      <c r="AU10" s="2185"/>
      <c r="AV10" s="1295"/>
      <c r="AW10" s="2168"/>
      <c r="AX10" s="1295"/>
      <c r="AY10" s="28"/>
      <c r="AZ10" s="28"/>
      <c r="BA10" s="2202" t="s">
        <v>1900</v>
      </c>
      <c r="BB10" s="2203" t="str">
        <f>I9</f>
        <v>地上</v>
      </c>
      <c r="BC10" s="29">
        <f>K9</f>
        <v>0</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1910</v>
      </c>
      <c r="AE11" s="1822"/>
      <c r="AF11" s="2207" t="s">
        <v>1910</v>
      </c>
      <c r="AG11" s="1822"/>
      <c r="AH11" s="2207" t="s">
        <v>1911</v>
      </c>
      <c r="AI11" s="2208"/>
      <c r="AJ11" s="2207" t="s">
        <v>1911</v>
      </c>
      <c r="AK11" s="1822"/>
      <c r="AL11" s="1820"/>
      <c r="AM11" s="1822"/>
      <c r="AN11" s="1820"/>
      <c r="AO11" s="1822"/>
      <c r="AP11" s="1820"/>
      <c r="AQ11" s="1822"/>
      <c r="AR11" s="1820"/>
      <c r="AS11" s="1822"/>
      <c r="AT11" s="2168"/>
      <c r="AU11" s="2185"/>
      <c r="AV11" s="1295"/>
      <c r="AW11" s="2168"/>
      <c r="AX11" s="1295"/>
      <c r="AY11" s="28"/>
      <c r="AZ11" s="28"/>
      <c r="BA11" s="28"/>
      <c r="BB11" s="2190" t="str">
        <f>I10</f>
        <v>工业</v>
      </c>
      <c r="BC11" s="2190">
        <f>K10</f>
        <v>0</v>
      </c>
      <c r="BD11" s="2190">
        <f>M10</f>
        <v>0</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2"/>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2956" t="s">
        <v>3204</v>
      </c>
      <c r="D13" s="2216" t="s">
        <v>3092</v>
      </c>
      <c r="E13" s="16">
        <f>IF($C$3="是",ROUND($A$3*G13/$B$3,2),ROUND($A$3*(G13-AT13)/$B$3,2))</f>
        <v>1626.74</v>
      </c>
      <c r="F13" s="32"/>
      <c r="G13" s="33">
        <f>H13+AC13+AT13</f>
        <v>1611</v>
      </c>
      <c r="H13" s="20">
        <f>SUMIF(I$12:AB$12,"总值",I13:AB13)</f>
        <v>1611</v>
      </c>
      <c r="I13" s="2217">
        <v>1611</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5-7#</v>
      </c>
      <c r="AY13" s="1809">
        <f>ROUND($AY$6*AZ13/$AZ$5,2)</f>
        <v>1626.74</v>
      </c>
      <c r="AZ13" s="16">
        <f>BA13+BL13</f>
        <v>1611</v>
      </c>
      <c r="BA13" s="16">
        <f>SUM(BB13:BK13)</f>
        <v>1611</v>
      </c>
      <c r="BB13" s="16">
        <f>IF($D13="是",I13-J13,0)</f>
        <v>1611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s="2970" customFormat="1">
      <c r="A35" s="2948"/>
      <c r="B35" s="2947"/>
      <c r="C35" s="2947"/>
      <c r="D35" s="2947"/>
      <c r="E35" s="2960">
        <f t="shared" si="7"/>
        <v>0</v>
      </c>
      <c r="F35" s="2961"/>
      <c r="G35" s="2962">
        <f t="shared" si="8"/>
        <v>0</v>
      </c>
      <c r="H35" s="2963">
        <f t="shared" si="9"/>
        <v>0</v>
      </c>
      <c r="I35" s="2964"/>
      <c r="J35" s="2964"/>
      <c r="K35" s="2964"/>
      <c r="L35" s="2964"/>
      <c r="M35" s="2964"/>
      <c r="N35" s="2964"/>
      <c r="O35" s="2964"/>
      <c r="P35" s="2964"/>
      <c r="Q35" s="2964"/>
      <c r="R35" s="2964"/>
      <c r="S35" s="2964"/>
      <c r="T35" s="2964"/>
      <c r="U35" s="2964"/>
      <c r="V35" s="2964"/>
      <c r="W35" s="2964"/>
      <c r="X35" s="2964"/>
      <c r="Y35" s="2964"/>
      <c r="Z35" s="2964"/>
      <c r="AA35" s="2964"/>
      <c r="AB35" s="2964"/>
      <c r="AC35" s="2960">
        <f t="shared" si="10"/>
        <v>0</v>
      </c>
      <c r="AD35" s="2965"/>
      <c r="AE35" s="2965"/>
      <c r="AF35" s="2965"/>
      <c r="AG35" s="2965"/>
      <c r="AH35" s="2965"/>
      <c r="AI35" s="2965"/>
      <c r="AJ35" s="2965"/>
      <c r="AK35" s="2965"/>
      <c r="AL35" s="2965"/>
      <c r="AM35" s="2965"/>
      <c r="AN35" s="2965"/>
      <c r="AO35" s="2965"/>
      <c r="AP35" s="2965"/>
      <c r="AQ35" s="2965"/>
      <c r="AR35" s="2965"/>
      <c r="AS35" s="2965"/>
      <c r="AT35" s="2961"/>
      <c r="AU35" s="2966"/>
      <c r="AV35" s="2967">
        <f t="shared" si="11"/>
        <v>0</v>
      </c>
      <c r="AW35" s="2967">
        <f t="shared" si="12"/>
        <v>0</v>
      </c>
      <c r="AX35" s="2967">
        <f t="shared" si="13"/>
        <v>0</v>
      </c>
      <c r="AY35" s="2968">
        <f t="shared" si="14"/>
        <v>0</v>
      </c>
      <c r="AZ35" s="2960">
        <f t="shared" si="15"/>
        <v>0</v>
      </c>
      <c r="BA35" s="2960">
        <f t="shared" si="16"/>
        <v>0</v>
      </c>
      <c r="BB35" s="2960">
        <f t="shared" si="17"/>
        <v>0</v>
      </c>
      <c r="BC35" s="2960">
        <f t="shared" si="18"/>
        <v>0</v>
      </c>
      <c r="BD35" s="2960">
        <f t="shared" si="19"/>
        <v>0</v>
      </c>
      <c r="BE35" s="2960">
        <f t="shared" si="20"/>
        <v>0</v>
      </c>
      <c r="BF35" s="2960">
        <f t="shared" si="21"/>
        <v>0</v>
      </c>
      <c r="BG35" s="2960">
        <f t="shared" si="22"/>
        <v>0</v>
      </c>
      <c r="BH35" s="2960">
        <f t="shared" si="23"/>
        <v>0</v>
      </c>
      <c r="BI35" s="2960">
        <f t="shared" si="24"/>
        <v>0</v>
      </c>
      <c r="BJ35" s="2960">
        <f t="shared" si="25"/>
        <v>0</v>
      </c>
      <c r="BK35" s="2960">
        <f t="shared" si="26"/>
        <v>0</v>
      </c>
      <c r="BL35" s="2960">
        <f t="shared" si="27"/>
        <v>0</v>
      </c>
      <c r="BM35" s="2960">
        <f t="shared" si="28"/>
        <v>0</v>
      </c>
      <c r="BN35" s="2960">
        <f t="shared" si="29"/>
        <v>0</v>
      </c>
      <c r="BO35" s="2960">
        <f t="shared" si="30"/>
        <v>0</v>
      </c>
      <c r="BP35" s="2960">
        <f t="shared" si="31"/>
        <v>0</v>
      </c>
      <c r="BQ35" s="2960">
        <f t="shared" si="32"/>
        <v>0</v>
      </c>
      <c r="BR35" s="2960">
        <f t="shared" si="33"/>
        <v>0</v>
      </c>
      <c r="BS35" s="2960">
        <f t="shared" si="34"/>
        <v>0</v>
      </c>
      <c r="BT35" s="2969">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28.5">
      <c r="A3" s="3080"/>
      <c r="B3" s="3080"/>
      <c r="C3" s="3080"/>
      <c r="D3" s="3081"/>
      <c r="E3" s="30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5"/>
      <c r="C1" s="1395"/>
      <c r="D1" s="1395"/>
      <c r="E1" s="1395"/>
      <c r="F1" s="1395"/>
      <c r="G1" s="1395"/>
      <c r="H1" s="1395"/>
      <c r="I1" s="1395"/>
      <c r="J1" s="1395"/>
      <c r="K1" s="1395"/>
      <c r="L1" s="1395"/>
      <c r="M1" s="1395"/>
      <c r="N1" s="1395"/>
      <c r="O1" s="1395"/>
      <c r="P1" s="1395"/>
    </row>
    <row r="2" spans="1:16" ht="15">
      <c r="A2" s="3091" t="s">
        <v>1940</v>
      </c>
      <c r="B2" s="3091"/>
      <c r="C2" s="3091"/>
      <c r="D2" s="970" t="s">
        <v>1916</v>
      </c>
      <c r="E2" s="2230" t="s">
        <v>1917</v>
      </c>
      <c r="F2" s="1395"/>
      <c r="G2" s="2231"/>
      <c r="H2" s="2232"/>
      <c r="I2" s="2233" t="s">
        <v>1941</v>
      </c>
      <c r="J2" s="1395"/>
      <c r="K2" s="1395"/>
      <c r="L2" s="1395"/>
      <c r="M2" s="1395"/>
      <c r="N2" s="1430"/>
      <c r="O2" s="1395"/>
      <c r="P2" s="1395"/>
    </row>
    <row r="3" spans="1:16" ht="15.75" thickBot="1">
      <c r="A3" s="3092" t="s">
        <v>1914</v>
      </c>
      <c r="B3" s="3092"/>
      <c r="C3" s="3092"/>
      <c r="D3" s="46">
        <f>'数据-基础表'!AY6</f>
        <v>1626.74</v>
      </c>
      <c r="E3" s="46">
        <f>'数据-基础表'!AZ5</f>
        <v>1611</v>
      </c>
      <c r="F3" s="1395"/>
      <c r="G3" s="1402"/>
      <c r="H3" s="1250" t="s">
        <v>1915</v>
      </c>
      <c r="I3" s="55">
        <f>ROUND('数据-基础表'!B3/'数据-基础表'!A3,2)</f>
        <v>0.99</v>
      </c>
      <c r="J3" s="1395"/>
      <c r="K3" s="1395"/>
      <c r="L3" s="1395"/>
      <c r="M3" s="1395"/>
      <c r="N3" s="1430"/>
      <c r="O3" s="1395"/>
      <c r="P3" s="1395"/>
    </row>
    <row r="4" spans="1:16" ht="15">
      <c r="A4" s="3093"/>
      <c r="B4" s="3094"/>
      <c r="C4" s="3095"/>
      <c r="D4" s="2234" t="s">
        <v>1916</v>
      </c>
      <c r="E4" s="2235" t="s">
        <v>1917</v>
      </c>
      <c r="F4" s="1395"/>
      <c r="G4" s="2236" t="s">
        <v>1942</v>
      </c>
      <c r="H4" s="1250" t="s">
        <v>1922</v>
      </c>
      <c r="I4" s="55">
        <f>ROUND(SUMIF('数据-基础表'!I9:AS9,"地上",'数据-基础表'!I5:AS5)/'数据-基础表'!A3,2)</f>
        <v>0.99</v>
      </c>
      <c r="J4" s="1395"/>
      <c r="K4" s="1395"/>
      <c r="L4" s="1395"/>
      <c r="M4" s="1395"/>
      <c r="N4" s="1430"/>
      <c r="O4" s="1395"/>
      <c r="P4" s="1395"/>
    </row>
    <row r="5" spans="1:16">
      <c r="A5" s="47" t="s">
        <v>1918</v>
      </c>
      <c r="B5" s="3096" t="s">
        <v>1919</v>
      </c>
      <c r="C5" s="3096"/>
      <c r="D5" s="48">
        <f>ROUND($D$3*E5/$E$3,2)</f>
        <v>0</v>
      </c>
      <c r="E5" s="49">
        <f>SUMIF('数据-基础表'!$11:$11,"住宅",'数据-基础表'!$5:$5)</f>
        <v>0</v>
      </c>
      <c r="F5" s="1395"/>
      <c r="G5" s="1402"/>
      <c r="H5" s="1250" t="s">
        <v>1915</v>
      </c>
      <c r="I5" s="55">
        <f>ROUND(E31/D31,2)</f>
        <v>0.99</v>
      </c>
      <c r="J5" s="1395"/>
      <c r="K5" s="1395"/>
      <c r="L5" s="1395"/>
      <c r="M5" s="1395"/>
      <c r="N5" s="1395"/>
      <c r="O5" s="1395"/>
      <c r="P5" s="1395"/>
    </row>
    <row r="6" spans="1:16" ht="15" thickBot="1">
      <c r="A6" s="2237"/>
      <c r="B6" s="3096" t="s">
        <v>1920</v>
      </c>
      <c r="C6" s="3096"/>
      <c r="D6" s="48">
        <f>ROUND($D$3*E6/$E$3,2)</f>
        <v>1626.74</v>
      </c>
      <c r="E6" s="49">
        <f>E3-E5</f>
        <v>1611</v>
      </c>
      <c r="F6" s="1395"/>
      <c r="G6" s="2238" t="s">
        <v>1921</v>
      </c>
      <c r="H6" s="1402" t="s">
        <v>1922</v>
      </c>
      <c r="I6" s="942">
        <f>ROUND(F31/D31,2)</f>
        <v>0.99</v>
      </c>
      <c r="J6" s="1395"/>
      <c r="K6" s="1395"/>
      <c r="L6" s="1395"/>
      <c r="M6" s="1395"/>
      <c r="N6" s="1395"/>
      <c r="O6" s="1395"/>
      <c r="P6" s="1395"/>
    </row>
    <row r="7" spans="1:16" ht="15">
      <c r="A7" s="3088"/>
      <c r="B7" s="3089"/>
      <c r="C7" s="3090"/>
      <c r="D7" s="2234" t="s">
        <v>1916</v>
      </c>
      <c r="E7" s="2239" t="s">
        <v>1923</v>
      </c>
      <c r="F7" s="1395"/>
      <c r="G7" s="2231" t="s">
        <v>1924</v>
      </c>
      <c r="H7" s="64"/>
      <c r="I7" s="420"/>
      <c r="J7" s="1395"/>
      <c r="K7" s="1395"/>
      <c r="L7" s="1395"/>
      <c r="M7" s="1395"/>
      <c r="N7" s="1395"/>
      <c r="O7" s="1395"/>
      <c r="P7" s="1395"/>
    </row>
    <row r="8" spans="1:16">
      <c r="A8" s="47" t="s">
        <v>1925</v>
      </c>
      <c r="B8" s="50" t="s">
        <v>1926</v>
      </c>
      <c r="C8" s="48" t="s">
        <v>1927</v>
      </c>
      <c r="D8" s="48">
        <f t="shared" ref="D8:D15" si="0">ROUND($D$3*E8/$E$3,2)</f>
        <v>1626.74</v>
      </c>
      <c r="E8" s="51">
        <f>SUMIF('数据-基础表'!BB10:BK10,"地上",'数据-基础表'!BB5:BK5)</f>
        <v>1611</v>
      </c>
      <c r="F8" s="1395"/>
      <c r="G8" s="2240"/>
      <c r="H8" s="2240"/>
      <c r="I8" s="1395"/>
      <c r="J8" s="1395"/>
      <c r="K8" s="1395"/>
      <c r="L8" s="1395"/>
      <c r="M8" s="1395"/>
      <c r="N8" s="1395"/>
      <c r="O8" s="1395"/>
      <c r="P8" s="1395"/>
    </row>
    <row r="9" spans="1:16">
      <c r="A9" s="2241"/>
      <c r="B9" s="2242"/>
      <c r="C9" s="48" t="s">
        <v>1928</v>
      </c>
      <c r="D9" s="48">
        <f t="shared" si="0"/>
        <v>0</v>
      </c>
      <c r="E9" s="52">
        <v>0</v>
      </c>
      <c r="F9" s="1395"/>
      <c r="G9" s="2240"/>
      <c r="H9" s="2240"/>
      <c r="I9" s="1395"/>
      <c r="J9" s="1395"/>
      <c r="K9" s="1395"/>
      <c r="L9" s="1395"/>
      <c r="M9" s="1395"/>
      <c r="N9" s="1395"/>
      <c r="O9" s="1395"/>
      <c r="P9" s="1395"/>
    </row>
    <row r="10" spans="1:16">
      <c r="A10" s="2241"/>
      <c r="B10" s="2242"/>
      <c r="C10" s="48" t="s">
        <v>1937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1930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1931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1932</v>
      </c>
      <c r="D16" s="50">
        <f>SUM(D8:D15)</f>
        <v>1626.74</v>
      </c>
      <c r="E16" s="53">
        <f>SUM(E8:E15)</f>
        <v>1611</v>
      </c>
      <c r="F16" s="1395"/>
      <c r="G16" s="2240"/>
      <c r="H16" s="2243" t="s">
        <v>1944</v>
      </c>
      <c r="I16" s="2244"/>
      <c r="J16" s="1395"/>
      <c r="K16" s="3085" t="s">
        <v>1944</v>
      </c>
      <c r="L16" s="3086"/>
      <c r="M16" s="3086"/>
      <c r="N16" s="3086"/>
      <c r="O16" s="3086"/>
      <c r="P16" s="3087"/>
    </row>
    <row r="17" spans="1:19" ht="15">
      <c r="A17" s="2245" t="s">
        <v>1945</v>
      </c>
      <c r="B17" s="2246" t="s">
        <v>1946</v>
      </c>
      <c r="C17" s="2247" t="s">
        <v>1947</v>
      </c>
      <c r="D17" s="2248" t="s">
        <v>1935</v>
      </c>
      <c r="E17" s="2249" t="s">
        <v>1936</v>
      </c>
      <c r="F17" s="2250"/>
      <c r="G17" s="2251"/>
      <c r="H17" s="2252" t="s">
        <v>1948</v>
      </c>
      <c r="I17" s="2253" t="s">
        <v>1933</v>
      </c>
      <c r="J17" s="1395"/>
      <c r="K17" s="3082" t="s">
        <v>1949</v>
      </c>
      <c r="L17" s="3083"/>
      <c r="M17" s="3084"/>
      <c r="N17" s="3082" t="s">
        <v>1950</v>
      </c>
      <c r="O17" s="3083"/>
      <c r="P17" s="3084"/>
      <c r="R17" s="2231" t="s">
        <v>1951</v>
      </c>
      <c r="S17" s="64"/>
    </row>
    <row r="18" spans="1:19" ht="15">
      <c r="A18" s="2241"/>
      <c r="B18" s="2254"/>
      <c r="C18" s="2255"/>
      <c r="D18" s="2256"/>
      <c r="E18" s="2257" t="s">
        <v>1952</v>
      </c>
      <c r="F18" s="2258" t="s">
        <v>1953</v>
      </c>
      <c r="G18" s="2259" t="s">
        <v>1954</v>
      </c>
      <c r="H18" s="1265" t="s">
        <v>1955</v>
      </c>
      <c r="I18" s="2260" t="s">
        <v>1956</v>
      </c>
      <c r="J18" s="1395"/>
      <c r="K18" s="1265" t="s">
        <v>1957</v>
      </c>
      <c r="L18" s="2261" t="s">
        <v>1958</v>
      </c>
      <c r="M18" s="1049" t="s">
        <v>1959</v>
      </c>
      <c r="N18" s="1265" t="s">
        <v>1957</v>
      </c>
      <c r="O18" s="2261" t="s">
        <v>1958</v>
      </c>
      <c r="P18" s="1049" t="s">
        <v>1959</v>
      </c>
      <c r="R18" s="1250" t="s">
        <v>1960</v>
      </c>
      <c r="S18" s="1250" t="s">
        <v>1961</v>
      </c>
    </row>
    <row r="19" spans="1:19">
      <c r="A19" s="2262"/>
      <c r="B19" s="50" t="s">
        <v>1934</v>
      </c>
      <c r="C19" s="2957" t="s">
        <v>3372</v>
      </c>
      <c r="D19" s="48">
        <f>ROUND($D$3*E19/$E$3,2)</f>
        <v>1626.74</v>
      </c>
      <c r="E19" s="56">
        <f t="shared" ref="E19:E26" si="1">SUM(F19:G19)</f>
        <v>1611</v>
      </c>
      <c r="F19" s="57">
        <f>'数据-基础表'!I13</f>
        <v>1611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1626.74</v>
      </c>
      <c r="S19" s="1251">
        <f t="shared" si="5"/>
        <v>1611</v>
      </c>
    </row>
    <row r="20" spans="1:19">
      <c r="A20" s="2266"/>
      <c r="B20" s="50" t="s">
        <v>1962</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1962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1963</v>
      </c>
      <c r="D27" s="1396">
        <f>SUM(D19:D26)</f>
        <v>1626.74</v>
      </c>
      <c r="E27" s="1397">
        <f>IF(SUM(E19:E26)='数据-基础表'!BA5,SUM(E19:E26),IF(F27="地上面积有误","面积有误","地下面积有误"))</f>
        <v>1611</v>
      </c>
      <c r="F27" s="1396">
        <f>IF(SUM(F19:F26)=E8,SUM(F19:F26),"地上面积有误")</f>
        <v>1611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1626.74</v>
      </c>
      <c r="S27" s="1250">
        <f>IF(SUM(S19:S26)=$E$3,SUM(S19:S26),SUM(S19:S26)&amp;"误差"&amp;ROUND(SUM(S19:S26)-E3,2))</f>
        <v>1611</v>
      </c>
    </row>
    <row r="28" spans="1:19">
      <c r="A28" s="2266"/>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1964</v>
      </c>
      <c r="C29" s="2270"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1967</v>
      </c>
      <c r="D31" s="729">
        <f>D27+D30</f>
        <v>1626.74</v>
      </c>
      <c r="E31" s="729">
        <f>E27+E30</f>
        <v>1611</v>
      </c>
      <c r="F31" s="730">
        <f>F27+F30</f>
        <v>1611</v>
      </c>
      <c r="G31" s="731">
        <f>G27+G30</f>
        <v>0</v>
      </c>
      <c r="H31" s="1395"/>
      <c r="I31" s="1395"/>
      <c r="J31" s="1395"/>
      <c r="K31" s="1395"/>
      <c r="L31" s="1395"/>
      <c r="M31" s="1395"/>
      <c r="N31" s="1395"/>
      <c r="O31" s="1395"/>
      <c r="P31" s="1395"/>
    </row>
    <row r="32" spans="1:19">
      <c r="A32" s="2236"/>
      <c r="B32" s="2236" t="s">
        <v>1968</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1969</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1970</v>
      </c>
      <c r="B2" s="1269">
        <f>项目基本情况!D3</f>
        <v>43307</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1971</v>
      </c>
      <c r="B4" s="2284"/>
      <c r="C4" s="2285"/>
      <c r="D4" s="2286"/>
      <c r="E4" s="2285" t="s">
        <v>1972</v>
      </c>
      <c r="F4" s="2285"/>
      <c r="G4" s="2285"/>
      <c r="H4" s="2285"/>
      <c r="I4" s="2285"/>
      <c r="J4" s="2287"/>
      <c r="K4" s="2288"/>
      <c r="L4" s="2289"/>
      <c r="M4" s="2285"/>
      <c r="N4" s="2285" t="s">
        <v>1973</v>
      </c>
      <c r="O4" s="2285"/>
      <c r="P4" s="2285"/>
      <c r="Q4" s="2285"/>
      <c r="R4" s="2285"/>
      <c r="S4" s="2287"/>
      <c r="T4" s="2290" t="str">
        <f>'数据-汇总表'!I17</f>
        <v>按面积比例</v>
      </c>
      <c r="U4" s="2284" t="s">
        <v>1974</v>
      </c>
      <c r="V4" s="2285"/>
      <c r="W4" s="2285"/>
      <c r="X4" s="2285"/>
      <c r="Y4" s="2287"/>
      <c r="Z4" s="2247" t="s">
        <v>1975</v>
      </c>
      <c r="AA4" s="2247"/>
      <c r="AB4" s="2247"/>
      <c r="AC4" s="2247"/>
      <c r="AD4" s="2247"/>
      <c r="AE4" s="2245" t="s">
        <v>1976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1977</v>
      </c>
      <c r="B5" s="2293" t="s">
        <v>1978</v>
      </c>
      <c r="C5" s="2294" t="s">
        <v>1979</v>
      </c>
      <c r="D5" s="2295" t="s">
        <v>1980</v>
      </c>
      <c r="E5" s="1271" t="s">
        <v>1981</v>
      </c>
      <c r="F5" s="2296" t="s">
        <v>1982</v>
      </c>
      <c r="G5" s="1271" t="s">
        <v>1983</v>
      </c>
      <c r="H5" s="1271" t="s">
        <v>1984</v>
      </c>
      <c r="I5" s="1271" t="s">
        <v>1985</v>
      </c>
      <c r="J5" s="2297" t="s">
        <v>1986</v>
      </c>
      <c r="K5" s="2298" t="s">
        <v>1987</v>
      </c>
      <c r="L5" s="2299" t="s">
        <v>1988</v>
      </c>
      <c r="M5" s="2300" t="s">
        <v>1989</v>
      </c>
      <c r="N5" s="2301" t="s">
        <v>3205</v>
      </c>
      <c r="O5" s="2299" t="s">
        <v>1990</v>
      </c>
      <c r="P5" s="2302" t="s">
        <v>1991</v>
      </c>
      <c r="Q5" s="69" t="s">
        <v>1992</v>
      </c>
      <c r="R5" s="2303" t="s">
        <v>1993</v>
      </c>
      <c r="S5" s="2304" t="s">
        <v>1994</v>
      </c>
      <c r="T5" s="2305" t="s">
        <v>1995</v>
      </c>
      <c r="U5" s="1270" t="s">
        <v>1996</v>
      </c>
      <c r="V5" s="1271" t="s">
        <v>1997</v>
      </c>
      <c r="W5" s="1271" t="s">
        <v>1998</v>
      </c>
      <c r="X5" s="71"/>
      <c r="Y5" s="70" t="s">
        <v>1999</v>
      </c>
      <c r="Z5" s="2306" t="s">
        <v>1996</v>
      </c>
      <c r="AA5" s="1271" t="s">
        <v>1997</v>
      </c>
      <c r="AB5" s="1271" t="s">
        <v>1998</v>
      </c>
      <c r="AC5" s="71"/>
      <c r="AD5" s="71" t="s">
        <v>1999</v>
      </c>
      <c r="AE5" s="1270" t="s">
        <v>2000</v>
      </c>
      <c r="AF5" s="1271" t="s">
        <v>2001</v>
      </c>
      <c r="AG5" s="70" t="s">
        <v>2002</v>
      </c>
      <c r="AH5" s="1270" t="s">
        <v>2003</v>
      </c>
      <c r="AI5" s="2306" t="s">
        <v>2004</v>
      </c>
      <c r="AJ5" s="2306" t="s">
        <v>2005</v>
      </c>
      <c r="AK5" s="1271" t="s">
        <v>2006</v>
      </c>
      <c r="AL5" s="1271" t="s">
        <v>2007</v>
      </c>
      <c r="AM5" s="70" t="s">
        <v>2008</v>
      </c>
      <c r="AN5" s="2307" t="s">
        <v>2009</v>
      </c>
      <c r="AO5" s="2077" t="s">
        <v>2010</v>
      </c>
      <c r="AP5" s="1252" t="s">
        <v>2011</v>
      </c>
      <c r="AQ5" s="2308" t="s">
        <v>2012</v>
      </c>
      <c r="AR5" s="2308"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9" t="str">
        <f>'数据-汇总表'!C19</f>
        <v>5-7#工业厂房</v>
      </c>
      <c r="B6" s="2310" t="str">
        <f>IF(A6=0,"","经营性")</f>
        <v>经营性</v>
      </c>
      <c r="C6" s="2311" t="s">
        <v>6</v>
      </c>
      <c r="D6" s="1054">
        <f>SUMIF(项目基本情况!D$12:I$12,C6,项目基本情况!D$14:I$14)</f>
        <v>50</v>
      </c>
      <c r="E6" s="1051">
        <f>IF(B6="","",SUMIF(项目基本情况!D$12:I$12,C6,项目基本情况!D$13:I$13))</f>
        <v>58889</v>
      </c>
      <c r="F6" s="72">
        <f>SUMIF(项目基本情况!D$12:I$12,C6,项目基本情况!D$15:I$15)</f>
        <v>42.69</v>
      </c>
      <c r="G6" s="73">
        <f>IF(ISERROR(ROUND(POWER(1+H6,D6-F6)*(POWER(1+H6,F6)-1)/(POWER(1+H6,D6)-1),3)),0,ROUND(POWER(1+H6,D6-F6)*(POWER(1+H6,F6)-1)/(POWER(1+H6,D6)-1),3))</f>
        <v>0.95299999999999996</v>
      </c>
      <c r="H6" s="802">
        <v>4.4999999999999998E-2</v>
      </c>
      <c r="I6" s="802">
        <v>0.05</v>
      </c>
      <c r="J6" s="74">
        <v>8.5000000000000006E-2</v>
      </c>
      <c r="K6" s="1254">
        <f>SUMIF('数据-汇总表'!C$19:C$33,A6,'数据-汇总表'!E$19:E$33)</f>
        <v>1611</v>
      </c>
      <c r="L6" s="803">
        <v>2000</v>
      </c>
      <c r="M6" s="75">
        <f t="shared" ref="M6:M14" si="0">ROUND(K6*L6/10000,0)</f>
        <v>322</v>
      </c>
      <c r="N6" s="801">
        <v>0.95</v>
      </c>
      <c r="O6" s="75">
        <f>IF($N$5="成新度","——",ROUND(M6*N6,0))</f>
        <v>306</v>
      </c>
      <c r="P6" s="76">
        <f>IF($N$5="成新度","——",M6-O6)</f>
        <v>16</v>
      </c>
      <c r="Q6" s="804">
        <v>0.15</v>
      </c>
      <c r="R6" s="77">
        <f ca="1">SUMIF('数据-汇总表'!C$19:C$33,A6,'数据-汇总表'!R$19:R$27)</f>
        <v>1626.74</v>
      </c>
      <c r="S6" s="54">
        <f>IF('数据-汇总表'!$I$17="按面积比例",SUMIF('数据-汇总表'!C$19:C$33,A6,'数据-汇总表'!K$19:K$33),SUMIF('数据-汇总表'!C$19:C$33,A6,'数据-汇总表'!N$19:N$33))</f>
        <v>0</v>
      </c>
      <c r="T6" s="1446">
        <f>ROUND($L$14*S6/10000,0)</f>
        <v>0</v>
      </c>
      <c r="U6" s="78"/>
      <c r="V6" s="79"/>
      <c r="W6" s="79"/>
      <c r="X6" s="1264"/>
      <c r="Y6" s="80">
        <v>0.9</v>
      </c>
      <c r="Z6" s="81"/>
      <c r="AA6" s="74"/>
      <c r="AB6" s="74"/>
      <c r="AC6" s="1264"/>
      <c r="AD6" s="82"/>
      <c r="AE6" s="1265">
        <f ca="1">IF(AN6="",0,SUMIF(INDIRECT("'"&amp;AN6&amp;"'"&amp;"!E:E"),$AE$5,INDIRECT("'"&amp;AN6&amp;"'"&amp;"!F:F")))</f>
        <v>42.69</v>
      </c>
      <c r="AF6" s="1807"/>
      <c r="AG6" s="147">
        <f>IF(AF6="",0,AE6-AF6)</f>
        <v>0</v>
      </c>
      <c r="AH6" s="83"/>
      <c r="AI6" s="85">
        <v>365</v>
      </c>
      <c r="AJ6" s="86"/>
      <c r="AK6" s="87">
        <v>1.4999999999999999E-2</v>
      </c>
      <c r="AL6" s="88">
        <v>1.5E-3</v>
      </c>
      <c r="AM6" s="89">
        <v>0.01</v>
      </c>
      <c r="AN6" s="2312" t="s">
        <v>3089</v>
      </c>
      <c r="AO6" s="55">
        <f ca="1">SUMIF(INDIRECT("'"&amp;AN6&amp;"'"&amp;"!A:A"),"总价",INDIRECT("'"&amp;AN6&amp;"'"&amp;"!B:B"))</f>
        <v>-135</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2014</v>
      </c>
      <c r="B14" s="2310" t="s">
        <v>2015</v>
      </c>
      <c r="C14" s="2315" t="s">
        <v>2014</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2016</v>
      </c>
      <c r="B15" s="2310" t="s">
        <v>2015</v>
      </c>
      <c r="C15" s="2315"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2018</v>
      </c>
      <c r="B16" s="97"/>
      <c r="C16" s="1008"/>
      <c r="D16" s="2317"/>
      <c r="E16" s="97"/>
      <c r="F16" s="97"/>
      <c r="G16" s="98">
        <f>ROUND(SUMPRODUCT(G6:G13,K6:K13)/SUMPRODUCT((G6:G13&gt;0)*(K6:K13)),3)</f>
        <v>0.95299999999999996</v>
      </c>
      <c r="H16" s="99">
        <f>ROUND(SUMPRODUCT(H6:H13,K6:K13)/SUMPRODUCT((H6:H13&gt;0)*(K6:K13)),3)</f>
        <v>4.4999999999999998E-2</v>
      </c>
      <c r="I16" s="100"/>
      <c r="J16" s="100"/>
      <c r="K16" s="101">
        <f>SUM(K6:K15)</f>
        <v>1611</v>
      </c>
      <c r="L16" s="102">
        <f>ROUND(M16*10000/SUM(K6:K14),0)</f>
        <v>1999</v>
      </c>
      <c r="M16" s="102">
        <f>SUM(M6:M14)</f>
        <v>322</v>
      </c>
      <c r="N16" s="103">
        <f>ROUND(SUMPRODUCT(M6:M14,N6:N14)/M16,3)</f>
        <v>0.95</v>
      </c>
      <c r="O16" s="102">
        <f>SUM(O6:O14)</f>
        <v>306</v>
      </c>
      <c r="P16" s="102">
        <f>SUM(P6:P14)</f>
        <v>16</v>
      </c>
      <c r="Q16" s="104">
        <f>ROUND(SUMPRODUCT(Q6:Q13,K6:K13)/SUMPRODUCT((Q6:Q13&gt;0)*(K6:K13)),2)</f>
        <v>0.15</v>
      </c>
      <c r="R16" s="1258">
        <f ca="1">SUM(R6:R13)</f>
        <v>1626.74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2020</v>
      </c>
      <c r="B19" s="112">
        <v>0</v>
      </c>
      <c r="C19" s="2280" t="s">
        <v>2021</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2022</v>
      </c>
      <c r="B20" s="113">
        <v>1</v>
      </c>
      <c r="C20" s="2280" t="s">
        <v>2023</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2024</v>
      </c>
      <c r="B21" s="113">
        <v>0.9</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2025</v>
      </c>
      <c r="B22" s="114">
        <f>B19+B20</f>
        <v>1</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2026</v>
      </c>
      <c r="B23" s="114">
        <f>B19+B21</f>
        <v>0.9</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2027</v>
      </c>
      <c r="B24" s="115">
        <f>B20-B21</f>
        <v>9.9999999999999978E-2</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2028</v>
      </c>
      <c r="B26" s="2323" t="s">
        <v>2029</v>
      </c>
      <c r="C26" s="2324" t="s">
        <v>2030</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2031</v>
      </c>
      <c r="B27" s="116">
        <v>134</v>
      </c>
      <c r="C27" s="1767" t="s">
        <v>2032</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2033</v>
      </c>
      <c r="B28" s="119">
        <v>60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2034</v>
      </c>
      <c r="B29" s="121">
        <f>ROUND(60*'数据-汇总表'!F19/10000,0)</f>
        <v>10</v>
      </c>
      <c r="C29" s="1767" t="s">
        <v>2035</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2036</v>
      </c>
      <c r="B30" s="724">
        <v>150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2037</v>
      </c>
      <c r="B31" s="120">
        <f>B30-B32</f>
        <v>150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2038</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2039</v>
      </c>
      <c r="B33" s="726">
        <v>0.03</v>
      </c>
      <c r="C33" s="1766" t="s">
        <v>2040</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2041</v>
      </c>
      <c r="B34" s="122">
        <v>0</v>
      </c>
      <c r="C34" s="1766" t="s">
        <v>2042</v>
      </c>
      <c r="D34" s="2281" t="s">
        <v>2043</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2044</v>
      </c>
      <c r="B35" s="119">
        <v>200</v>
      </c>
      <c r="C35" s="1766" t="s">
        <v>2045</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2046</v>
      </c>
      <c r="B36" s="123">
        <v>1.4999999999999999E-2</v>
      </c>
      <c r="C36" s="1766" t="s">
        <v>2047</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2048</v>
      </c>
      <c r="B37" s="124">
        <v>0.03</v>
      </c>
      <c r="C37" s="1766" t="s">
        <v>2049</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2050</v>
      </c>
      <c r="B38" s="122">
        <v>0.03</v>
      </c>
      <c r="C38" s="1766" t="s">
        <v>2049</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2051</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2052</v>
      </c>
      <c r="B40" s="1303">
        <f ca="1">存贷款利率!G1</f>
        <v>4.3499999999999997E-2</v>
      </c>
      <c r="C40" s="1766" t="s">
        <v>2053</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2054</v>
      </c>
      <c r="B41" s="125">
        <f>B42+B43</f>
        <v>5.5000000000000007E-2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2055</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2056</v>
      </c>
      <c r="B43" s="127">
        <f>B42*(B44+B45+B46)+B47</f>
        <v>5.000000000000001E-3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2057</v>
      </c>
      <c r="B44" s="128">
        <v>0.05</v>
      </c>
      <c r="C44" s="1766" t="s">
        <v>2058</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2059</v>
      </c>
      <c r="B45" s="126">
        <v>0.03</v>
      </c>
      <c r="C45" s="1767" t="s">
        <v>2060</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2061</v>
      </c>
      <c r="B46" s="126">
        <v>0.02</v>
      </c>
      <c r="C46" s="1767" t="s">
        <v>2062</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2063</v>
      </c>
      <c r="B47" s="129"/>
      <c r="C47" s="1767" t="s">
        <v>2064</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2065</v>
      </c>
      <c r="B48" s="130">
        <v>0.04</v>
      </c>
      <c r="C48" s="1774" t="s">
        <v>2066</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2067</v>
      </c>
      <c r="B49" s="126">
        <v>5.0000000000000001E-4</v>
      </c>
      <c r="C49" s="1774" t="s">
        <v>2068</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2069</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2070</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2071</v>
      </c>
      <c r="B52" s="133">
        <f>SUMIF(A54:A63,B53,B54:B63)</f>
        <v>0</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2072</v>
      </c>
      <c r="B53" s="2339" t="s">
        <v>523</v>
      </c>
      <c r="C53" s="1430" t="s">
        <v>2073</v>
      </c>
      <c r="D53" s="2340" t="s">
        <v>2074</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2075</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2076</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2077</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2078</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2079</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2080</v>
      </c>
      <c r="B59" s="84">
        <v>0.02</v>
      </c>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2081</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2082</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2083</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2084</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7" sqref="L7"/>
    </sheetView>
  </sheetViews>
  <sheetFormatPr defaultRowHeight="14.25"/>
  <cols>
    <col min="1" max="1" width="9.5" style="2372"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71"/>
    <col min="30" max="16384" width="9" style="2372"/>
  </cols>
  <sheetData>
    <row r="1" spans="1:29" s="2365" customFormat="1" ht="19.5" thickBot="1">
      <c r="A1" s="3097" t="s">
        <v>2085</v>
      </c>
      <c r="B1" s="3098"/>
      <c r="C1" s="3098"/>
      <c r="D1" s="3098"/>
      <c r="E1" s="3098"/>
      <c r="F1" s="3098"/>
      <c r="G1" s="3098"/>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2086</v>
      </c>
      <c r="D2" s="2369"/>
      <c r="E2" s="2370"/>
      <c r="F2" s="2289"/>
      <c r="G2" s="2368" t="s">
        <v>2087</v>
      </c>
      <c r="H2" s="2371"/>
      <c r="I2" s="2371"/>
      <c r="J2" s="2371"/>
      <c r="K2" s="2371"/>
      <c r="L2" s="2371"/>
      <c r="M2" s="2371"/>
      <c r="N2" s="2371"/>
      <c r="O2" s="2371"/>
      <c r="P2" s="2371"/>
      <c r="Q2" s="2371"/>
      <c r="R2" s="2371"/>
    </row>
    <row r="3" spans="1:29" ht="54">
      <c r="A3" s="415" t="s">
        <v>2088</v>
      </c>
      <c r="B3" s="1271" t="s">
        <v>2089</v>
      </c>
      <c r="C3" s="2373" t="s">
        <v>2090</v>
      </c>
      <c r="D3" s="2374"/>
      <c r="E3" s="431" t="s">
        <v>2088</v>
      </c>
      <c r="F3" s="2375" t="s">
        <v>2091</v>
      </c>
      <c r="G3" s="2994" t="s">
        <v>3191</v>
      </c>
      <c r="H3" s="2371"/>
      <c r="I3" s="2371"/>
      <c r="J3" s="2371"/>
      <c r="K3" s="2371"/>
      <c r="L3" s="2371"/>
      <c r="M3" s="2371"/>
      <c r="N3" s="2371"/>
      <c r="O3" s="2371"/>
      <c r="P3" s="2371"/>
      <c r="Q3" s="2371"/>
      <c r="R3" s="2371"/>
    </row>
    <row r="4" spans="1:29" ht="54">
      <c r="A4" s="431"/>
      <c r="B4" s="1798" t="s">
        <v>2092</v>
      </c>
      <c r="C4" s="2376" t="s">
        <v>2093</v>
      </c>
      <c r="D4" s="2374"/>
      <c r="E4" s="2377"/>
      <c r="F4" s="42" t="s">
        <v>2094</v>
      </c>
      <c r="G4" s="2995" t="s">
        <v>3192</v>
      </c>
      <c r="H4" s="2371"/>
      <c r="I4" s="2371"/>
      <c r="J4" s="2371"/>
      <c r="K4" s="2371"/>
      <c r="L4" s="2371"/>
      <c r="M4" s="2371"/>
      <c r="N4" s="2371"/>
      <c r="O4" s="2371"/>
      <c r="P4" s="2371"/>
      <c r="Q4" s="2371"/>
      <c r="R4" s="2371"/>
    </row>
    <row r="5" spans="1:29" ht="41.25">
      <c r="A5" s="431"/>
      <c r="B5" s="1798" t="s">
        <v>2096</v>
      </c>
      <c r="C5" s="2376" t="s">
        <v>2097</v>
      </c>
      <c r="D5" s="2374"/>
      <c r="E5" s="2377"/>
      <c r="F5" s="1798" t="s">
        <v>2098</v>
      </c>
      <c r="G5" s="2995" t="s">
        <v>3193</v>
      </c>
      <c r="H5" s="2371"/>
      <c r="I5" s="2371"/>
      <c r="J5" s="2371"/>
      <c r="K5" s="2371"/>
      <c r="L5" s="2371"/>
      <c r="M5" s="2371"/>
      <c r="N5" s="2371"/>
      <c r="O5" s="2371"/>
      <c r="P5" s="2371"/>
      <c r="Q5" s="2371"/>
      <c r="R5" s="2371"/>
    </row>
    <row r="6" spans="1:29" ht="54">
      <c r="A6" s="431"/>
      <c r="B6" s="1798" t="s">
        <v>2100</v>
      </c>
      <c r="C6" s="2378" t="s">
        <v>2095</v>
      </c>
      <c r="D6" s="2374"/>
      <c r="E6" s="2377"/>
      <c r="F6" s="1798" t="s">
        <v>2101</v>
      </c>
      <c r="G6" s="2995" t="s">
        <v>3194</v>
      </c>
      <c r="H6" s="2371"/>
      <c r="I6" s="2371"/>
      <c r="J6" s="2371"/>
      <c r="K6" s="2371"/>
      <c r="L6" s="2371"/>
      <c r="M6" s="2371"/>
      <c r="N6" s="2371"/>
      <c r="O6" s="2371"/>
      <c r="P6" s="2371"/>
      <c r="Q6" s="2371"/>
      <c r="R6" s="2371"/>
    </row>
    <row r="7" spans="1:29" ht="41.25" thickBot="1">
      <c r="A7" s="431"/>
      <c r="B7" s="1798" t="s">
        <v>2098</v>
      </c>
      <c r="C7" s="2378" t="s">
        <v>2099</v>
      </c>
      <c r="D7" s="2379"/>
      <c r="E7" s="2380"/>
      <c r="F7" s="2381" t="s">
        <v>2103</v>
      </c>
      <c r="G7" s="2996" t="s">
        <v>3195</v>
      </c>
      <c r="H7" s="2371"/>
      <c r="I7" s="2371"/>
      <c r="J7" s="2371"/>
      <c r="K7" s="2371"/>
      <c r="L7" s="2371"/>
      <c r="M7" s="2371"/>
      <c r="N7" s="2371"/>
      <c r="O7" s="2371"/>
      <c r="P7" s="2371"/>
      <c r="Q7" s="2371"/>
      <c r="R7" s="2371"/>
    </row>
    <row r="8" spans="1:29" ht="27">
      <c r="A8" s="431"/>
      <c r="B8" s="1798" t="s">
        <v>2101</v>
      </c>
      <c r="C8" s="2378" t="s">
        <v>2102</v>
      </c>
      <c r="D8" s="2379"/>
      <c r="E8" s="2379"/>
      <c r="F8" s="1136"/>
      <c r="G8" s="1136"/>
      <c r="H8" s="2371"/>
      <c r="I8" s="2371"/>
      <c r="J8" s="2371"/>
      <c r="K8" s="2371"/>
      <c r="L8" s="2371"/>
      <c r="M8" s="2371"/>
      <c r="N8" s="2371"/>
      <c r="O8" s="2371"/>
      <c r="P8" s="2371"/>
      <c r="Q8" s="2371"/>
      <c r="R8" s="2371"/>
    </row>
    <row r="9" spans="1:29" ht="27">
      <c r="A9" s="431"/>
      <c r="B9" s="1798" t="s">
        <v>2104</v>
      </c>
      <c r="C9" s="2376" t="s">
        <v>2105</v>
      </c>
      <c r="D9" s="2374"/>
      <c r="E9" s="2379"/>
      <c r="F9" s="1136"/>
      <c r="G9" s="1136"/>
      <c r="H9" s="2371"/>
      <c r="I9" s="2371"/>
      <c r="J9" s="2371"/>
      <c r="K9" s="2371"/>
      <c r="L9" s="2371"/>
      <c r="M9" s="2371"/>
      <c r="N9" s="2371"/>
      <c r="O9" s="2371"/>
      <c r="P9" s="2371"/>
      <c r="Q9" s="2371"/>
      <c r="R9" s="2371"/>
    </row>
    <row r="10" spans="1:29" s="117" customFormat="1" ht="15.75" thickBot="1">
      <c r="A10" s="2382"/>
      <c r="B10" s="2383" t="s">
        <v>2106</v>
      </c>
      <c r="C10" s="2384"/>
      <c r="D10" s="2374"/>
      <c r="E10" s="2374"/>
      <c r="F10" s="1136"/>
      <c r="G10" s="1136"/>
      <c r="H10" s="2385"/>
      <c r="I10" s="2386"/>
      <c r="J10" s="2387"/>
      <c r="K10" s="2385"/>
      <c r="L10" s="2386"/>
      <c r="M10" s="2387"/>
      <c r="N10" s="2385"/>
      <c r="O10" s="2386"/>
      <c r="P10" s="2387"/>
      <c r="Q10" s="2385"/>
      <c r="R10" s="2386"/>
      <c r="S10" s="2371"/>
      <c r="T10" s="2371"/>
      <c r="U10" s="2371"/>
      <c r="V10" s="2371"/>
      <c r="W10" s="2371"/>
      <c r="X10" s="2371"/>
      <c r="Y10" s="2371"/>
      <c r="Z10" s="2371"/>
      <c r="AA10" s="2371"/>
      <c r="AB10" s="2371"/>
      <c r="AC10" s="2371"/>
    </row>
    <row r="11" spans="1:29" s="117" customFormat="1" ht="15">
      <c r="A11" s="2388"/>
      <c r="B11" s="2379"/>
      <c r="C11" s="2374"/>
      <c r="D11" s="2374"/>
      <c r="E11" s="2374"/>
      <c r="F11" s="2379"/>
      <c r="G11" s="1154"/>
      <c r="H11" s="2385"/>
      <c r="I11" s="2386"/>
      <c r="J11" s="2387"/>
      <c r="K11" s="2385"/>
      <c r="L11" s="2386"/>
      <c r="M11" s="2387"/>
      <c r="N11" s="2385"/>
      <c r="O11" s="2386"/>
      <c r="P11" s="2387"/>
      <c r="Q11" s="2385"/>
      <c r="R11" s="2386"/>
      <c r="S11" s="2371"/>
      <c r="T11" s="2371"/>
      <c r="U11" s="2371"/>
      <c r="V11" s="2371"/>
      <c r="W11" s="2371"/>
      <c r="X11" s="2371"/>
      <c r="Y11" s="2371"/>
      <c r="Z11" s="2371"/>
      <c r="AA11" s="2371"/>
      <c r="AB11" s="2371"/>
      <c r="AC11" s="2371"/>
    </row>
    <row r="12" spans="1:29" s="2365" customFormat="1" ht="18">
      <c r="A12" s="2388"/>
      <c r="B12" s="2379"/>
      <c r="C12" s="2374"/>
      <c r="D12" s="2389"/>
      <c r="E12" s="2374"/>
      <c r="F12" s="2379"/>
      <c r="G12" s="1154"/>
      <c r="H12" s="2390"/>
      <c r="I12" s="2391"/>
      <c r="J12" s="2390"/>
      <c r="K12" s="2390"/>
      <c r="L12" s="2392"/>
      <c r="M12" s="2390"/>
      <c r="N12" s="2393"/>
      <c r="O12" s="2394"/>
      <c r="P12" s="2393"/>
      <c r="Q12" s="2393"/>
      <c r="R12" s="2363"/>
      <c r="S12" s="2364"/>
      <c r="T12" s="2364"/>
      <c r="U12" s="2364"/>
      <c r="V12" s="2364"/>
      <c r="W12" s="2364"/>
      <c r="X12" s="2364"/>
      <c r="Y12" s="2364"/>
      <c r="Z12" s="2364"/>
      <c r="AA12" s="2364"/>
      <c r="AB12" s="2364"/>
      <c r="AC12" s="2364"/>
    </row>
    <row r="13" spans="1:29" ht="19.5" thickBot="1">
      <c r="A13" s="2395" t="s">
        <v>2107</v>
      </c>
      <c r="B13" s="2389"/>
      <c r="C13" s="2389"/>
      <c r="D13" s="2396"/>
      <c r="E13" s="2389"/>
      <c r="F13" s="2389"/>
      <c r="G13" s="2389"/>
    </row>
    <row r="14" spans="1:29" ht="15.75" thickBot="1">
      <c r="A14" s="2400"/>
      <c r="B14" s="2401"/>
      <c r="C14" s="2402" t="s">
        <v>2108</v>
      </c>
      <c r="D14" s="2374"/>
      <c r="E14" s="2403"/>
      <c r="F14" s="2403"/>
      <c r="G14" s="2368" t="s">
        <v>2109</v>
      </c>
    </row>
    <row r="15" spans="1:29" ht="57">
      <c r="A15" s="68" t="s">
        <v>2110</v>
      </c>
      <c r="B15" s="1270" t="s">
        <v>2089</v>
      </c>
      <c r="C15" s="2404" t="str">
        <f>C3</f>
        <v>估价对象周边居住用地比例、居住小区规模和社区发展完善程度，综合评价居住社区成熟度一般</v>
      </c>
      <c r="D15" s="2374"/>
      <c r="E15" s="2405" t="s">
        <v>2111</v>
      </c>
      <c r="F15" s="1270" t="s">
        <v>2112</v>
      </c>
      <c r="G15" s="135" t="str">
        <f>G3</f>
        <v>估价对象位于沈北新区，园区建设成熟度较好，产业集聚程度较好</v>
      </c>
    </row>
    <row r="16" spans="1:29" ht="57">
      <c r="A16" s="645"/>
      <c r="B16" s="2406" t="s">
        <v>2092</v>
      </c>
      <c r="C16" s="2407" t="str">
        <f>C4</f>
        <v>估价对象位于XX商圈，周边商业氛围成熟，人流量大，商业繁华度好</v>
      </c>
      <c r="D16" s="2374"/>
      <c r="E16" s="2408"/>
      <c r="F16" s="2409" t="s">
        <v>2094</v>
      </c>
      <c r="G16" s="136" t="str">
        <f>G4</f>
        <v>估价对象周边道路通达状况较好、公共交通通达情况一般、停车较便捷，综合评价交通便捷度一般</v>
      </c>
    </row>
    <row r="17" spans="1:18" ht="42.75">
      <c r="A17" s="645"/>
      <c r="B17" s="2406" t="s">
        <v>2096</v>
      </c>
      <c r="C17" s="2407" t="str">
        <f>C5</f>
        <v>估价对象位于XX商圈，周边办公楼项目较多，入驻率高，办公集聚程度较好</v>
      </c>
      <c r="D17" s="2379"/>
      <c r="E17" s="2408"/>
      <c r="F17" s="2409" t="s">
        <v>2113</v>
      </c>
      <c r="G17" s="2997" t="s">
        <v>3196</v>
      </c>
    </row>
    <row r="18" spans="1:18" ht="57">
      <c r="A18" s="645"/>
      <c r="B18" s="2409" t="s">
        <v>2100</v>
      </c>
      <c r="C18" s="136" t="str">
        <f>C6</f>
        <v>估价对象周边道路状况、公共交通通达情况、停车便捷程度，综合评价交通便捷度较好</v>
      </c>
      <c r="D18" s="2379"/>
      <c r="E18" s="2408"/>
      <c r="F18" s="2409" t="s">
        <v>2103</v>
      </c>
      <c r="G18" s="136" t="str">
        <f>G7</f>
        <v>该园区内无污染型企业，绿化情况一般，卫生条件一般，整体环境状况一般</v>
      </c>
    </row>
    <row r="19" spans="1:18" ht="28.5">
      <c r="A19" s="645"/>
      <c r="B19" s="2409" t="s">
        <v>2114</v>
      </c>
      <c r="C19" s="1572"/>
      <c r="D19" s="2374"/>
      <c r="E19" s="2408"/>
      <c r="F19" s="1798" t="s">
        <v>2098</v>
      </c>
      <c r="G19" s="136" t="str">
        <f>G5</f>
        <v>估价对象所在区域公共配套设施齐备情况一般</v>
      </c>
    </row>
    <row r="20" spans="1:18" ht="28.5">
      <c r="A20" s="645"/>
      <c r="B20" s="2409" t="s">
        <v>2115</v>
      </c>
      <c r="C20" s="2407" t="str">
        <f>C9</f>
        <v>区域自然环境：；人文环境；综合评价环境状况一般</v>
      </c>
      <c r="D20" s="2379"/>
      <c r="E20" s="2408"/>
      <c r="F20" s="1798" t="s">
        <v>2116</v>
      </c>
      <c r="G20" s="136" t="str">
        <f>G6</f>
        <v>估价对象所在区域基础设施水平达五通</v>
      </c>
    </row>
    <row r="21" spans="1:18" ht="28.5">
      <c r="A21" s="645"/>
      <c r="B21" s="1798" t="s">
        <v>2098</v>
      </c>
      <c r="C21" s="136" t="str">
        <f>C7</f>
        <v>估价对象所在区域公共配套设施齐备情况</v>
      </c>
      <c r="D21" s="2374"/>
      <c r="E21" s="2408"/>
      <c r="F21" s="2409" t="s">
        <v>2117</v>
      </c>
      <c r="G21" s="2410" t="s">
        <v>3197</v>
      </c>
    </row>
    <row r="22" spans="1:18" ht="13.5" customHeight="1">
      <c r="A22" s="645"/>
      <c r="B22" s="1798" t="s">
        <v>2101</v>
      </c>
      <c r="C22" s="136" t="str">
        <f>C8</f>
        <v>估价对象所在区域基础设施水平</v>
      </c>
      <c r="D22" s="2374"/>
      <c r="E22" s="2408"/>
      <c r="F22" s="2409" t="s">
        <v>2106</v>
      </c>
      <c r="G22" s="2997" t="s">
        <v>3380</v>
      </c>
    </row>
    <row r="23" spans="1:18" s="2371" customFormat="1" ht="15.75" thickBot="1">
      <c r="A23" s="645"/>
      <c r="B23" s="2409" t="s">
        <v>2117</v>
      </c>
      <c r="C23" s="2410"/>
      <c r="D23" s="2397"/>
      <c r="E23" s="2411"/>
      <c r="F23" s="2412" t="s">
        <v>2118</v>
      </c>
      <c r="G23" s="2413"/>
      <c r="H23" s="2397"/>
      <c r="I23" s="2398"/>
      <c r="J23" s="2397"/>
      <c r="K23" s="2397"/>
      <c r="L23" s="2398"/>
      <c r="M23" s="2397"/>
      <c r="N23" s="2397"/>
      <c r="O23" s="2398"/>
      <c r="P23" s="2397"/>
      <c r="Q23" s="2397"/>
      <c r="R23" s="2399"/>
    </row>
    <row r="24" spans="1:18" s="2371" customFormat="1" ht="15.75" thickBot="1">
      <c r="A24" s="2414"/>
      <c r="B24" s="2412" t="s">
        <v>2119</v>
      </c>
      <c r="C24" s="137">
        <f>C10</f>
        <v>0</v>
      </c>
      <c r="D24" s="2397"/>
      <c r="E24" s="2415"/>
      <c r="F24" s="2415"/>
      <c r="G24" s="2416"/>
      <c r="H24" s="2397"/>
      <c r="I24" s="2398"/>
      <c r="J24" s="2397"/>
      <c r="K24" s="2397"/>
      <c r="L24" s="2398"/>
      <c r="M24" s="2397"/>
      <c r="N24" s="2397"/>
      <c r="O24" s="2398"/>
      <c r="P24" s="2397"/>
      <c r="Q24" s="2397"/>
      <c r="R24" s="2399"/>
    </row>
    <row r="25" spans="1:18" s="2371" customFormat="1">
      <c r="B25" s="2397"/>
      <c r="C25" s="2397"/>
      <c r="D25" s="2397"/>
      <c r="H25" s="2397"/>
      <c r="I25" s="2398"/>
      <c r="J25" s="2397"/>
      <c r="K25" s="2397"/>
      <c r="L25" s="2398"/>
      <c r="M25" s="2397"/>
      <c r="N25" s="2397"/>
      <c r="O25" s="2398"/>
      <c r="P25" s="2397"/>
      <c r="Q25" s="2397"/>
      <c r="R25" s="2399"/>
    </row>
    <row r="26" spans="1:18" s="2371" customFormat="1">
      <c r="B26" s="2397"/>
      <c r="C26" s="2397"/>
      <c r="D26" s="2397"/>
      <c r="H26" s="2397"/>
      <c r="I26" s="2398"/>
      <c r="J26" s="2397"/>
      <c r="K26" s="2397"/>
      <c r="L26" s="2398"/>
      <c r="M26" s="2397"/>
      <c r="N26" s="2397"/>
      <c r="O26" s="2398"/>
      <c r="P26" s="2397"/>
      <c r="Q26" s="2397"/>
      <c r="R26" s="2399"/>
    </row>
    <row r="27" spans="1:18" s="2371" customFormat="1">
      <c r="B27" s="2397"/>
      <c r="C27" s="2397"/>
      <c r="D27" s="2397"/>
      <c r="H27" s="2397"/>
      <c r="I27" s="2398"/>
      <c r="J27" s="2397"/>
      <c r="K27" s="2397"/>
      <c r="L27" s="2398"/>
      <c r="M27" s="2397"/>
      <c r="N27" s="2397"/>
      <c r="O27" s="2398"/>
      <c r="P27" s="2397"/>
      <c r="Q27" s="2397"/>
      <c r="R27" s="2399"/>
    </row>
    <row r="28" spans="1:18" s="2371" customFormat="1">
      <c r="B28" s="2397"/>
      <c r="C28" s="2397"/>
      <c r="D28" s="2397"/>
      <c r="H28" s="2397"/>
      <c r="I28" s="2398"/>
      <c r="J28" s="2397"/>
      <c r="K28" s="2397"/>
      <c r="L28" s="2398"/>
      <c r="M28" s="2397"/>
      <c r="N28" s="2397"/>
      <c r="O28" s="2398"/>
      <c r="P28" s="2397"/>
      <c r="Q28" s="2397"/>
      <c r="R28" s="2399"/>
    </row>
    <row r="29" spans="1:18" s="2371" customFormat="1">
      <c r="B29" s="2397"/>
      <c r="C29" s="2397"/>
      <c r="D29" s="2397"/>
      <c r="H29" s="2397"/>
      <c r="I29" s="2398"/>
      <c r="J29" s="2397"/>
      <c r="K29" s="2397"/>
      <c r="L29" s="2398"/>
      <c r="M29" s="2397"/>
      <c r="N29" s="2397"/>
      <c r="O29" s="2398"/>
      <c r="P29" s="2397"/>
      <c r="Q29" s="2397"/>
      <c r="R29" s="2399"/>
    </row>
    <row r="30" spans="1:18" s="2371" customFormat="1">
      <c r="B30" s="2397"/>
      <c r="C30" s="2397"/>
      <c r="D30" s="2397"/>
      <c r="H30" s="2397"/>
      <c r="I30" s="2398"/>
      <c r="J30" s="2397"/>
      <c r="K30" s="2397"/>
      <c r="L30" s="2398"/>
      <c r="M30" s="2397"/>
      <c r="N30" s="2397"/>
      <c r="O30" s="2398"/>
      <c r="P30" s="2397"/>
      <c r="Q30" s="2397"/>
      <c r="R30" s="2399"/>
    </row>
    <row r="31" spans="1:18" s="2371" customFormat="1">
      <c r="B31" s="2397"/>
      <c r="C31" s="2397"/>
      <c r="D31" s="2397"/>
      <c r="H31" s="2397"/>
      <c r="I31" s="2398"/>
      <c r="J31" s="2397"/>
      <c r="K31" s="2397"/>
      <c r="L31" s="2398"/>
      <c r="M31" s="2397"/>
      <c r="N31" s="2397"/>
      <c r="O31" s="2398"/>
      <c r="P31" s="2397"/>
      <c r="Q31" s="2397"/>
      <c r="R31" s="2399"/>
    </row>
    <row r="32" spans="1:18" s="2371" customFormat="1">
      <c r="B32" s="2397"/>
      <c r="C32" s="2397"/>
      <c r="D32" s="2397"/>
      <c r="H32" s="2397"/>
      <c r="I32" s="2398"/>
      <c r="J32" s="2397"/>
      <c r="K32" s="2397"/>
      <c r="L32" s="2398"/>
      <c r="M32" s="2397"/>
      <c r="N32" s="2397"/>
      <c r="O32" s="2398"/>
      <c r="P32" s="2397"/>
      <c r="Q32" s="2397"/>
      <c r="R32" s="2399"/>
    </row>
    <row r="33" spans="2:18" s="2371" customFormat="1">
      <c r="B33" s="2397"/>
      <c r="C33" s="2397"/>
      <c r="D33" s="2397"/>
      <c r="H33" s="2397"/>
      <c r="I33" s="2398"/>
      <c r="J33" s="2397"/>
      <c r="K33" s="2397"/>
      <c r="L33" s="2398"/>
      <c r="M33" s="2397"/>
      <c r="N33" s="2397"/>
      <c r="O33" s="2398"/>
      <c r="P33" s="2397"/>
      <c r="Q33" s="2397"/>
      <c r="R33" s="2399"/>
    </row>
    <row r="34" spans="2:18" s="2371" customFormat="1">
      <c r="B34" s="2397"/>
      <c r="C34" s="2397"/>
      <c r="D34" s="2397"/>
      <c r="H34" s="2397"/>
      <c r="I34" s="2398"/>
      <c r="J34" s="2397"/>
      <c r="K34" s="2397"/>
      <c r="L34" s="2398"/>
      <c r="M34" s="2397"/>
      <c r="N34" s="2397"/>
      <c r="O34" s="2398"/>
      <c r="P34" s="2397"/>
      <c r="Q34" s="2397"/>
      <c r="R34" s="2399"/>
    </row>
    <row r="35" spans="2:18" s="2371" customFormat="1">
      <c r="B35" s="2397"/>
      <c r="C35" s="2397"/>
      <c r="D35" s="2397"/>
      <c r="H35" s="2397"/>
      <c r="I35" s="2398"/>
      <c r="J35" s="2397"/>
      <c r="K35" s="2397"/>
      <c r="L35" s="2398"/>
      <c r="M35" s="2397"/>
      <c r="N35" s="2397"/>
      <c r="O35" s="2398"/>
      <c r="P35" s="2397"/>
      <c r="Q35" s="2397"/>
      <c r="R35" s="2399"/>
    </row>
    <row r="36" spans="2:18" s="2371" customFormat="1">
      <c r="B36" s="2397"/>
      <c r="C36" s="2397"/>
      <c r="D36" s="2397"/>
      <c r="H36" s="2397"/>
      <c r="I36" s="2398"/>
      <c r="J36" s="2397"/>
      <c r="K36" s="2397"/>
      <c r="L36" s="2398"/>
      <c r="M36" s="2397"/>
      <c r="N36" s="2397"/>
      <c r="O36" s="2398"/>
      <c r="P36" s="2397"/>
      <c r="Q36" s="2397"/>
      <c r="R36" s="2399"/>
    </row>
    <row r="37" spans="2:18" s="2371" customFormat="1">
      <c r="B37" s="2397"/>
      <c r="C37" s="2397"/>
      <c r="D37" s="2397"/>
      <c r="H37" s="2397"/>
      <c r="I37" s="2398"/>
      <c r="J37" s="2397"/>
      <c r="K37" s="2397"/>
      <c r="L37" s="2398"/>
      <c r="M37" s="2397"/>
      <c r="N37" s="2397"/>
      <c r="O37" s="2398"/>
      <c r="P37" s="2397"/>
      <c r="Q37" s="2397"/>
      <c r="R37" s="2399"/>
    </row>
    <row r="38" spans="2:18" s="2371" customFormat="1">
      <c r="B38" s="2397"/>
      <c r="C38" s="2397"/>
      <c r="D38" s="2397"/>
      <c r="E38" s="2397"/>
      <c r="F38" s="2397"/>
      <c r="G38" s="2398"/>
      <c r="H38" s="2397"/>
      <c r="I38" s="2398"/>
      <c r="J38" s="2397"/>
      <c r="K38" s="2397"/>
      <c r="L38" s="2398"/>
      <c r="M38" s="2397"/>
      <c r="N38" s="2397"/>
      <c r="O38" s="2398"/>
      <c r="P38" s="2397"/>
      <c r="Q38" s="2397"/>
      <c r="R38" s="2399"/>
    </row>
    <row r="39" spans="2:18" s="2371" customFormat="1">
      <c r="B39" s="2397"/>
      <c r="C39" s="2397"/>
      <c r="D39" s="2397"/>
      <c r="E39" s="2397"/>
      <c r="F39" s="2397"/>
      <c r="G39" s="2398"/>
      <c r="H39" s="2397"/>
      <c r="I39" s="2398"/>
      <c r="J39" s="2397"/>
      <c r="K39" s="2397"/>
      <c r="L39" s="2398"/>
      <c r="M39" s="2397"/>
      <c r="N39" s="2397"/>
      <c r="O39" s="2398"/>
      <c r="P39" s="2397"/>
      <c r="Q39" s="2397"/>
      <c r="R39" s="2399"/>
    </row>
    <row r="40" spans="2:18" s="2371" customFormat="1">
      <c r="B40" s="2397"/>
      <c r="C40" s="2397"/>
      <c r="D40" s="2397"/>
      <c r="E40" s="2397"/>
      <c r="F40" s="2397"/>
      <c r="G40" s="2398"/>
      <c r="H40" s="2397"/>
      <c r="I40" s="2398"/>
      <c r="J40" s="2397"/>
      <c r="K40" s="2397"/>
      <c r="L40" s="2398"/>
      <c r="M40" s="2397"/>
      <c r="N40" s="2397"/>
      <c r="O40" s="2398"/>
      <c r="P40" s="2397"/>
      <c r="Q40" s="2397"/>
      <c r="R40" s="2399"/>
    </row>
    <row r="41" spans="2:18" s="2371" customFormat="1">
      <c r="B41" s="2397"/>
      <c r="C41" s="2397"/>
      <c r="D41" s="2397"/>
      <c r="E41" s="2397"/>
      <c r="F41" s="2397"/>
      <c r="G41" s="2398"/>
      <c r="H41" s="2397"/>
      <c r="I41" s="2398"/>
      <c r="J41" s="2397"/>
      <c r="K41" s="2397"/>
      <c r="L41" s="2398"/>
      <c r="M41" s="2397"/>
      <c r="N41" s="2397"/>
      <c r="O41" s="2398"/>
      <c r="P41" s="2397"/>
      <c r="Q41" s="2397"/>
      <c r="R41" s="2399"/>
    </row>
    <row r="42" spans="2:18" s="2371" customFormat="1">
      <c r="B42" s="2397"/>
      <c r="C42" s="2397"/>
      <c r="D42" s="2397"/>
      <c r="E42" s="2397"/>
      <c r="F42" s="2397"/>
      <c r="G42" s="2398"/>
      <c r="H42" s="2397"/>
      <c r="I42" s="2398"/>
      <c r="J42" s="2397"/>
      <c r="K42" s="2397"/>
      <c r="L42" s="2398"/>
      <c r="M42" s="2397"/>
      <c r="N42" s="2397"/>
      <c r="O42" s="2398"/>
      <c r="P42" s="2397"/>
      <c r="Q42" s="2397"/>
      <c r="R42" s="2399"/>
    </row>
    <row r="43" spans="2:18" s="2371" customFormat="1">
      <c r="B43" s="2397"/>
      <c r="C43" s="2397"/>
      <c r="D43" s="2397"/>
      <c r="E43" s="2397"/>
      <c r="F43" s="2397"/>
      <c r="G43" s="2398"/>
      <c r="H43" s="2397"/>
      <c r="I43" s="2398"/>
      <c r="J43" s="2397"/>
      <c r="K43" s="2397"/>
      <c r="L43" s="2398"/>
      <c r="M43" s="2397"/>
      <c r="N43" s="2397"/>
      <c r="O43" s="2398"/>
      <c r="P43" s="2397"/>
      <c r="Q43" s="2397"/>
      <c r="R43" s="2399"/>
    </row>
    <row r="44" spans="2:18" s="2371" customFormat="1">
      <c r="B44" s="2397"/>
      <c r="C44" s="2397"/>
      <c r="D44" s="2397"/>
      <c r="E44" s="2397"/>
      <c r="F44" s="2397"/>
      <c r="G44" s="2398"/>
      <c r="H44" s="2397"/>
      <c r="I44" s="2398"/>
      <c r="J44" s="2397"/>
      <c r="K44" s="2397"/>
      <c r="L44" s="2398"/>
      <c r="M44" s="2397"/>
      <c r="N44" s="2397"/>
      <c r="O44" s="2398"/>
      <c r="P44" s="2397"/>
      <c r="Q44" s="2397"/>
      <c r="R44" s="2399"/>
    </row>
    <row r="45" spans="2:18" s="2371" customFormat="1">
      <c r="B45" s="2397"/>
      <c r="C45" s="2397"/>
      <c r="D45" s="2397"/>
      <c r="E45" s="2397"/>
      <c r="F45" s="2397"/>
      <c r="G45" s="2398"/>
      <c r="H45" s="2397"/>
      <c r="I45" s="2398"/>
      <c r="J45" s="2397"/>
      <c r="K45" s="2397"/>
      <c r="L45" s="2398"/>
      <c r="M45" s="2397"/>
      <c r="N45" s="2397"/>
      <c r="O45" s="2398"/>
      <c r="P45" s="2397"/>
      <c r="Q45" s="2397"/>
      <c r="R45" s="2399"/>
    </row>
    <row r="46" spans="2:18" s="2371" customFormat="1">
      <c r="B46" s="2397"/>
      <c r="C46" s="2397"/>
      <c r="D46" s="2397"/>
      <c r="E46" s="2397"/>
      <c r="F46" s="2397"/>
      <c r="G46" s="2398"/>
      <c r="H46" s="2397"/>
      <c r="I46" s="2398"/>
      <c r="J46" s="2397"/>
      <c r="K46" s="2397"/>
      <c r="L46" s="2398"/>
      <c r="M46" s="2397"/>
      <c r="N46" s="2397"/>
      <c r="O46" s="2398"/>
      <c r="P46" s="2397"/>
      <c r="Q46" s="2397"/>
      <c r="R46" s="2399"/>
    </row>
    <row r="47" spans="2:18" s="2371" customFormat="1">
      <c r="B47" s="2397"/>
      <c r="C47" s="2397"/>
      <c r="D47" s="2397"/>
      <c r="E47" s="2397"/>
      <c r="F47" s="2397"/>
      <c r="G47" s="2398"/>
      <c r="H47" s="2397"/>
      <c r="I47" s="2398"/>
      <c r="J47" s="2397"/>
      <c r="K47" s="2397"/>
      <c r="L47" s="2398"/>
      <c r="M47" s="2397"/>
      <c r="N47" s="2397"/>
      <c r="O47" s="2398"/>
      <c r="P47" s="2397"/>
      <c r="Q47" s="2397"/>
      <c r="R47" s="2399"/>
    </row>
    <row r="48" spans="2:18" s="2371" customFormat="1">
      <c r="B48" s="2397"/>
      <c r="C48" s="2397"/>
      <c r="D48" s="2397"/>
      <c r="E48" s="2397"/>
      <c r="F48" s="2397"/>
      <c r="G48" s="2398"/>
      <c r="H48" s="2397"/>
      <c r="I48" s="2398"/>
      <c r="J48" s="2397"/>
      <c r="K48" s="2397"/>
      <c r="L48" s="2398"/>
      <c r="M48" s="2397"/>
      <c r="N48" s="2397"/>
      <c r="O48" s="2398"/>
      <c r="P48" s="2397"/>
      <c r="Q48" s="2397"/>
      <c r="R48" s="2399"/>
    </row>
    <row r="49" spans="2:18" s="2371" customFormat="1">
      <c r="B49" s="2397"/>
      <c r="C49" s="2397"/>
      <c r="D49" s="2397"/>
      <c r="E49" s="2397"/>
      <c r="F49" s="2397"/>
      <c r="G49" s="2398"/>
      <c r="H49" s="2397"/>
      <c r="I49" s="2398"/>
      <c r="J49" s="2397"/>
      <c r="K49" s="2397"/>
      <c r="L49" s="2398"/>
      <c r="M49" s="2397"/>
      <c r="N49" s="2397"/>
      <c r="O49" s="2398"/>
      <c r="P49" s="2397"/>
      <c r="Q49" s="2397"/>
      <c r="R49" s="2399"/>
    </row>
    <row r="50" spans="2:18" s="2371" customFormat="1">
      <c r="B50" s="2397"/>
      <c r="C50" s="2397"/>
      <c r="D50" s="2397"/>
      <c r="E50" s="2397"/>
      <c r="F50" s="2397"/>
      <c r="G50" s="2398"/>
      <c r="H50" s="2397"/>
      <c r="I50" s="2398"/>
      <c r="J50" s="2397"/>
      <c r="K50" s="2397"/>
      <c r="L50" s="2398"/>
      <c r="M50" s="2397"/>
      <c r="N50" s="2397"/>
      <c r="O50" s="2398"/>
      <c r="P50" s="2397"/>
      <c r="Q50" s="2397"/>
      <c r="R50" s="2399"/>
    </row>
    <row r="51" spans="2:18" s="2371" customFormat="1">
      <c r="B51" s="2397"/>
      <c r="C51" s="2397"/>
      <c r="D51" s="2397"/>
      <c r="E51" s="2397"/>
      <c r="F51" s="2397"/>
      <c r="G51" s="2398"/>
      <c r="H51" s="2397"/>
      <c r="I51" s="2398"/>
      <c r="J51" s="2397"/>
      <c r="K51" s="2397"/>
      <c r="L51" s="2398"/>
      <c r="M51" s="2397"/>
      <c r="N51" s="2397"/>
      <c r="O51" s="2398"/>
      <c r="P51" s="2397"/>
      <c r="Q51" s="2397"/>
      <c r="R51" s="2399"/>
    </row>
    <row r="52" spans="2:18" s="2371" customFormat="1">
      <c r="B52" s="2397"/>
      <c r="C52" s="2397"/>
      <c r="D52" s="2397"/>
      <c r="E52" s="2397"/>
      <c r="F52" s="2397"/>
      <c r="G52" s="2398"/>
      <c r="H52" s="2397"/>
      <c r="I52" s="2398"/>
      <c r="J52" s="2397"/>
      <c r="K52" s="2397"/>
      <c r="L52" s="2398"/>
      <c r="M52" s="2397"/>
      <c r="N52" s="2397"/>
      <c r="O52" s="2398"/>
      <c r="P52" s="2397"/>
      <c r="Q52" s="2397"/>
      <c r="R52" s="2399"/>
    </row>
    <row r="53" spans="2:18" s="2371" customFormat="1">
      <c r="B53" s="2397"/>
      <c r="C53" s="2397"/>
      <c r="D53" s="2397"/>
      <c r="E53" s="2397"/>
      <c r="F53" s="2397"/>
      <c r="G53" s="2398"/>
      <c r="H53" s="2397"/>
      <c r="I53" s="2398"/>
      <c r="J53" s="2397"/>
      <c r="K53" s="2397"/>
      <c r="L53" s="2398"/>
      <c r="M53" s="2397"/>
      <c r="N53" s="2397"/>
      <c r="O53" s="2398"/>
      <c r="P53" s="2397"/>
      <c r="Q53" s="2397"/>
      <c r="R53" s="2399"/>
    </row>
    <row r="54" spans="2:18" s="2371" customFormat="1">
      <c r="B54" s="2397"/>
      <c r="C54" s="2397"/>
      <c r="D54" s="2397"/>
      <c r="E54" s="2397"/>
      <c r="F54" s="2397"/>
      <c r="G54" s="2398"/>
      <c r="H54" s="2397"/>
      <c r="I54" s="2398"/>
      <c r="J54" s="2397"/>
      <c r="K54" s="2397"/>
      <c r="L54" s="2398"/>
      <c r="M54" s="2397"/>
      <c r="N54" s="2397"/>
      <c r="O54" s="2398"/>
      <c r="P54" s="2397"/>
      <c r="Q54" s="2397"/>
      <c r="R54" s="2399"/>
    </row>
    <row r="55" spans="2:18" s="2371" customFormat="1">
      <c r="B55" s="2397"/>
      <c r="C55" s="2397"/>
      <c r="D55" s="2397"/>
      <c r="E55" s="2397"/>
      <c r="F55" s="2397"/>
      <c r="G55" s="2398"/>
      <c r="H55" s="2397"/>
      <c r="I55" s="2398"/>
      <c r="J55" s="2397"/>
      <c r="K55" s="2397"/>
      <c r="L55" s="2398"/>
      <c r="M55" s="2397"/>
      <c r="N55" s="2397"/>
      <c r="O55" s="2398"/>
      <c r="P55" s="2397"/>
      <c r="Q55" s="2397"/>
      <c r="R55" s="2399"/>
    </row>
    <row r="56" spans="2:18" s="2371" customFormat="1">
      <c r="B56" s="2397"/>
      <c r="C56" s="2397"/>
      <c r="D56" s="2397"/>
      <c r="E56" s="2397"/>
      <c r="F56" s="2397"/>
      <c r="G56" s="2398"/>
      <c r="H56" s="2397"/>
      <c r="I56" s="2398"/>
      <c r="J56" s="2397"/>
      <c r="K56" s="2397"/>
      <c r="L56" s="2398"/>
      <c r="M56" s="2397"/>
      <c r="N56" s="2397"/>
      <c r="O56" s="2398"/>
      <c r="P56" s="2397"/>
      <c r="Q56" s="2397"/>
      <c r="R56" s="2399"/>
    </row>
    <row r="57" spans="2:18" s="2371" customFormat="1">
      <c r="B57" s="2397"/>
      <c r="C57" s="2397"/>
      <c r="D57" s="2397"/>
      <c r="E57" s="2397"/>
      <c r="F57" s="2397"/>
      <c r="G57" s="2398"/>
      <c r="H57" s="2397"/>
      <c r="I57" s="2398"/>
      <c r="J57" s="2397"/>
      <c r="K57" s="2397"/>
      <c r="L57" s="2398"/>
      <c r="M57" s="2397"/>
      <c r="N57" s="2397"/>
      <c r="O57" s="2398"/>
      <c r="P57" s="2397"/>
      <c r="Q57" s="2397"/>
      <c r="R57" s="2399"/>
    </row>
    <row r="58" spans="2:18" s="2371" customFormat="1">
      <c r="B58" s="2397"/>
      <c r="C58" s="2397"/>
      <c r="D58" s="2397"/>
      <c r="E58" s="2397"/>
      <c r="F58" s="2397"/>
      <c r="G58" s="2398"/>
      <c r="H58" s="2397"/>
      <c r="I58" s="2398"/>
      <c r="J58" s="2397"/>
      <c r="K58" s="2397"/>
      <c r="L58" s="2398"/>
      <c r="M58" s="2397"/>
      <c r="N58" s="2397"/>
      <c r="O58" s="2398"/>
      <c r="P58" s="2397"/>
      <c r="Q58" s="2397"/>
      <c r="R58" s="2399"/>
    </row>
    <row r="59" spans="2:18" s="2371" customFormat="1">
      <c r="B59" s="2397"/>
      <c r="C59" s="2397"/>
      <c r="D59" s="2397"/>
      <c r="E59" s="2397"/>
      <c r="F59" s="2397"/>
      <c r="G59" s="2398"/>
      <c r="H59" s="2397"/>
      <c r="I59" s="2398"/>
      <c r="J59" s="2397"/>
      <c r="K59" s="2397"/>
      <c r="L59" s="2398"/>
      <c r="M59" s="2397"/>
      <c r="N59" s="2397"/>
      <c r="O59" s="2398"/>
      <c r="P59" s="2397"/>
      <c r="Q59" s="2397"/>
      <c r="R59" s="2399"/>
    </row>
    <row r="60" spans="2:18" s="2371" customFormat="1">
      <c r="B60" s="2397"/>
      <c r="C60" s="2397"/>
      <c r="D60" s="2397"/>
      <c r="E60" s="2397"/>
      <c r="F60" s="2397"/>
      <c r="G60" s="2398"/>
      <c r="H60" s="2397"/>
      <c r="I60" s="2398"/>
      <c r="J60" s="2397"/>
      <c r="K60" s="2397"/>
      <c r="L60" s="2398"/>
      <c r="M60" s="2397"/>
      <c r="N60" s="2397"/>
      <c r="O60" s="2398"/>
      <c r="P60" s="2397"/>
      <c r="Q60" s="2397"/>
      <c r="R60" s="2399"/>
    </row>
    <row r="61" spans="2:18" s="2371" customFormat="1">
      <c r="B61" s="2397"/>
      <c r="C61" s="2397"/>
      <c r="D61" s="2397"/>
      <c r="E61" s="2397"/>
      <c r="F61" s="2397"/>
      <c r="G61" s="2398"/>
      <c r="H61" s="2397"/>
      <c r="I61" s="2398"/>
      <c r="J61" s="2397"/>
      <c r="K61" s="2397"/>
      <c r="L61" s="2398"/>
      <c r="M61" s="2397"/>
      <c r="N61" s="2397"/>
      <c r="O61" s="2398"/>
      <c r="P61" s="2397"/>
      <c r="Q61" s="2397"/>
      <c r="R61" s="2399"/>
    </row>
    <row r="62" spans="2:18" s="2371" customFormat="1">
      <c r="B62" s="2397"/>
      <c r="C62" s="2397"/>
      <c r="D62" s="2397"/>
      <c r="E62" s="2397"/>
      <c r="F62" s="2397"/>
      <c r="G62" s="2398"/>
      <c r="H62" s="2397"/>
      <c r="I62" s="2398"/>
      <c r="J62" s="2397"/>
      <c r="K62" s="2397"/>
      <c r="L62" s="2398"/>
      <c r="M62" s="2397"/>
      <c r="N62" s="2397"/>
      <c r="O62" s="2398"/>
      <c r="P62" s="2397"/>
      <c r="Q62" s="2397"/>
      <c r="R62" s="2399"/>
    </row>
    <row r="63" spans="2:18" s="2371" customFormat="1">
      <c r="B63" s="2397"/>
      <c r="C63" s="2397"/>
      <c r="D63" s="2397"/>
      <c r="E63" s="2397"/>
      <c r="F63" s="2397"/>
      <c r="G63" s="2398"/>
      <c r="H63" s="2397"/>
      <c r="I63" s="2398"/>
      <c r="J63" s="2397"/>
      <c r="K63" s="2397"/>
      <c r="L63" s="2398"/>
      <c r="M63" s="2397"/>
      <c r="N63" s="2397"/>
      <c r="O63" s="2398"/>
      <c r="P63" s="2397"/>
      <c r="Q63" s="2397"/>
      <c r="R63" s="2399"/>
    </row>
    <row r="64" spans="2:18" s="2371" customFormat="1">
      <c r="B64" s="2397"/>
      <c r="C64" s="2397"/>
      <c r="D64" s="2397"/>
      <c r="E64" s="2397"/>
      <c r="F64" s="2397"/>
      <c r="G64" s="2398"/>
      <c r="H64" s="2397"/>
      <c r="I64" s="2398"/>
      <c r="J64" s="2397"/>
      <c r="K64" s="2397"/>
      <c r="L64" s="2398"/>
      <c r="M64" s="2397"/>
      <c r="N64" s="2397"/>
      <c r="O64" s="2398"/>
      <c r="P64" s="2397"/>
      <c r="Q64" s="2397"/>
      <c r="R64" s="2399"/>
    </row>
    <row r="65" spans="2:18" s="2371" customFormat="1">
      <c r="B65" s="2397"/>
      <c r="C65" s="2397"/>
      <c r="D65" s="2397"/>
      <c r="E65" s="2397"/>
      <c r="F65" s="2397"/>
      <c r="G65" s="2398"/>
      <c r="H65" s="2397"/>
      <c r="I65" s="2398"/>
      <c r="J65" s="2397"/>
      <c r="K65" s="2397"/>
      <c r="L65" s="2398"/>
      <c r="M65" s="2397"/>
      <c r="N65" s="2397"/>
      <c r="O65" s="2398"/>
      <c r="P65" s="2397"/>
      <c r="Q65" s="2397"/>
      <c r="R65" s="2399"/>
    </row>
    <row r="66" spans="2:18" s="2371" customFormat="1">
      <c r="B66" s="2397"/>
      <c r="C66" s="2397"/>
      <c r="D66" s="2397"/>
      <c r="E66" s="2397"/>
      <c r="F66" s="2397"/>
      <c r="G66" s="2398"/>
      <c r="H66" s="2397"/>
      <c r="I66" s="2398"/>
      <c r="J66" s="2397"/>
      <c r="K66" s="2397"/>
      <c r="L66" s="2398"/>
      <c r="M66" s="2397"/>
      <c r="N66" s="2397"/>
      <c r="O66" s="2398"/>
      <c r="P66" s="2397"/>
      <c r="Q66" s="2397"/>
      <c r="R66" s="2399"/>
    </row>
    <row r="67" spans="2:18" s="2371" customFormat="1">
      <c r="B67" s="2397"/>
      <c r="C67" s="2397"/>
      <c r="D67" s="2397"/>
      <c r="E67" s="2397"/>
      <c r="F67" s="2397"/>
      <c r="G67" s="2398"/>
      <c r="H67" s="2397"/>
      <c r="I67" s="2398"/>
      <c r="J67" s="2397"/>
      <c r="K67" s="2397"/>
      <c r="L67" s="2398"/>
      <c r="M67" s="2397"/>
      <c r="N67" s="2397"/>
      <c r="O67" s="2398"/>
      <c r="P67" s="2397"/>
      <c r="Q67" s="2397"/>
      <c r="R67" s="2399"/>
    </row>
    <row r="68" spans="2:18" s="2371" customFormat="1">
      <c r="B68" s="2397"/>
      <c r="C68" s="2397"/>
      <c r="D68" s="2397"/>
      <c r="E68" s="2397"/>
      <c r="F68" s="2397"/>
      <c r="G68" s="2398"/>
      <c r="H68" s="2397"/>
      <c r="I68" s="2398"/>
      <c r="J68" s="2397"/>
      <c r="K68" s="2397"/>
      <c r="L68" s="2398"/>
      <c r="M68" s="2397"/>
      <c r="N68" s="2397"/>
      <c r="O68" s="2398"/>
      <c r="P68" s="2397"/>
      <c r="Q68" s="2397"/>
      <c r="R68" s="2399"/>
    </row>
    <row r="69" spans="2:18" s="2371" customFormat="1">
      <c r="B69" s="2397"/>
      <c r="C69" s="2397"/>
      <c r="D69" s="2397"/>
      <c r="E69" s="2397"/>
      <c r="F69" s="2397"/>
      <c r="G69" s="2398"/>
      <c r="H69" s="2397"/>
      <c r="I69" s="2398"/>
      <c r="J69" s="2397"/>
      <c r="K69" s="2397"/>
      <c r="L69" s="2398"/>
      <c r="M69" s="2397"/>
      <c r="N69" s="2397"/>
      <c r="O69" s="2398"/>
      <c r="P69" s="2397"/>
      <c r="Q69" s="2397"/>
      <c r="R69" s="2399"/>
    </row>
    <row r="70" spans="2:18" s="2371" customFormat="1">
      <c r="B70" s="2397"/>
      <c r="C70" s="2397"/>
      <c r="D70" s="2397"/>
      <c r="E70" s="2397"/>
      <c r="F70" s="2397"/>
      <c r="G70" s="2398"/>
      <c r="H70" s="2397"/>
      <c r="I70" s="2398"/>
      <c r="J70" s="2397"/>
      <c r="K70" s="2397"/>
      <c r="L70" s="2398"/>
      <c r="M70" s="2397"/>
      <c r="N70" s="2397"/>
      <c r="O70" s="2398"/>
      <c r="P70" s="2397"/>
      <c r="Q70" s="2397"/>
      <c r="R70" s="2399"/>
    </row>
    <row r="71" spans="2:18" s="2371" customFormat="1">
      <c r="B71" s="2397"/>
      <c r="C71" s="2397"/>
      <c r="D71" s="2397"/>
      <c r="E71" s="2397"/>
      <c r="F71" s="2397"/>
      <c r="G71" s="2398"/>
      <c r="H71" s="2397"/>
      <c r="I71" s="2398"/>
      <c r="J71" s="2397"/>
      <c r="K71" s="2397"/>
      <c r="L71" s="2398"/>
      <c r="M71" s="2397"/>
      <c r="N71" s="2397"/>
      <c r="O71" s="2398"/>
      <c r="P71" s="2397"/>
      <c r="Q71" s="2397"/>
      <c r="R71" s="2399"/>
    </row>
    <row r="72" spans="2:18" s="2371" customFormat="1">
      <c r="B72" s="2397"/>
      <c r="C72" s="2397"/>
      <c r="D72" s="2397"/>
      <c r="E72" s="2397"/>
      <c r="F72" s="2397"/>
      <c r="G72" s="2398"/>
      <c r="H72" s="2397"/>
      <c r="I72" s="2398"/>
      <c r="J72" s="2397"/>
      <c r="K72" s="2397"/>
      <c r="L72" s="2398"/>
      <c r="M72" s="2397"/>
      <c r="N72" s="2397"/>
      <c r="O72" s="2398"/>
      <c r="P72" s="2397"/>
      <c r="Q72" s="2397"/>
      <c r="R72" s="2399"/>
    </row>
    <row r="73" spans="2:18" s="2371" customFormat="1">
      <c r="B73" s="2397"/>
      <c r="C73" s="2397"/>
      <c r="D73" s="2397"/>
      <c r="E73" s="2397"/>
      <c r="F73" s="2397"/>
      <c r="G73" s="2398"/>
      <c r="H73" s="2397"/>
      <c r="I73" s="2398"/>
      <c r="J73" s="2397"/>
      <c r="K73" s="2397"/>
      <c r="L73" s="2398"/>
      <c r="M73" s="2397"/>
      <c r="N73" s="2397"/>
      <c r="O73" s="2398"/>
      <c r="P73" s="2397"/>
      <c r="Q73" s="2397"/>
      <c r="R73" s="2399"/>
    </row>
    <row r="74" spans="2:18" s="2371" customFormat="1">
      <c r="B74" s="2397"/>
      <c r="C74" s="2397"/>
      <c r="D74" s="2397"/>
      <c r="E74" s="2397"/>
      <c r="F74" s="2397"/>
      <c r="G74" s="2398"/>
      <c r="H74" s="2397"/>
      <c r="I74" s="2398"/>
      <c r="J74" s="2397"/>
      <c r="K74" s="2397"/>
      <c r="L74" s="2398"/>
      <c r="M74" s="2397"/>
      <c r="N74" s="2397"/>
      <c r="O74" s="2398"/>
      <c r="P74" s="2397"/>
      <c r="Q74" s="2397"/>
      <c r="R74" s="2399"/>
    </row>
    <row r="75" spans="2:18" s="2371" customFormat="1">
      <c r="B75" s="2397"/>
      <c r="C75" s="2397"/>
      <c r="D75" s="2397"/>
      <c r="E75" s="2397"/>
      <c r="F75" s="2397"/>
      <c r="G75" s="2398"/>
      <c r="H75" s="2397"/>
      <c r="I75" s="2398"/>
      <c r="J75" s="2397"/>
      <c r="K75" s="2397"/>
      <c r="L75" s="2398"/>
      <c r="M75" s="2397"/>
      <c r="N75" s="2397"/>
      <c r="O75" s="2398"/>
      <c r="P75" s="2397"/>
      <c r="Q75" s="2397"/>
      <c r="R75" s="2399"/>
    </row>
    <row r="76" spans="2:18" s="2371" customFormat="1">
      <c r="B76" s="2397"/>
      <c r="C76" s="2397"/>
      <c r="D76" s="2397"/>
      <c r="E76" s="2397"/>
      <c r="F76" s="2397"/>
      <c r="G76" s="2398"/>
      <c r="H76" s="2397"/>
      <c r="I76" s="2398"/>
      <c r="J76" s="2397"/>
      <c r="K76" s="2397"/>
      <c r="L76" s="2398"/>
      <c r="M76" s="2397"/>
      <c r="N76" s="2397"/>
      <c r="O76" s="2398"/>
      <c r="P76" s="2397"/>
      <c r="Q76" s="2397"/>
      <c r="R76" s="2399"/>
    </row>
    <row r="77" spans="2:18" s="2371" customFormat="1">
      <c r="B77" s="2397"/>
      <c r="C77" s="2397"/>
      <c r="D77" s="2397"/>
      <c r="E77" s="2397"/>
      <c r="F77" s="2397"/>
      <c r="G77" s="2398"/>
      <c r="H77" s="2397"/>
      <c r="I77" s="2398"/>
      <c r="J77" s="2397"/>
      <c r="K77" s="2397"/>
      <c r="L77" s="2398"/>
      <c r="M77" s="2397"/>
      <c r="N77" s="2397"/>
      <c r="O77" s="2398"/>
      <c r="P77" s="2397"/>
      <c r="Q77" s="2397"/>
      <c r="R77" s="2399"/>
    </row>
    <row r="78" spans="2:18" s="2371" customFormat="1">
      <c r="B78" s="2397"/>
      <c r="C78" s="2397"/>
      <c r="D78" s="2397"/>
      <c r="E78" s="2397"/>
      <c r="F78" s="2397"/>
      <c r="G78" s="2398"/>
      <c r="H78" s="2397"/>
      <c r="I78" s="2398"/>
      <c r="J78" s="2397"/>
      <c r="K78" s="2397"/>
      <c r="L78" s="2398"/>
      <c r="M78" s="2397"/>
      <c r="N78" s="2397"/>
      <c r="O78" s="2398"/>
      <c r="P78" s="2397"/>
      <c r="Q78" s="2397"/>
      <c r="R78" s="2399"/>
    </row>
    <row r="79" spans="2:18" s="2371" customFormat="1">
      <c r="B79" s="2397"/>
      <c r="C79" s="2397"/>
      <c r="D79" s="2397"/>
      <c r="E79" s="2397"/>
      <c r="F79" s="2397"/>
      <c r="G79" s="2398"/>
      <c r="H79" s="2397"/>
      <c r="I79" s="2398"/>
      <c r="J79" s="2397"/>
      <c r="K79" s="2397"/>
      <c r="L79" s="2398"/>
      <c r="M79" s="2397"/>
      <c r="N79" s="2397"/>
      <c r="O79" s="2398"/>
      <c r="P79" s="2397"/>
      <c r="Q79" s="2397"/>
      <c r="R79" s="2399"/>
    </row>
    <row r="80" spans="2:18" s="2371" customFormat="1">
      <c r="B80" s="2397"/>
      <c r="C80" s="2397"/>
      <c r="D80" s="2397"/>
      <c r="E80" s="2397"/>
      <c r="F80" s="2397"/>
      <c r="G80" s="2398"/>
      <c r="H80" s="2397"/>
      <c r="I80" s="2398"/>
      <c r="J80" s="2397"/>
      <c r="K80" s="2397"/>
      <c r="L80" s="2398"/>
      <c r="M80" s="2397"/>
      <c r="N80" s="2397"/>
      <c r="O80" s="2398"/>
      <c r="P80" s="2397"/>
      <c r="Q80" s="2397"/>
      <c r="R80" s="2399"/>
    </row>
    <row r="81" spans="2:18" s="2371" customFormat="1">
      <c r="B81" s="2397"/>
      <c r="C81" s="2397"/>
      <c r="D81" s="2397"/>
      <c r="E81" s="2397"/>
      <c r="F81" s="2397"/>
      <c r="G81" s="2398"/>
      <c r="H81" s="2397"/>
      <c r="I81" s="2398"/>
      <c r="J81" s="2397"/>
      <c r="K81" s="2397"/>
      <c r="L81" s="2398"/>
      <c r="M81" s="2397"/>
      <c r="N81" s="2397"/>
      <c r="O81" s="2398"/>
      <c r="P81" s="2397"/>
      <c r="Q81" s="2397"/>
      <c r="R81" s="2399"/>
    </row>
    <row r="82" spans="2:18" s="2371" customFormat="1">
      <c r="B82" s="2397"/>
      <c r="C82" s="2397"/>
      <c r="D82" s="2397"/>
      <c r="E82" s="2397"/>
      <c r="F82" s="2397"/>
      <c r="G82" s="2398"/>
      <c r="H82" s="2397"/>
      <c r="I82" s="2398"/>
      <c r="J82" s="2397"/>
      <c r="K82" s="2397"/>
      <c r="L82" s="2398"/>
      <c r="M82" s="2397"/>
      <c r="N82" s="2397"/>
      <c r="O82" s="2398"/>
      <c r="P82" s="2397"/>
      <c r="Q82" s="2397"/>
      <c r="R82" s="2399"/>
    </row>
    <row r="83" spans="2:18" s="2371" customFormat="1">
      <c r="B83" s="2397"/>
      <c r="C83" s="2397"/>
      <c r="D83" s="2397"/>
      <c r="E83" s="2397"/>
      <c r="F83" s="2397"/>
      <c r="G83" s="2398"/>
      <c r="H83" s="2397"/>
      <c r="I83" s="2398"/>
      <c r="J83" s="2397"/>
      <c r="K83" s="2397"/>
      <c r="L83" s="2398"/>
      <c r="M83" s="2397"/>
      <c r="N83" s="2397"/>
      <c r="O83" s="2398"/>
      <c r="P83" s="2397"/>
      <c r="Q83" s="2397"/>
      <c r="R83" s="2399"/>
    </row>
    <row r="84" spans="2:18" s="2371" customFormat="1">
      <c r="B84" s="2397"/>
      <c r="C84" s="2397"/>
      <c r="D84" s="2397"/>
      <c r="E84" s="2397"/>
      <c r="F84" s="2397"/>
      <c r="G84" s="2398"/>
      <c r="H84" s="2397"/>
      <c r="I84" s="2398"/>
      <c r="J84" s="2397"/>
      <c r="K84" s="2397"/>
      <c r="L84" s="2398"/>
      <c r="M84" s="2397"/>
      <c r="N84" s="2397"/>
      <c r="O84" s="2398"/>
      <c r="P84" s="2397"/>
      <c r="Q84" s="2397"/>
      <c r="R84" s="2399"/>
    </row>
    <row r="85" spans="2:18" s="2371" customFormat="1">
      <c r="B85" s="2397"/>
      <c r="C85" s="2397"/>
      <c r="D85" s="2397"/>
      <c r="E85" s="2397"/>
      <c r="F85" s="2397"/>
      <c r="G85" s="2398"/>
      <c r="H85" s="2397"/>
      <c r="I85" s="2398"/>
      <c r="J85" s="2397"/>
      <c r="K85" s="2397"/>
      <c r="L85" s="2398"/>
      <c r="M85" s="2397"/>
      <c r="N85" s="2397"/>
      <c r="O85" s="2398"/>
      <c r="P85" s="2397"/>
      <c r="Q85" s="2397"/>
      <c r="R85" s="2399"/>
    </row>
    <row r="86" spans="2:18" s="2371" customFormat="1">
      <c r="B86" s="2397"/>
      <c r="C86" s="2397"/>
      <c r="D86" s="2397"/>
      <c r="E86" s="2397"/>
      <c r="F86" s="2397"/>
      <c r="G86" s="2398"/>
      <c r="H86" s="2397"/>
      <c r="I86" s="2398"/>
      <c r="J86" s="2397"/>
      <c r="K86" s="2397"/>
      <c r="L86" s="2398"/>
      <c r="M86" s="2397"/>
      <c r="N86" s="2397"/>
      <c r="O86" s="2398"/>
      <c r="P86" s="2397"/>
      <c r="Q86" s="2397"/>
      <c r="R86" s="2399"/>
    </row>
    <row r="87" spans="2:18" s="2371" customFormat="1">
      <c r="B87" s="2397"/>
      <c r="C87" s="2397"/>
      <c r="D87" s="2397"/>
      <c r="E87" s="2397"/>
      <c r="F87" s="2397"/>
      <c r="G87" s="2398"/>
      <c r="H87" s="2397"/>
      <c r="I87" s="2398"/>
      <c r="J87" s="2397"/>
      <c r="K87" s="2397"/>
      <c r="L87" s="2398"/>
      <c r="M87" s="2397"/>
      <c r="N87" s="2397"/>
      <c r="O87" s="2398"/>
      <c r="P87" s="2397"/>
      <c r="Q87" s="2397"/>
      <c r="R87" s="2399"/>
    </row>
    <row r="88" spans="2:18" s="2371" customFormat="1">
      <c r="B88" s="2397"/>
      <c r="C88" s="2397"/>
      <c r="D88" s="2397"/>
      <c r="E88" s="2397"/>
      <c r="F88" s="2397"/>
      <c r="G88" s="2398"/>
      <c r="H88" s="2397"/>
      <c r="I88" s="2398"/>
      <c r="J88" s="2397"/>
      <c r="K88" s="2397"/>
      <c r="L88" s="2398"/>
      <c r="M88" s="2397"/>
      <c r="N88" s="2397"/>
      <c r="O88" s="2398"/>
      <c r="P88" s="2397"/>
      <c r="Q88" s="2397"/>
      <c r="R88" s="2399"/>
    </row>
    <row r="89" spans="2:18" s="2371" customFormat="1">
      <c r="B89" s="2397"/>
      <c r="C89" s="2397"/>
      <c r="D89" s="2397"/>
      <c r="E89" s="2397"/>
      <c r="F89" s="2397"/>
      <c r="G89" s="2398"/>
      <c r="H89" s="2397"/>
      <c r="I89" s="2398"/>
      <c r="J89" s="2397"/>
      <c r="K89" s="2397"/>
      <c r="L89" s="2398"/>
      <c r="M89" s="2397"/>
      <c r="N89" s="2397"/>
      <c r="O89" s="2398"/>
      <c r="P89" s="2397"/>
      <c r="Q89" s="2397"/>
      <c r="R89" s="2399"/>
    </row>
    <row r="90" spans="2:18" s="2371" customFormat="1">
      <c r="B90" s="2397"/>
      <c r="C90" s="2397"/>
      <c r="D90" s="2397"/>
      <c r="E90" s="2397"/>
      <c r="F90" s="2397"/>
      <c r="G90" s="2398"/>
      <c r="H90" s="2397"/>
      <c r="I90" s="2398"/>
      <c r="J90" s="2397"/>
      <c r="K90" s="2397"/>
      <c r="L90" s="2398"/>
      <c r="M90" s="2397"/>
      <c r="N90" s="2397"/>
      <c r="O90" s="2398"/>
      <c r="P90" s="2397"/>
      <c r="Q90" s="2397"/>
      <c r="R90" s="2399"/>
    </row>
    <row r="91" spans="2:18" s="2371" customFormat="1">
      <c r="B91" s="2397"/>
      <c r="C91" s="2397"/>
      <c r="D91" s="2397"/>
      <c r="E91" s="2397"/>
      <c r="F91" s="2397"/>
      <c r="G91" s="2398"/>
      <c r="H91" s="2397"/>
      <c r="I91" s="2398"/>
      <c r="J91" s="2397"/>
      <c r="K91" s="2397"/>
      <c r="L91" s="2398"/>
      <c r="M91" s="2397"/>
      <c r="N91" s="2397"/>
      <c r="O91" s="2398"/>
      <c r="P91" s="2397"/>
      <c r="Q91" s="2397"/>
      <c r="R91" s="2399"/>
    </row>
    <row r="92" spans="2:18" s="2371" customFormat="1">
      <c r="B92" s="2397"/>
      <c r="C92" s="2397"/>
      <c r="D92" s="2397"/>
      <c r="E92" s="2397"/>
      <c r="F92" s="2397"/>
      <c r="G92" s="2398"/>
      <c r="H92" s="2397"/>
      <c r="I92" s="2398"/>
      <c r="J92" s="2397"/>
      <c r="K92" s="2397"/>
      <c r="L92" s="2398"/>
      <c r="M92" s="2397"/>
      <c r="N92" s="2397"/>
      <c r="O92" s="2398"/>
      <c r="P92" s="2397"/>
      <c r="Q92" s="2397"/>
      <c r="R92" s="2399"/>
    </row>
    <row r="93" spans="2:18" s="2371" customFormat="1">
      <c r="B93" s="2397"/>
      <c r="C93" s="2397"/>
      <c r="D93" s="2397"/>
      <c r="E93" s="2397"/>
      <c r="F93" s="2397"/>
      <c r="G93" s="2398"/>
      <c r="H93" s="2397"/>
      <c r="I93" s="2398"/>
      <c r="J93" s="2397"/>
      <c r="K93" s="2397"/>
      <c r="L93" s="2398"/>
      <c r="M93" s="2397"/>
      <c r="N93" s="2397"/>
      <c r="O93" s="2398"/>
      <c r="P93" s="2397"/>
      <c r="Q93" s="2397"/>
      <c r="R93" s="2399"/>
    </row>
    <row r="94" spans="2:18" s="2371" customFormat="1">
      <c r="B94" s="2397"/>
      <c r="C94" s="2397"/>
      <c r="D94" s="2397"/>
      <c r="E94" s="2397"/>
      <c r="F94" s="2397"/>
      <c r="G94" s="2398"/>
      <c r="H94" s="2397"/>
      <c r="I94" s="2398"/>
      <c r="J94" s="2397"/>
      <c r="K94" s="2397"/>
      <c r="L94" s="2398"/>
      <c r="M94" s="2397"/>
      <c r="N94" s="2397"/>
      <c r="O94" s="2398"/>
      <c r="P94" s="2397"/>
      <c r="Q94" s="2397"/>
      <c r="R94" s="2399"/>
    </row>
    <row r="95" spans="2:18" s="2371" customFormat="1">
      <c r="B95" s="2397"/>
      <c r="C95" s="2397"/>
      <c r="D95" s="2397"/>
      <c r="E95" s="2397"/>
      <c r="F95" s="2397"/>
      <c r="G95" s="2398"/>
      <c r="H95" s="2397"/>
      <c r="I95" s="2398"/>
      <c r="J95" s="2397"/>
      <c r="K95" s="2397"/>
      <c r="L95" s="2398"/>
      <c r="M95" s="2397"/>
      <c r="N95" s="2397"/>
      <c r="O95" s="2398"/>
      <c r="P95" s="2397"/>
      <c r="Q95" s="2397"/>
      <c r="R95" s="2399"/>
    </row>
    <row r="96" spans="2:18" s="2371" customFormat="1">
      <c r="B96" s="2397"/>
      <c r="C96" s="2397"/>
      <c r="D96" s="2397"/>
      <c r="E96" s="2397"/>
      <c r="F96" s="2397"/>
      <c r="G96" s="2398"/>
      <c r="H96" s="2397"/>
      <c r="I96" s="2398"/>
      <c r="J96" s="2397"/>
      <c r="K96" s="2397"/>
      <c r="L96" s="2398"/>
      <c r="M96" s="2397"/>
      <c r="N96" s="2397"/>
      <c r="O96" s="2398"/>
      <c r="P96" s="2397"/>
      <c r="Q96" s="2397"/>
      <c r="R96" s="2399"/>
    </row>
    <row r="97" spans="2:18" s="2371" customFormat="1">
      <c r="B97" s="2397"/>
      <c r="C97" s="2397"/>
      <c r="D97" s="2397"/>
      <c r="E97" s="2397"/>
      <c r="F97" s="2397"/>
      <c r="G97" s="2398"/>
      <c r="H97" s="2397"/>
      <c r="I97" s="2398"/>
      <c r="J97" s="2397"/>
      <c r="K97" s="2397"/>
      <c r="L97" s="2398"/>
      <c r="M97" s="2397"/>
      <c r="N97" s="2397"/>
      <c r="O97" s="2398"/>
      <c r="P97" s="2397"/>
      <c r="Q97" s="2397"/>
      <c r="R97" s="2399"/>
    </row>
    <row r="98" spans="2:18" s="2371" customFormat="1">
      <c r="B98" s="2397"/>
      <c r="C98" s="2397"/>
      <c r="D98" s="2397"/>
      <c r="E98" s="2397"/>
      <c r="F98" s="2397"/>
      <c r="G98" s="2398"/>
      <c r="H98" s="2397"/>
      <c r="I98" s="2398"/>
      <c r="J98" s="2397"/>
      <c r="K98" s="2397"/>
      <c r="L98" s="2398"/>
      <c r="M98" s="2397"/>
      <c r="N98" s="2397"/>
      <c r="O98" s="2398"/>
      <c r="P98" s="2397"/>
      <c r="Q98" s="2397"/>
      <c r="R98" s="2399"/>
    </row>
    <row r="99" spans="2:18" s="2371" customFormat="1">
      <c r="B99" s="2397"/>
      <c r="C99" s="2397"/>
      <c r="D99" s="2397"/>
      <c r="E99" s="2397"/>
      <c r="F99" s="2397"/>
      <c r="G99" s="2398"/>
      <c r="H99" s="2397"/>
      <c r="I99" s="2398"/>
      <c r="J99" s="2397"/>
      <c r="K99" s="2397"/>
      <c r="L99" s="2398"/>
      <c r="M99" s="2397"/>
      <c r="N99" s="2397"/>
      <c r="O99" s="2398"/>
      <c r="P99" s="2397"/>
      <c r="Q99" s="2397"/>
      <c r="R99" s="2399"/>
    </row>
    <row r="100" spans="2:18" s="2371" customFormat="1">
      <c r="B100" s="2397"/>
      <c r="C100" s="2397"/>
      <c r="D100" s="2397"/>
      <c r="E100" s="2397"/>
      <c r="F100" s="2397"/>
      <c r="G100" s="2398"/>
      <c r="H100" s="2397"/>
      <c r="I100" s="2398"/>
      <c r="J100" s="2397"/>
      <c r="K100" s="2397"/>
      <c r="L100" s="2398"/>
      <c r="M100" s="2397"/>
      <c r="N100" s="2397"/>
      <c r="O100" s="2398"/>
      <c r="P100" s="2397"/>
      <c r="Q100" s="2397"/>
      <c r="R100" s="2399"/>
    </row>
    <row r="101" spans="2:18" s="2371" customFormat="1">
      <c r="B101" s="2397"/>
      <c r="C101" s="2397"/>
      <c r="D101" s="2397"/>
      <c r="E101" s="2397"/>
      <c r="F101" s="2397"/>
      <c r="G101" s="2398"/>
      <c r="H101" s="2397"/>
      <c r="I101" s="2398"/>
      <c r="J101" s="2397"/>
      <c r="K101" s="2397"/>
      <c r="L101" s="2398"/>
      <c r="M101" s="2397"/>
      <c r="N101" s="2397"/>
      <c r="O101" s="2398"/>
      <c r="P101" s="2397"/>
      <c r="Q101" s="2397"/>
      <c r="R101" s="2399"/>
    </row>
    <row r="102" spans="2:18" s="2371" customFormat="1">
      <c r="B102" s="2397"/>
      <c r="C102" s="2397"/>
      <c r="D102" s="2397"/>
      <c r="E102" s="2397"/>
      <c r="F102" s="2397"/>
      <c r="G102" s="2398"/>
      <c r="H102" s="2397"/>
      <c r="I102" s="2398"/>
      <c r="J102" s="2397"/>
      <c r="K102" s="2397"/>
      <c r="L102" s="2398"/>
      <c r="M102" s="2397"/>
      <c r="N102" s="2397"/>
      <c r="O102" s="2398"/>
      <c r="P102" s="2397"/>
      <c r="Q102" s="2397"/>
      <c r="R102" s="2399"/>
    </row>
    <row r="103" spans="2:18" s="2371" customFormat="1">
      <c r="B103" s="2397"/>
      <c r="C103" s="2397"/>
      <c r="D103" s="2397"/>
      <c r="E103" s="2397"/>
      <c r="F103" s="2397"/>
      <c r="G103" s="2398"/>
      <c r="H103" s="2397"/>
      <c r="I103" s="2398"/>
      <c r="J103" s="2397"/>
      <c r="K103" s="2397"/>
      <c r="L103" s="2398"/>
      <c r="M103" s="2397"/>
      <c r="N103" s="2397"/>
      <c r="O103" s="2398"/>
      <c r="P103" s="2397"/>
      <c r="Q103" s="2397"/>
      <c r="R103" s="2399"/>
    </row>
    <row r="104" spans="2:18" s="2371" customFormat="1">
      <c r="B104" s="2397"/>
      <c r="C104" s="2397"/>
      <c r="D104" s="2397"/>
      <c r="E104" s="2397"/>
      <c r="F104" s="2397"/>
      <c r="G104" s="2398"/>
      <c r="H104" s="2397"/>
      <c r="I104" s="2398"/>
      <c r="J104" s="2397"/>
      <c r="K104" s="2397"/>
      <c r="L104" s="2398"/>
      <c r="M104" s="2397"/>
      <c r="N104" s="2397"/>
      <c r="O104" s="2398"/>
      <c r="P104" s="2397"/>
      <c r="Q104" s="2397"/>
      <c r="R104" s="2399"/>
    </row>
    <row r="105" spans="2:18" s="2371" customFormat="1">
      <c r="B105" s="2397"/>
      <c r="C105" s="2397"/>
      <c r="D105" s="2397"/>
      <c r="E105" s="2397"/>
      <c r="F105" s="2397"/>
      <c r="G105" s="2398"/>
      <c r="H105" s="2397"/>
      <c r="I105" s="2398"/>
      <c r="J105" s="2397"/>
      <c r="K105" s="2397"/>
      <c r="L105" s="2398"/>
      <c r="M105" s="2397"/>
      <c r="N105" s="2397"/>
      <c r="O105" s="2398"/>
      <c r="P105" s="2397"/>
      <c r="Q105" s="2397"/>
      <c r="R105" s="2399"/>
    </row>
    <row r="106" spans="2:18" s="2371" customFormat="1">
      <c r="B106" s="2397"/>
      <c r="C106" s="2397"/>
      <c r="D106" s="2397"/>
      <c r="E106" s="2397"/>
      <c r="F106" s="2397"/>
      <c r="G106" s="2398"/>
      <c r="H106" s="2397"/>
      <c r="I106" s="2398"/>
      <c r="J106" s="2397"/>
      <c r="K106" s="2397"/>
      <c r="L106" s="2398"/>
      <c r="M106" s="2397"/>
      <c r="N106" s="2397"/>
      <c r="O106" s="2398"/>
      <c r="P106" s="2397"/>
      <c r="Q106" s="2397"/>
      <c r="R106" s="2399"/>
    </row>
    <row r="107" spans="2:18" s="2371" customFormat="1">
      <c r="B107" s="2397"/>
      <c r="C107" s="2397"/>
      <c r="D107" s="2397"/>
      <c r="E107" s="2397"/>
      <c r="F107" s="2397"/>
      <c r="G107" s="2398"/>
      <c r="H107" s="2397"/>
      <c r="I107" s="2398"/>
      <c r="J107" s="2397"/>
      <c r="K107" s="2397"/>
      <c r="L107" s="2398"/>
      <c r="M107" s="2397"/>
      <c r="N107" s="2397"/>
      <c r="O107" s="2398"/>
      <c r="P107" s="2397"/>
      <c r="Q107" s="2397"/>
      <c r="R107" s="2399"/>
    </row>
    <row r="108" spans="2:18" s="2371" customFormat="1">
      <c r="B108" s="2397"/>
      <c r="C108" s="2397"/>
      <c r="D108" s="2397"/>
      <c r="E108" s="2397"/>
      <c r="F108" s="2397"/>
      <c r="G108" s="2398"/>
      <c r="H108" s="2397"/>
      <c r="I108" s="2398"/>
      <c r="J108" s="2397"/>
      <c r="K108" s="2397"/>
      <c r="L108" s="2398"/>
      <c r="M108" s="2397"/>
      <c r="N108" s="2397"/>
      <c r="O108" s="2398"/>
      <c r="P108" s="2397"/>
      <c r="Q108" s="2397"/>
      <c r="R108" s="2399"/>
    </row>
    <row r="109" spans="2:18" s="2371" customFormat="1">
      <c r="B109" s="2397"/>
      <c r="C109" s="2397"/>
      <c r="D109" s="2397"/>
      <c r="E109" s="2397"/>
      <c r="F109" s="2397"/>
      <c r="G109" s="2398"/>
      <c r="H109" s="2397"/>
      <c r="I109" s="2398"/>
      <c r="J109" s="2397"/>
      <c r="K109" s="2397"/>
      <c r="L109" s="2398"/>
      <c r="M109" s="2397"/>
      <c r="N109" s="2397"/>
      <c r="O109" s="2398"/>
      <c r="P109" s="2397"/>
      <c r="Q109" s="2397"/>
      <c r="R109" s="2399"/>
    </row>
    <row r="110" spans="2:18" s="2371" customFormat="1">
      <c r="B110" s="2397"/>
      <c r="C110" s="2397"/>
      <c r="D110" s="2397"/>
      <c r="E110" s="2397"/>
      <c r="F110" s="2397"/>
      <c r="G110" s="2398"/>
      <c r="H110" s="2397"/>
      <c r="I110" s="2398"/>
      <c r="J110" s="2397"/>
      <c r="K110" s="2397"/>
      <c r="L110" s="2398"/>
      <c r="M110" s="2397"/>
      <c r="N110" s="2397"/>
      <c r="O110" s="2398"/>
      <c r="P110" s="2397"/>
      <c r="Q110" s="2397"/>
      <c r="R110" s="2399"/>
    </row>
    <row r="111" spans="2:18" s="2371" customFormat="1">
      <c r="B111" s="2397"/>
      <c r="C111" s="2397"/>
      <c r="D111" s="2397"/>
      <c r="E111" s="2397"/>
      <c r="F111" s="2397"/>
      <c r="G111" s="2398"/>
      <c r="H111" s="2397"/>
      <c r="I111" s="2398"/>
      <c r="J111" s="2397"/>
      <c r="K111" s="2397"/>
      <c r="L111" s="2398"/>
      <c r="M111" s="2397"/>
      <c r="N111" s="2397"/>
      <c r="O111" s="2398"/>
      <c r="P111" s="2397"/>
      <c r="Q111" s="2397"/>
      <c r="R111" s="2399"/>
    </row>
    <row r="112" spans="2:18" s="2371" customFormat="1">
      <c r="B112" s="2397"/>
      <c r="C112" s="2397"/>
      <c r="D112" s="2397"/>
      <c r="E112" s="2397"/>
      <c r="F112" s="2397"/>
      <c r="G112" s="2398"/>
      <c r="H112" s="2397"/>
      <c r="I112" s="2398"/>
      <c r="J112" s="2397"/>
      <c r="K112" s="2397"/>
      <c r="L112" s="2398"/>
      <c r="M112" s="2397"/>
      <c r="N112" s="2397"/>
      <c r="O112" s="2398"/>
      <c r="P112" s="2397"/>
      <c r="Q112" s="2397"/>
      <c r="R112" s="2399"/>
    </row>
    <row r="113" spans="2:18" s="2371" customFormat="1">
      <c r="B113" s="2397"/>
      <c r="C113" s="2397"/>
      <c r="D113" s="2397"/>
      <c r="E113" s="2397"/>
      <c r="F113" s="2397"/>
      <c r="G113" s="2398"/>
      <c r="H113" s="2397"/>
      <c r="I113" s="2398"/>
      <c r="J113" s="2397"/>
      <c r="K113" s="2397"/>
      <c r="L113" s="2398"/>
      <c r="M113" s="2397"/>
      <c r="N113" s="2397"/>
      <c r="O113" s="2398"/>
      <c r="P113" s="2397"/>
      <c r="Q113" s="2397"/>
      <c r="R113" s="2399"/>
    </row>
    <row r="114" spans="2:18" s="2371" customFormat="1">
      <c r="B114" s="2397"/>
      <c r="C114" s="2397"/>
      <c r="D114" s="2397"/>
      <c r="E114" s="2397"/>
      <c r="F114" s="2397"/>
      <c r="G114" s="2398"/>
      <c r="H114" s="2397"/>
      <c r="I114" s="2398"/>
      <c r="J114" s="2397"/>
      <c r="K114" s="2397"/>
      <c r="L114" s="2398"/>
      <c r="M114" s="2397"/>
      <c r="N114" s="2397"/>
      <c r="O114" s="2398"/>
      <c r="P114" s="2397"/>
      <c r="Q114" s="2397"/>
      <c r="R114" s="2399"/>
    </row>
    <row r="115" spans="2:18" s="2371" customFormat="1">
      <c r="B115" s="2397"/>
      <c r="C115" s="2397"/>
      <c r="D115" s="2397"/>
      <c r="E115" s="2397"/>
      <c r="F115" s="2397"/>
      <c r="G115" s="2398"/>
      <c r="H115" s="2397"/>
      <c r="I115" s="2398"/>
      <c r="J115" s="2397"/>
      <c r="K115" s="2397"/>
      <c r="L115" s="2398"/>
      <c r="M115" s="2397"/>
      <c r="N115" s="2397"/>
      <c r="O115" s="2398"/>
      <c r="P115" s="2397"/>
      <c r="Q115" s="2397"/>
      <c r="R115" s="2399"/>
    </row>
    <row r="116" spans="2:18" s="2371" customFormat="1">
      <c r="B116" s="2397"/>
      <c r="C116" s="2397"/>
      <c r="D116" s="2397"/>
      <c r="E116" s="2397"/>
      <c r="F116" s="2397"/>
      <c r="G116" s="2398"/>
      <c r="H116" s="2397"/>
      <c r="I116" s="2398"/>
      <c r="J116" s="2397"/>
      <c r="K116" s="2397"/>
      <c r="L116" s="2398"/>
      <c r="M116" s="2397"/>
      <c r="N116" s="2397"/>
      <c r="O116" s="2398"/>
      <c r="P116" s="2397"/>
      <c r="Q116" s="2397"/>
      <c r="R116" s="2399"/>
    </row>
    <row r="117" spans="2:18" s="2371" customFormat="1">
      <c r="B117" s="2397"/>
      <c r="C117" s="2397"/>
      <c r="D117" s="2397"/>
      <c r="E117" s="2397"/>
      <c r="F117" s="2397"/>
      <c r="G117" s="2398"/>
      <c r="H117" s="2397"/>
      <c r="I117" s="2398"/>
      <c r="J117" s="2397"/>
      <c r="K117" s="2397"/>
      <c r="L117" s="2398"/>
      <c r="M117" s="2397"/>
      <c r="N117" s="2397"/>
      <c r="O117" s="2398"/>
      <c r="P117" s="2397"/>
      <c r="Q117" s="2397"/>
      <c r="R117" s="2399"/>
    </row>
    <row r="118" spans="2:18" s="2371" customFormat="1">
      <c r="B118" s="2397"/>
      <c r="C118" s="2397"/>
      <c r="D118" s="2397"/>
      <c r="E118" s="2397"/>
      <c r="F118" s="2397"/>
      <c r="G118" s="2398"/>
      <c r="H118" s="2397"/>
      <c r="I118" s="2398"/>
      <c r="J118" s="2397"/>
      <c r="K118" s="2397"/>
      <c r="L118" s="2398"/>
      <c r="M118" s="2397"/>
      <c r="N118" s="2397"/>
      <c r="O118" s="2398"/>
      <c r="P118" s="2397"/>
      <c r="Q118" s="2397"/>
      <c r="R118" s="2399"/>
    </row>
    <row r="119" spans="2:18" s="2371" customFormat="1">
      <c r="B119" s="2397"/>
      <c r="C119" s="2397"/>
      <c r="D119" s="2397"/>
      <c r="E119" s="2397"/>
      <c r="F119" s="2397"/>
      <c r="G119" s="2398"/>
      <c r="H119" s="2397"/>
      <c r="I119" s="2398"/>
      <c r="J119" s="2397"/>
      <c r="K119" s="2397"/>
      <c r="L119" s="2398"/>
      <c r="M119" s="2397"/>
      <c r="N119" s="2397"/>
      <c r="O119" s="2398"/>
      <c r="P119" s="2397"/>
      <c r="Q119" s="2397"/>
      <c r="R119" s="2399"/>
    </row>
    <row r="120" spans="2:18" s="2371" customFormat="1">
      <c r="B120" s="2397"/>
      <c r="C120" s="2397"/>
      <c r="D120" s="2397"/>
      <c r="E120" s="2397"/>
      <c r="F120" s="2397"/>
      <c r="G120" s="2398"/>
      <c r="H120" s="2397"/>
      <c r="I120" s="2398"/>
      <c r="J120" s="2397"/>
      <c r="K120" s="2397"/>
      <c r="L120" s="2398"/>
      <c r="M120" s="2397"/>
      <c r="N120" s="2397"/>
      <c r="O120" s="2398"/>
      <c r="P120" s="2397"/>
      <c r="Q120" s="2397"/>
      <c r="R120" s="2399"/>
    </row>
    <row r="121" spans="2:18" s="2371" customFormat="1">
      <c r="B121" s="2397"/>
      <c r="C121" s="2397"/>
      <c r="D121" s="2397"/>
      <c r="E121" s="2397"/>
      <c r="F121" s="2397"/>
      <c r="G121" s="2398"/>
      <c r="H121" s="2397"/>
      <c r="I121" s="2398"/>
      <c r="J121" s="2397"/>
      <c r="K121" s="2397"/>
      <c r="L121" s="2398"/>
      <c r="M121" s="2397"/>
      <c r="N121" s="2397"/>
      <c r="O121" s="2398"/>
      <c r="P121" s="2397"/>
      <c r="Q121" s="2397"/>
      <c r="R121" s="2399"/>
    </row>
    <row r="122" spans="2:18" s="2371" customFormat="1">
      <c r="B122" s="2397"/>
      <c r="C122" s="2397"/>
      <c r="D122" s="2397"/>
      <c r="E122" s="2397"/>
      <c r="F122" s="2397"/>
      <c r="G122" s="2398"/>
      <c r="H122" s="2397"/>
      <c r="I122" s="2398"/>
      <c r="J122" s="2397"/>
      <c r="K122" s="2397"/>
      <c r="L122" s="2398"/>
      <c r="M122" s="2397"/>
      <c r="N122" s="2397"/>
      <c r="O122" s="2398"/>
      <c r="P122" s="2397"/>
      <c r="Q122" s="2397"/>
      <c r="R122" s="2399"/>
    </row>
    <row r="123" spans="2:18" s="2371" customFormat="1">
      <c r="B123" s="2397"/>
      <c r="C123" s="2397"/>
      <c r="D123" s="2397"/>
      <c r="E123" s="2397"/>
      <c r="F123" s="2397"/>
      <c r="G123" s="2398"/>
      <c r="H123" s="2397"/>
      <c r="I123" s="2398"/>
      <c r="J123" s="2397"/>
      <c r="K123" s="2397"/>
      <c r="L123" s="2398"/>
      <c r="M123" s="2397"/>
      <c r="N123" s="2397"/>
      <c r="O123" s="2398"/>
      <c r="P123" s="2397"/>
      <c r="Q123" s="2397"/>
      <c r="R123" s="2399"/>
    </row>
    <row r="124" spans="2:18" s="2371" customFormat="1">
      <c r="B124" s="2397"/>
      <c r="C124" s="2397"/>
      <c r="D124" s="2397"/>
      <c r="E124" s="2397"/>
      <c r="F124" s="2397"/>
      <c r="G124" s="2398"/>
      <c r="H124" s="2397"/>
      <c r="I124" s="2398"/>
      <c r="J124" s="2397"/>
      <c r="K124" s="2397"/>
      <c r="L124" s="2398"/>
      <c r="M124" s="2397"/>
      <c r="N124" s="2397"/>
      <c r="O124" s="2398"/>
      <c r="P124" s="2397"/>
      <c r="Q124" s="2397"/>
      <c r="R124" s="2399"/>
    </row>
    <row r="125" spans="2:18" s="2371" customFormat="1">
      <c r="B125" s="2397"/>
      <c r="C125" s="2397"/>
      <c r="D125" s="2397"/>
      <c r="E125" s="2397"/>
      <c r="F125" s="2397"/>
      <c r="G125" s="2398"/>
      <c r="H125" s="2397"/>
      <c r="I125" s="2398"/>
      <c r="J125" s="2397"/>
      <c r="K125" s="2397"/>
      <c r="L125" s="2398"/>
      <c r="M125" s="2397"/>
      <c r="N125" s="2397"/>
      <c r="O125" s="2398"/>
      <c r="P125" s="2397"/>
      <c r="Q125" s="2397"/>
      <c r="R125" s="2399"/>
    </row>
    <row r="126" spans="2:18" s="2371" customFormat="1">
      <c r="B126" s="2397"/>
      <c r="C126" s="2397"/>
      <c r="D126" s="2397"/>
      <c r="E126" s="2397"/>
      <c r="F126" s="2397"/>
      <c r="G126" s="2398"/>
      <c r="H126" s="2397"/>
      <c r="I126" s="2398"/>
      <c r="J126" s="2397"/>
      <c r="K126" s="2397"/>
      <c r="L126" s="2398"/>
      <c r="M126" s="2397"/>
      <c r="N126" s="2397"/>
      <c r="O126" s="2398"/>
      <c r="P126" s="2397"/>
      <c r="Q126" s="2397"/>
      <c r="R126" s="2399"/>
    </row>
    <row r="127" spans="2:18" s="2371" customFormat="1">
      <c r="B127" s="2397"/>
      <c r="C127" s="2397"/>
      <c r="D127" s="2397"/>
      <c r="E127" s="2397"/>
      <c r="F127" s="2397"/>
      <c r="G127" s="2398"/>
      <c r="H127" s="2397"/>
      <c r="I127" s="2398"/>
      <c r="J127" s="2397"/>
      <c r="K127" s="2397"/>
      <c r="L127" s="2398"/>
      <c r="M127" s="2397"/>
      <c r="N127" s="2397"/>
      <c r="O127" s="2398"/>
      <c r="P127" s="2397"/>
      <c r="Q127" s="2397"/>
      <c r="R127" s="2399"/>
    </row>
    <row r="128" spans="2:18" s="2371" customFormat="1">
      <c r="B128" s="2397"/>
      <c r="C128" s="2397"/>
      <c r="D128" s="2397"/>
      <c r="E128" s="2397"/>
      <c r="F128" s="2397"/>
      <c r="G128" s="2398"/>
      <c r="H128" s="2397"/>
      <c r="I128" s="2398"/>
      <c r="J128" s="2397"/>
      <c r="K128" s="2397"/>
      <c r="L128" s="2398"/>
      <c r="M128" s="2397"/>
      <c r="N128" s="2397"/>
      <c r="O128" s="2398"/>
      <c r="P128" s="2397"/>
      <c r="Q128" s="2397"/>
      <c r="R128" s="2399"/>
    </row>
    <row r="129" spans="2:18" s="2371" customFormat="1">
      <c r="B129" s="2397"/>
      <c r="C129" s="2397"/>
      <c r="D129" s="2397"/>
      <c r="E129" s="2397"/>
      <c r="F129" s="2397"/>
      <c r="G129" s="2398"/>
      <c r="H129" s="2397"/>
      <c r="I129" s="2398"/>
      <c r="J129" s="2397"/>
      <c r="K129" s="2397"/>
      <c r="L129" s="2398"/>
      <c r="M129" s="2397"/>
      <c r="N129" s="2397"/>
      <c r="O129" s="2398"/>
      <c r="P129" s="2397"/>
      <c r="Q129" s="2397"/>
      <c r="R129" s="2399"/>
    </row>
    <row r="130" spans="2:18" s="2371" customFormat="1">
      <c r="B130" s="2397"/>
      <c r="C130" s="2397"/>
      <c r="D130" s="2397"/>
      <c r="E130" s="2397"/>
      <c r="F130" s="2397"/>
      <c r="G130" s="2398"/>
      <c r="H130" s="2397"/>
      <c r="I130" s="2398"/>
      <c r="J130" s="2397"/>
      <c r="K130" s="2397"/>
      <c r="L130" s="2398"/>
      <c r="M130" s="2397"/>
      <c r="N130" s="2397"/>
      <c r="O130" s="2398"/>
      <c r="P130" s="2397"/>
      <c r="Q130" s="2397"/>
      <c r="R130" s="2399"/>
    </row>
    <row r="131" spans="2:18" s="2371" customFormat="1">
      <c r="B131" s="2397"/>
      <c r="C131" s="2397"/>
      <c r="D131" s="2397"/>
      <c r="E131" s="2397"/>
      <c r="F131" s="2397"/>
      <c r="G131" s="2398"/>
      <c r="H131" s="2397"/>
      <c r="I131" s="2398"/>
      <c r="J131" s="2397"/>
      <c r="K131" s="2397"/>
      <c r="L131" s="2398"/>
      <c r="M131" s="2397"/>
      <c r="N131" s="2397"/>
      <c r="O131" s="2398"/>
      <c r="P131" s="2397"/>
      <c r="Q131" s="2397"/>
      <c r="R131" s="2399"/>
    </row>
    <row r="132" spans="2:18" s="2371" customFormat="1">
      <c r="B132" s="2397"/>
      <c r="C132" s="2397"/>
      <c r="D132" s="2397"/>
      <c r="E132" s="2397"/>
      <c r="F132" s="2397"/>
      <c r="G132" s="2398"/>
      <c r="H132" s="2397"/>
      <c r="I132" s="2398"/>
      <c r="J132" s="2397"/>
      <c r="K132" s="2397"/>
      <c r="L132" s="2398"/>
      <c r="M132" s="2397"/>
      <c r="N132" s="2397"/>
      <c r="O132" s="2398"/>
      <c r="P132" s="2397"/>
      <c r="Q132" s="2397"/>
      <c r="R132" s="2399"/>
    </row>
    <row r="133" spans="2:18" s="2371" customFormat="1">
      <c r="B133" s="2397"/>
      <c r="C133" s="2397"/>
      <c r="D133" s="2397"/>
      <c r="E133" s="2397"/>
      <c r="F133" s="2397"/>
      <c r="G133" s="2398"/>
      <c r="H133" s="2397"/>
      <c r="I133" s="2398"/>
      <c r="J133" s="2397"/>
      <c r="K133" s="2397"/>
      <c r="L133" s="2398"/>
      <c r="M133" s="2397"/>
      <c r="N133" s="2397"/>
      <c r="O133" s="2398"/>
      <c r="P133" s="2397"/>
      <c r="Q133" s="2397"/>
      <c r="R133" s="2399"/>
    </row>
    <row r="134" spans="2:18" s="2371" customFormat="1">
      <c r="B134" s="2397"/>
      <c r="C134" s="2397"/>
      <c r="D134" s="2397"/>
      <c r="E134" s="2397"/>
      <c r="F134" s="2397"/>
      <c r="G134" s="2398"/>
      <c r="H134" s="2397"/>
      <c r="I134" s="2398"/>
      <c r="J134" s="2397"/>
      <c r="K134" s="2397"/>
      <c r="L134" s="2398"/>
      <c r="M134" s="2397"/>
      <c r="N134" s="2397"/>
      <c r="O134" s="2398"/>
      <c r="P134" s="2397"/>
      <c r="Q134" s="2397"/>
      <c r="R134" s="2399"/>
    </row>
    <row r="135" spans="2:18" s="2371" customFormat="1">
      <c r="B135" s="2397"/>
      <c r="C135" s="2397"/>
      <c r="D135" s="2397"/>
      <c r="E135" s="2397"/>
      <c r="F135" s="2397"/>
      <c r="G135" s="2398"/>
      <c r="H135" s="2397"/>
      <c r="I135" s="2398"/>
      <c r="J135" s="2397"/>
      <c r="K135" s="2397"/>
      <c r="L135" s="2398"/>
      <c r="M135" s="2397"/>
      <c r="N135" s="2397"/>
      <c r="O135" s="2398"/>
      <c r="P135" s="2397"/>
      <c r="Q135" s="2397"/>
      <c r="R135" s="2399"/>
    </row>
    <row r="136" spans="2:18" s="2371" customFormat="1">
      <c r="B136" s="2397"/>
      <c r="C136" s="2397"/>
      <c r="D136" s="2397"/>
      <c r="E136" s="2397"/>
      <c r="F136" s="2397"/>
      <c r="G136" s="2398"/>
      <c r="H136" s="2397"/>
      <c r="I136" s="2398"/>
      <c r="J136" s="2397"/>
      <c r="K136" s="2397"/>
      <c r="L136" s="2398"/>
      <c r="M136" s="2397"/>
      <c r="N136" s="2397"/>
      <c r="O136" s="2398"/>
      <c r="P136" s="2397"/>
      <c r="Q136" s="2397"/>
      <c r="R136" s="2399"/>
    </row>
    <row r="137" spans="2:18" s="2371" customFormat="1">
      <c r="B137" s="2397"/>
      <c r="C137" s="2397"/>
      <c r="D137" s="2397"/>
      <c r="E137" s="2397"/>
      <c r="F137" s="2397"/>
      <c r="G137" s="2398"/>
      <c r="H137" s="2397"/>
      <c r="I137" s="2398"/>
      <c r="J137" s="2397"/>
      <c r="K137" s="2397"/>
      <c r="L137" s="2398"/>
      <c r="M137" s="2397"/>
      <c r="N137" s="2397"/>
      <c r="O137" s="2398"/>
      <c r="P137" s="2397"/>
      <c r="Q137" s="2397"/>
      <c r="R137" s="2399"/>
    </row>
    <row r="138" spans="2:18" s="2371" customFormat="1">
      <c r="B138" s="2397"/>
      <c r="C138" s="2397"/>
      <c r="D138" s="2397"/>
      <c r="E138" s="2397"/>
      <c r="F138" s="2397"/>
      <c r="G138" s="2398"/>
      <c r="H138" s="2397"/>
      <c r="I138" s="2398"/>
      <c r="J138" s="2397"/>
      <c r="K138" s="2397"/>
      <c r="L138" s="2398"/>
      <c r="M138" s="2397"/>
      <c r="N138" s="2397"/>
      <c r="O138" s="2398"/>
      <c r="P138" s="2397"/>
      <c r="Q138" s="2397"/>
      <c r="R138" s="2399"/>
    </row>
    <row r="139" spans="2:18" s="2371" customFormat="1">
      <c r="B139" s="2397"/>
      <c r="C139" s="2397"/>
      <c r="D139" s="2397"/>
      <c r="E139" s="2397"/>
      <c r="F139" s="2397"/>
      <c r="G139" s="2398"/>
      <c r="H139" s="2397"/>
      <c r="I139" s="2398"/>
      <c r="J139" s="2397"/>
      <c r="K139" s="2397"/>
      <c r="L139" s="2398"/>
      <c r="M139" s="2397"/>
      <c r="N139" s="2397"/>
      <c r="O139" s="2398"/>
      <c r="P139" s="2397"/>
      <c r="Q139" s="2397"/>
      <c r="R139" s="2399"/>
    </row>
    <row r="140" spans="2:18" s="2371" customFormat="1">
      <c r="B140" s="2397"/>
      <c r="C140" s="2397"/>
      <c r="D140" s="2397"/>
      <c r="E140" s="2397"/>
      <c r="F140" s="2397"/>
      <c r="G140" s="2398"/>
      <c r="H140" s="2397"/>
      <c r="I140" s="2398"/>
      <c r="J140" s="2397"/>
      <c r="K140" s="2397"/>
      <c r="L140" s="2398"/>
      <c r="M140" s="2397"/>
      <c r="N140" s="2397"/>
      <c r="O140" s="2398"/>
      <c r="P140" s="2397"/>
      <c r="Q140" s="2397"/>
      <c r="R140" s="2399"/>
    </row>
    <row r="141" spans="2:18" s="2371" customFormat="1">
      <c r="B141" s="2397"/>
      <c r="C141" s="2397"/>
      <c r="D141" s="2397"/>
      <c r="E141" s="2397"/>
      <c r="F141" s="2397"/>
      <c r="G141" s="2398"/>
      <c r="H141" s="2397"/>
      <c r="I141" s="2398"/>
      <c r="J141" s="2397"/>
      <c r="K141" s="2397"/>
      <c r="L141" s="2398"/>
      <c r="M141" s="2397"/>
      <c r="N141" s="2397"/>
      <c r="O141" s="2398"/>
      <c r="P141" s="2397"/>
      <c r="Q141" s="2397"/>
      <c r="R141" s="2399"/>
    </row>
    <row r="142" spans="2:18" s="2371" customFormat="1">
      <c r="B142" s="2397"/>
      <c r="C142" s="2397"/>
      <c r="D142" s="2397"/>
      <c r="E142" s="2397"/>
      <c r="F142" s="2397"/>
      <c r="G142" s="2398"/>
      <c r="H142" s="2397"/>
      <c r="I142" s="2398"/>
      <c r="J142" s="2397"/>
      <c r="K142" s="2397"/>
      <c r="L142" s="2398"/>
      <c r="M142" s="2397"/>
      <c r="N142" s="2397"/>
      <c r="O142" s="2398"/>
      <c r="P142" s="2397"/>
      <c r="Q142" s="2397"/>
      <c r="R142" s="2399"/>
    </row>
    <row r="143" spans="2:18" s="2371" customFormat="1">
      <c r="B143" s="2397"/>
      <c r="C143" s="2397"/>
      <c r="D143" s="2397"/>
      <c r="E143" s="2397"/>
      <c r="F143" s="2397"/>
      <c r="G143" s="2398"/>
      <c r="H143" s="2397"/>
      <c r="I143" s="2398"/>
      <c r="J143" s="2397"/>
      <c r="K143" s="2397"/>
      <c r="L143" s="2398"/>
      <c r="M143" s="2397"/>
      <c r="N143" s="2397"/>
      <c r="O143" s="2398"/>
      <c r="P143" s="2397"/>
      <c r="Q143" s="2397"/>
      <c r="R143" s="2399"/>
    </row>
    <row r="144" spans="2:18" s="2371" customFormat="1">
      <c r="B144" s="2397"/>
      <c r="C144" s="2397"/>
      <c r="D144" s="2397"/>
      <c r="E144" s="2397"/>
      <c r="F144" s="2397"/>
      <c r="G144" s="2398"/>
      <c r="H144" s="2397"/>
      <c r="I144" s="2398"/>
      <c r="J144" s="2397"/>
      <c r="K144" s="2397"/>
      <c r="L144" s="2398"/>
      <c r="M144" s="2397"/>
      <c r="N144" s="2397"/>
      <c r="O144" s="2398"/>
      <c r="P144" s="2397"/>
      <c r="Q144" s="2397"/>
      <c r="R144" s="2399"/>
    </row>
    <row r="145" spans="2:18" s="2371" customFormat="1">
      <c r="B145" s="2397"/>
      <c r="C145" s="2397"/>
      <c r="D145" s="2397"/>
      <c r="E145" s="2397"/>
      <c r="F145" s="2397"/>
      <c r="G145" s="2398"/>
      <c r="H145" s="2397"/>
      <c r="I145" s="2398"/>
      <c r="J145" s="2397"/>
      <c r="K145" s="2397"/>
      <c r="L145" s="2398"/>
      <c r="M145" s="2397"/>
      <c r="N145" s="2397"/>
      <c r="O145" s="2398"/>
      <c r="P145" s="2397"/>
      <c r="Q145" s="2397"/>
      <c r="R145" s="2399"/>
    </row>
    <row r="146" spans="2:18" s="2371" customFormat="1">
      <c r="B146" s="2397"/>
      <c r="C146" s="2397"/>
      <c r="D146" s="2397"/>
      <c r="E146" s="2397"/>
      <c r="F146" s="2397"/>
      <c r="G146" s="2398"/>
      <c r="H146" s="2397"/>
      <c r="I146" s="2398"/>
      <c r="J146" s="2397"/>
      <c r="K146" s="2397"/>
      <c r="L146" s="2398"/>
      <c r="M146" s="2397"/>
      <c r="N146" s="2397"/>
      <c r="O146" s="2398"/>
      <c r="P146" s="2397"/>
      <c r="Q146" s="2397"/>
      <c r="R146" s="2399"/>
    </row>
    <row r="147" spans="2:18" s="2371" customFormat="1">
      <c r="B147" s="2397"/>
      <c r="C147" s="2397"/>
      <c r="D147" s="2397"/>
      <c r="E147" s="2397"/>
      <c r="F147" s="2397"/>
      <c r="G147" s="2398"/>
      <c r="H147" s="2397"/>
      <c r="I147" s="2398"/>
      <c r="J147" s="2397"/>
      <c r="K147" s="2397"/>
      <c r="L147" s="2398"/>
      <c r="M147" s="2397"/>
      <c r="N147" s="2397"/>
      <c r="O147" s="2398"/>
      <c r="P147" s="2397"/>
      <c r="Q147" s="2397"/>
      <c r="R147" s="2399"/>
    </row>
    <row r="148" spans="2:18" s="2371" customFormat="1">
      <c r="B148" s="2397"/>
      <c r="C148" s="2397"/>
      <c r="D148" s="2397"/>
      <c r="E148" s="2397"/>
      <c r="F148" s="2397"/>
      <c r="G148" s="2398"/>
      <c r="H148" s="2397"/>
      <c r="I148" s="2398"/>
      <c r="J148" s="2397"/>
      <c r="K148" s="2397"/>
      <c r="L148" s="2398"/>
      <c r="M148" s="2397"/>
      <c r="N148" s="2397"/>
      <c r="O148" s="2398"/>
      <c r="P148" s="2397"/>
      <c r="Q148" s="2397"/>
      <c r="R148" s="2399"/>
    </row>
    <row r="149" spans="2:18" s="2371" customFormat="1">
      <c r="B149" s="2397"/>
      <c r="C149" s="2397"/>
      <c r="D149" s="2397"/>
      <c r="E149" s="2397"/>
      <c r="F149" s="2397"/>
      <c r="G149" s="2398"/>
      <c r="H149" s="2397"/>
      <c r="I149" s="2398"/>
      <c r="J149" s="2397"/>
      <c r="K149" s="2397"/>
      <c r="L149" s="2398"/>
      <c r="M149" s="2397"/>
      <c r="N149" s="2397"/>
      <c r="O149" s="2398"/>
      <c r="P149" s="2397"/>
      <c r="Q149" s="2397"/>
      <c r="R149" s="2399"/>
    </row>
    <row r="150" spans="2:18" s="2371" customFormat="1">
      <c r="B150" s="2397"/>
      <c r="C150" s="2397"/>
      <c r="D150" s="2397"/>
      <c r="E150" s="2397"/>
      <c r="F150" s="2397"/>
      <c r="G150" s="2398"/>
      <c r="H150" s="2397"/>
      <c r="I150" s="2398"/>
      <c r="J150" s="2397"/>
      <c r="K150" s="2397"/>
      <c r="L150" s="2398"/>
      <c r="M150" s="2397"/>
      <c r="N150" s="2397"/>
      <c r="O150" s="2398"/>
      <c r="P150" s="2397"/>
      <c r="Q150" s="2397"/>
      <c r="R150" s="2399"/>
    </row>
    <row r="151" spans="2:18" s="2371" customFormat="1">
      <c r="B151" s="2397"/>
      <c r="C151" s="2397"/>
      <c r="D151" s="2397"/>
      <c r="E151" s="2397"/>
      <c r="F151" s="2397"/>
      <c r="G151" s="2398"/>
      <c r="H151" s="2397"/>
      <c r="I151" s="2398"/>
      <c r="J151" s="2397"/>
      <c r="K151" s="2397"/>
      <c r="L151" s="2398"/>
      <c r="M151" s="2397"/>
      <c r="N151" s="2397"/>
      <c r="O151" s="2398"/>
      <c r="P151" s="2397"/>
      <c r="Q151" s="2397"/>
      <c r="R151" s="2399"/>
    </row>
    <row r="152" spans="2:18" s="2371" customFormat="1">
      <c r="B152" s="2397"/>
      <c r="C152" s="2397"/>
      <c r="D152" s="2397"/>
      <c r="E152" s="2397"/>
      <c r="F152" s="2397"/>
      <c r="G152" s="2398"/>
      <c r="H152" s="2397"/>
      <c r="I152" s="2398"/>
      <c r="J152" s="2397"/>
      <c r="K152" s="2397"/>
      <c r="L152" s="2398"/>
      <c r="M152" s="2397"/>
      <c r="N152" s="2397"/>
      <c r="O152" s="2398"/>
      <c r="P152" s="2397"/>
      <c r="Q152" s="2397"/>
      <c r="R152" s="2399"/>
    </row>
    <row r="153" spans="2:18" s="2371" customFormat="1">
      <c r="B153" s="2397"/>
      <c r="C153" s="2397"/>
      <c r="D153" s="2397"/>
      <c r="E153" s="2397"/>
      <c r="F153" s="2397"/>
      <c r="G153" s="2398"/>
      <c r="H153" s="2397"/>
      <c r="I153" s="2398"/>
      <c r="J153" s="2397"/>
      <c r="K153" s="2397"/>
      <c r="L153" s="2398"/>
      <c r="M153" s="2397"/>
      <c r="N153" s="2397"/>
      <c r="O153" s="2398"/>
      <c r="P153" s="2397"/>
      <c r="Q153" s="2397"/>
      <c r="R153" s="2399"/>
    </row>
    <row r="154" spans="2:18" s="2371" customFormat="1">
      <c r="B154" s="2397"/>
      <c r="C154" s="2397"/>
      <c r="D154" s="2397"/>
      <c r="E154" s="2397"/>
      <c r="F154" s="2397"/>
      <c r="G154" s="2398"/>
      <c r="H154" s="2397"/>
      <c r="I154" s="2398"/>
      <c r="J154" s="2397"/>
      <c r="K154" s="2397"/>
      <c r="L154" s="2398"/>
      <c r="M154" s="2397"/>
      <c r="N154" s="2397"/>
      <c r="O154" s="2398"/>
      <c r="P154" s="2397"/>
      <c r="Q154" s="2397"/>
      <c r="R154" s="2399"/>
    </row>
    <row r="155" spans="2:18" s="2371" customFormat="1">
      <c r="B155" s="2397"/>
      <c r="C155" s="2397"/>
      <c r="D155" s="2397"/>
      <c r="E155" s="2397"/>
      <c r="F155" s="2397"/>
      <c r="G155" s="2398"/>
      <c r="H155" s="2397"/>
      <c r="I155" s="2398"/>
      <c r="J155" s="2397"/>
      <c r="K155" s="2397"/>
      <c r="L155" s="2398"/>
      <c r="M155" s="2397"/>
      <c r="N155" s="2397"/>
      <c r="O155" s="2398"/>
      <c r="P155" s="2397"/>
      <c r="Q155" s="2397"/>
      <c r="R155" s="2399"/>
    </row>
    <row r="156" spans="2:18" s="2371" customFormat="1">
      <c r="B156" s="2397"/>
      <c r="C156" s="2397"/>
      <c r="D156" s="2397"/>
      <c r="E156" s="2397"/>
      <c r="F156" s="2397"/>
      <c r="G156" s="2398"/>
      <c r="H156" s="2397"/>
      <c r="I156" s="2398"/>
      <c r="J156" s="2397"/>
      <c r="K156" s="2397"/>
      <c r="L156" s="2398"/>
      <c r="M156" s="2397"/>
      <c r="N156" s="2397"/>
      <c r="O156" s="2398"/>
      <c r="P156" s="2397"/>
      <c r="Q156" s="2397"/>
      <c r="R156" s="2399"/>
    </row>
    <row r="157" spans="2:18" s="2371" customFormat="1">
      <c r="B157" s="2397"/>
      <c r="C157" s="2397"/>
      <c r="D157" s="2397"/>
      <c r="E157" s="2397"/>
      <c r="F157" s="2397"/>
      <c r="G157" s="2398"/>
      <c r="H157" s="2397"/>
      <c r="I157" s="2398"/>
      <c r="J157" s="2397"/>
      <c r="K157" s="2397"/>
      <c r="L157" s="2398"/>
      <c r="M157" s="2397"/>
      <c r="N157" s="2397"/>
      <c r="O157" s="2398"/>
      <c r="P157" s="2397"/>
      <c r="Q157" s="2397"/>
      <c r="R157" s="2399"/>
    </row>
    <row r="158" spans="2:18" s="2371" customFormat="1">
      <c r="B158" s="2397"/>
      <c r="C158" s="2397"/>
      <c r="D158" s="2397"/>
      <c r="E158" s="2397"/>
      <c r="F158" s="2397"/>
      <c r="G158" s="2398"/>
      <c r="H158" s="2397"/>
      <c r="I158" s="2398"/>
      <c r="J158" s="2397"/>
      <c r="K158" s="2397"/>
      <c r="L158" s="2398"/>
      <c r="M158" s="2397"/>
      <c r="N158" s="2397"/>
      <c r="O158" s="2398"/>
      <c r="P158" s="2397"/>
      <c r="Q158" s="2397"/>
      <c r="R158" s="2399"/>
    </row>
    <row r="159" spans="2:18" s="2371" customFormat="1">
      <c r="B159" s="2397"/>
      <c r="C159" s="2397"/>
      <c r="D159" s="2397"/>
      <c r="E159" s="2397"/>
      <c r="F159" s="2397"/>
      <c r="G159" s="2398"/>
      <c r="H159" s="2397"/>
      <c r="I159" s="2398"/>
      <c r="J159" s="2397"/>
      <c r="K159" s="2397"/>
      <c r="L159" s="2398"/>
      <c r="M159" s="2397"/>
      <c r="N159" s="2397"/>
      <c r="O159" s="2398"/>
      <c r="P159" s="2397"/>
      <c r="Q159" s="2397"/>
      <c r="R159" s="2399"/>
    </row>
    <row r="160" spans="2:18" s="2371" customFormat="1">
      <c r="B160" s="2397"/>
      <c r="C160" s="2397"/>
      <c r="D160" s="2397"/>
      <c r="E160" s="2397"/>
      <c r="F160" s="2397"/>
      <c r="G160" s="2398"/>
      <c r="H160" s="2397"/>
      <c r="I160" s="2398"/>
      <c r="J160" s="2397"/>
      <c r="K160" s="2397"/>
      <c r="L160" s="2398"/>
      <c r="M160" s="2397"/>
      <c r="N160" s="2397"/>
      <c r="O160" s="2398"/>
      <c r="P160" s="2397"/>
      <c r="Q160" s="2397"/>
      <c r="R160" s="2399"/>
    </row>
    <row r="161" spans="2:18" s="2371" customFormat="1">
      <c r="B161" s="2397"/>
      <c r="C161" s="2397"/>
      <c r="D161" s="2397"/>
      <c r="E161" s="2397"/>
      <c r="F161" s="2397"/>
      <c r="G161" s="2398"/>
      <c r="H161" s="2397"/>
      <c r="I161" s="2398"/>
      <c r="J161" s="2397"/>
      <c r="K161" s="2397"/>
      <c r="L161" s="2398"/>
      <c r="M161" s="2397"/>
      <c r="N161" s="2397"/>
      <c r="O161" s="2398"/>
      <c r="P161" s="2397"/>
      <c r="Q161" s="2397"/>
      <c r="R161" s="2399"/>
    </row>
    <row r="162" spans="2:18" s="2371" customFormat="1">
      <c r="B162" s="2397"/>
      <c r="C162" s="2397"/>
      <c r="D162" s="2397"/>
      <c r="E162" s="2397"/>
      <c r="F162" s="2397"/>
      <c r="G162" s="2398"/>
      <c r="H162" s="2397"/>
      <c r="I162" s="2398"/>
      <c r="J162" s="2397"/>
      <c r="K162" s="2397"/>
      <c r="L162" s="2398"/>
      <c r="M162" s="2397"/>
      <c r="N162" s="2397"/>
      <c r="O162" s="2398"/>
      <c r="P162" s="2397"/>
      <c r="Q162" s="2397"/>
      <c r="R162" s="2399"/>
    </row>
    <row r="163" spans="2:18" s="2371" customFormat="1">
      <c r="B163" s="2397"/>
      <c r="C163" s="2397"/>
      <c r="D163" s="2397"/>
      <c r="E163" s="2397"/>
      <c r="F163" s="2397"/>
      <c r="G163" s="2398"/>
      <c r="H163" s="2397"/>
      <c r="I163" s="2398"/>
      <c r="J163" s="2397"/>
      <c r="K163" s="2397"/>
      <c r="L163" s="2398"/>
      <c r="M163" s="2397"/>
      <c r="N163" s="2397"/>
      <c r="O163" s="2398"/>
      <c r="P163" s="2397"/>
      <c r="Q163" s="2397"/>
      <c r="R163" s="2399"/>
    </row>
    <row r="164" spans="2:18" s="2371" customFormat="1">
      <c r="B164" s="2397"/>
      <c r="C164" s="2397"/>
      <c r="D164" s="2397"/>
      <c r="E164" s="2397"/>
      <c r="F164" s="2397"/>
      <c r="G164" s="2398"/>
      <c r="H164" s="2397"/>
      <c r="I164" s="2398"/>
      <c r="J164" s="2397"/>
      <c r="K164" s="2397"/>
      <c r="L164" s="2398"/>
      <c r="M164" s="2397"/>
      <c r="N164" s="2397"/>
      <c r="O164" s="2398"/>
      <c r="P164" s="2397"/>
      <c r="Q164" s="2397"/>
      <c r="R164" s="2399"/>
    </row>
    <row r="165" spans="2:18" s="2371" customFormat="1">
      <c r="B165" s="2397"/>
      <c r="C165" s="2397"/>
      <c r="D165" s="2397"/>
      <c r="E165" s="2397"/>
      <c r="F165" s="2397"/>
      <c r="G165" s="2398"/>
      <c r="H165" s="2397"/>
      <c r="I165" s="2398"/>
      <c r="J165" s="2397"/>
      <c r="K165" s="2397"/>
      <c r="L165" s="2398"/>
      <c r="M165" s="2397"/>
      <c r="N165" s="2397"/>
      <c r="O165" s="2398"/>
      <c r="P165" s="2397"/>
      <c r="Q165" s="2397"/>
      <c r="R165" s="2399"/>
    </row>
    <row r="166" spans="2:18" s="2371" customFormat="1">
      <c r="B166" s="2397"/>
      <c r="C166" s="2397"/>
      <c r="D166" s="2397"/>
      <c r="E166" s="2397"/>
      <c r="F166" s="2397"/>
      <c r="G166" s="2398"/>
      <c r="H166" s="2397"/>
      <c r="I166" s="2398"/>
      <c r="J166" s="2397"/>
      <c r="K166" s="2397"/>
      <c r="L166" s="2398"/>
      <c r="M166" s="2397"/>
      <c r="N166" s="2397"/>
      <c r="O166" s="2398"/>
      <c r="P166" s="2397"/>
      <c r="Q166" s="2397"/>
      <c r="R166" s="2399"/>
    </row>
    <row r="167" spans="2:18" s="2371" customFormat="1">
      <c r="B167" s="2397"/>
      <c r="C167" s="2397"/>
      <c r="D167" s="2397"/>
      <c r="E167" s="2397"/>
      <c r="F167" s="2397"/>
      <c r="G167" s="2398"/>
      <c r="H167" s="2397"/>
      <c r="I167" s="2398"/>
      <c r="J167" s="2397"/>
      <c r="K167" s="2397"/>
      <c r="L167" s="2398"/>
      <c r="M167" s="2397"/>
      <c r="N167" s="2397"/>
      <c r="O167" s="2398"/>
      <c r="P167" s="2397"/>
      <c r="Q167" s="2397"/>
      <c r="R167" s="2399"/>
    </row>
    <row r="168" spans="2:18" s="2371" customFormat="1">
      <c r="B168" s="2397"/>
      <c r="C168" s="2397"/>
      <c r="D168" s="2397"/>
      <c r="E168" s="2397"/>
      <c r="F168" s="2397"/>
      <c r="G168" s="2398"/>
      <c r="H168" s="2397"/>
      <c r="I168" s="2398"/>
      <c r="J168" s="2397"/>
      <c r="K168" s="2397"/>
      <c r="L168" s="2398"/>
      <c r="M168" s="2397"/>
      <c r="N168" s="2397"/>
      <c r="O168" s="2398"/>
      <c r="P168" s="2397"/>
      <c r="Q168" s="2397"/>
      <c r="R168" s="2399"/>
    </row>
    <row r="169" spans="2:18" s="2371" customFormat="1">
      <c r="B169" s="2397"/>
      <c r="C169" s="2397"/>
      <c r="D169" s="2397"/>
      <c r="E169" s="2397"/>
      <c r="F169" s="2397"/>
      <c r="G169" s="2398"/>
      <c r="H169" s="2397"/>
      <c r="I169" s="2398"/>
      <c r="J169" s="2397"/>
      <c r="K169" s="2397"/>
      <c r="L169" s="2398"/>
      <c r="M169" s="2397"/>
      <c r="N169" s="2397"/>
      <c r="O169" s="2398"/>
      <c r="P169" s="2397"/>
      <c r="Q169" s="2397"/>
      <c r="R169" s="2399"/>
    </row>
    <row r="170" spans="2:18" s="2371" customFormat="1">
      <c r="B170" s="2397"/>
      <c r="C170" s="2397"/>
      <c r="D170" s="2397"/>
      <c r="E170" s="2397"/>
      <c r="F170" s="2397"/>
      <c r="G170" s="2398"/>
      <c r="H170" s="2397"/>
      <c r="I170" s="2398"/>
      <c r="J170" s="2397"/>
      <c r="K170" s="2397"/>
      <c r="L170" s="2398"/>
      <c r="M170" s="2397"/>
      <c r="N170" s="2397"/>
      <c r="O170" s="2398"/>
      <c r="P170" s="2397"/>
      <c r="Q170" s="2397"/>
      <c r="R170" s="2399"/>
    </row>
    <row r="171" spans="2:18" s="2371" customFormat="1">
      <c r="B171" s="2397"/>
      <c r="C171" s="2397"/>
      <c r="D171" s="2397"/>
      <c r="E171" s="2397"/>
      <c r="F171" s="2397"/>
      <c r="G171" s="2398"/>
      <c r="H171" s="2397"/>
      <c r="I171" s="2398"/>
      <c r="J171" s="2397"/>
      <c r="K171" s="2397"/>
      <c r="L171" s="2398"/>
      <c r="M171" s="2397"/>
      <c r="N171" s="2397"/>
      <c r="O171" s="2398"/>
      <c r="P171" s="2397"/>
      <c r="Q171" s="2397"/>
      <c r="R171" s="2399"/>
    </row>
    <row r="172" spans="2:18" s="2371" customFormat="1">
      <c r="B172" s="2397"/>
      <c r="C172" s="2397"/>
      <c r="D172" s="2397"/>
      <c r="E172" s="2397"/>
      <c r="F172" s="2397"/>
      <c r="G172" s="2398"/>
      <c r="H172" s="2397"/>
      <c r="I172" s="2398"/>
      <c r="J172" s="2397"/>
      <c r="K172" s="2397"/>
      <c r="L172" s="2398"/>
      <c r="M172" s="2397"/>
      <c r="N172" s="2397"/>
      <c r="O172" s="2398"/>
      <c r="P172" s="2397"/>
      <c r="Q172" s="2397"/>
      <c r="R172" s="2399"/>
    </row>
    <row r="173" spans="2:18" s="2371" customFormat="1">
      <c r="B173" s="2397"/>
      <c r="C173" s="2397"/>
      <c r="D173" s="2397"/>
      <c r="E173" s="2397"/>
      <c r="F173" s="2397"/>
      <c r="G173" s="2398"/>
      <c r="H173" s="2397"/>
      <c r="I173" s="2398"/>
      <c r="J173" s="2397"/>
      <c r="K173" s="2397"/>
      <c r="L173" s="2398"/>
      <c r="M173" s="2397"/>
      <c r="N173" s="2397"/>
      <c r="O173" s="2398"/>
      <c r="P173" s="2397"/>
      <c r="Q173" s="2397"/>
      <c r="R173" s="2399"/>
    </row>
    <row r="174" spans="2:18" s="2371" customFormat="1">
      <c r="B174" s="2397"/>
      <c r="C174" s="2397"/>
      <c r="D174" s="2397"/>
      <c r="E174" s="2397"/>
      <c r="F174" s="2397"/>
      <c r="G174" s="2398"/>
      <c r="H174" s="2397"/>
      <c r="I174" s="2398"/>
      <c r="J174" s="2397"/>
      <c r="K174" s="2397"/>
      <c r="L174" s="2398"/>
      <c r="M174" s="2397"/>
      <c r="N174" s="2397"/>
      <c r="O174" s="2398"/>
      <c r="P174" s="2397"/>
      <c r="Q174" s="2397"/>
      <c r="R174" s="2399"/>
    </row>
    <row r="175" spans="2:18" s="2371" customFormat="1">
      <c r="B175" s="2397"/>
      <c r="C175" s="2397"/>
      <c r="D175" s="2397"/>
      <c r="E175" s="2397"/>
      <c r="F175" s="2397"/>
      <c r="G175" s="2398"/>
      <c r="H175" s="2397"/>
      <c r="I175" s="2398"/>
      <c r="J175" s="2397"/>
      <c r="K175" s="2397"/>
      <c r="L175" s="2398"/>
      <c r="M175" s="2397"/>
      <c r="N175" s="2397"/>
      <c r="O175" s="2398"/>
      <c r="P175" s="2397"/>
      <c r="Q175" s="2397"/>
      <c r="R175" s="2399"/>
    </row>
    <row r="176" spans="2:18" s="2371" customFormat="1">
      <c r="B176" s="2397"/>
      <c r="C176" s="2397"/>
      <c r="D176" s="2397"/>
      <c r="E176" s="2397"/>
      <c r="F176" s="2397"/>
      <c r="G176" s="2398"/>
      <c r="H176" s="2397"/>
      <c r="I176" s="2398"/>
      <c r="J176" s="2397"/>
      <c r="K176" s="2397"/>
      <c r="L176" s="2398"/>
      <c r="M176" s="2397"/>
      <c r="N176" s="2397"/>
      <c r="O176" s="2398"/>
      <c r="P176" s="2397"/>
      <c r="Q176" s="2397"/>
      <c r="R176" s="2399"/>
    </row>
    <row r="177" spans="1:18" s="2371" customFormat="1">
      <c r="B177" s="2397"/>
      <c r="C177" s="2397"/>
      <c r="D177" s="2397"/>
      <c r="E177" s="2397"/>
      <c r="F177" s="2397"/>
      <c r="G177" s="2398"/>
      <c r="H177" s="2397"/>
      <c r="I177" s="2398"/>
      <c r="J177" s="2397"/>
      <c r="K177" s="2397"/>
      <c r="L177" s="2398"/>
      <c r="M177" s="2397"/>
      <c r="N177" s="2397"/>
      <c r="O177" s="2398"/>
      <c r="P177" s="2397"/>
      <c r="Q177" s="2397"/>
      <c r="R177" s="2399"/>
    </row>
    <row r="178" spans="1:18" s="2371" customFormat="1">
      <c r="B178" s="2397"/>
      <c r="C178" s="2397"/>
      <c r="D178" s="2397"/>
      <c r="E178" s="2397"/>
      <c r="F178" s="2397"/>
      <c r="G178" s="2398"/>
      <c r="H178" s="2397"/>
      <c r="I178" s="2398"/>
      <c r="J178" s="2397"/>
      <c r="K178" s="2397"/>
      <c r="L178" s="2398"/>
      <c r="M178" s="2397"/>
      <c r="N178" s="2397"/>
      <c r="O178" s="2398"/>
      <c r="P178" s="2397"/>
      <c r="Q178" s="2397"/>
      <c r="R178" s="2399"/>
    </row>
    <row r="179" spans="1:18" s="2371" customFormat="1">
      <c r="B179" s="2397"/>
      <c r="C179" s="2397"/>
      <c r="D179" s="2397"/>
      <c r="E179" s="2397"/>
      <c r="F179" s="2397"/>
      <c r="G179" s="2398"/>
      <c r="H179" s="2397"/>
      <c r="I179" s="2398"/>
      <c r="J179" s="2397"/>
      <c r="K179" s="2397"/>
      <c r="L179" s="2398"/>
      <c r="M179" s="2397"/>
      <c r="N179" s="2397"/>
      <c r="O179" s="2398"/>
      <c r="P179" s="2397"/>
      <c r="Q179" s="2397"/>
      <c r="R179" s="2399"/>
    </row>
    <row r="180" spans="1:18" s="2371" customFormat="1">
      <c r="B180" s="2397"/>
      <c r="C180" s="2397"/>
      <c r="D180" s="2397"/>
      <c r="E180" s="2397"/>
      <c r="F180" s="2397"/>
      <c r="G180" s="2398"/>
      <c r="H180" s="2397"/>
      <c r="I180" s="2398"/>
      <c r="J180" s="2397"/>
      <c r="K180" s="2397"/>
      <c r="L180" s="2398"/>
      <c r="M180" s="2397"/>
      <c r="N180" s="2397"/>
      <c r="O180" s="2398"/>
      <c r="P180" s="2397"/>
      <c r="Q180" s="2397"/>
      <c r="R180" s="2399"/>
    </row>
    <row r="181" spans="1:18" s="2371" customFormat="1">
      <c r="B181" s="2397"/>
      <c r="C181" s="2397"/>
      <c r="D181" s="2397"/>
      <c r="E181" s="2397"/>
      <c r="F181" s="2397"/>
      <c r="G181" s="2398"/>
      <c r="H181" s="2397"/>
      <c r="I181" s="2398"/>
      <c r="J181" s="2397"/>
      <c r="K181" s="2397"/>
      <c r="L181" s="2398"/>
      <c r="M181" s="2397"/>
      <c r="N181" s="2397"/>
      <c r="O181" s="2398"/>
      <c r="P181" s="2397"/>
      <c r="Q181" s="2397"/>
      <c r="R181" s="2399"/>
    </row>
    <row r="182" spans="1:18" s="2371" customFormat="1">
      <c r="B182" s="2397"/>
      <c r="C182" s="2397"/>
      <c r="D182" s="2397"/>
      <c r="E182" s="2397"/>
      <c r="F182" s="2397"/>
      <c r="G182" s="2398"/>
      <c r="H182" s="2397"/>
      <c r="I182" s="2398"/>
      <c r="J182" s="2397"/>
      <c r="K182" s="2397"/>
      <c r="L182" s="2398"/>
      <c r="M182" s="2397"/>
      <c r="N182" s="2397"/>
      <c r="O182" s="2398"/>
      <c r="P182" s="2397"/>
      <c r="Q182" s="2397"/>
      <c r="R182" s="2399"/>
    </row>
    <row r="183" spans="1:18" s="2371" customFormat="1">
      <c r="B183" s="2397"/>
      <c r="C183" s="2397"/>
      <c r="D183" s="2397"/>
      <c r="E183" s="2397"/>
      <c r="F183" s="2397"/>
      <c r="G183" s="2398"/>
      <c r="H183" s="2397"/>
      <c r="I183" s="2398"/>
      <c r="J183" s="2397"/>
      <c r="K183" s="2397"/>
      <c r="L183" s="2398"/>
      <c r="M183" s="2397"/>
      <c r="N183" s="2397"/>
      <c r="O183" s="2398"/>
      <c r="P183" s="2397"/>
      <c r="Q183" s="2397"/>
      <c r="R183" s="2399"/>
    </row>
    <row r="184" spans="1:18" s="2371" customFormat="1">
      <c r="B184" s="2397"/>
      <c r="C184" s="2397"/>
      <c r="D184" s="2397"/>
      <c r="E184" s="2397"/>
      <c r="F184" s="2397"/>
      <c r="G184" s="2398"/>
      <c r="H184" s="2397"/>
      <c r="I184" s="2398"/>
      <c r="J184" s="2397"/>
      <c r="K184" s="2397"/>
      <c r="L184" s="2398"/>
      <c r="M184" s="2397"/>
      <c r="N184" s="2397"/>
      <c r="O184" s="2398"/>
      <c r="P184" s="2397"/>
      <c r="Q184" s="2397"/>
      <c r="R184" s="2399"/>
    </row>
    <row r="185" spans="1:18" s="2371"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71"/>
      <c r="B186" s="2397"/>
      <c r="C186" s="2397"/>
      <c r="E186" s="2397"/>
      <c r="F186" s="2397"/>
      <c r="G186" s="2398"/>
    </row>
    <row r="187" spans="1:18">
      <c r="A187" s="2371"/>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6" sqref="G16"/>
    </sheetView>
  </sheetViews>
  <sheetFormatPr defaultRowHeight="13.5"/>
  <cols>
    <col min="1" max="1" width="23.375" style="1741" customWidth="1"/>
    <col min="2" max="9" width="15.75" style="1741" customWidth="1"/>
    <col min="10" max="16384" width="9" style="1741"/>
  </cols>
  <sheetData>
    <row r="1" spans="1:10" ht="16.5">
      <c r="A1" s="1746" t="s">
        <v>1365</v>
      </c>
      <c r="B1" s="1746">
        <f>SUM(B14:B23)</f>
        <v>120705.98000000005</v>
      </c>
      <c r="C1" s="1745"/>
      <c r="D1" s="1745"/>
      <c r="E1" s="1745"/>
      <c r="F1" s="1745"/>
      <c r="G1" s="1743"/>
    </row>
    <row r="2" spans="1:10" ht="16.5">
      <c r="A2" s="1746" t="s">
        <v>1353</v>
      </c>
      <c r="B2" s="1746">
        <f>SUM(C14:C23)</f>
        <v>1626.74</v>
      </c>
      <c r="C2" s="1745"/>
      <c r="D2" s="1745"/>
      <c r="E2" s="1745"/>
      <c r="F2" s="1745"/>
      <c r="G2" s="1743"/>
    </row>
    <row r="3" spans="1:10" ht="16.5">
      <c r="A3" s="1746" t="s">
        <v>1362</v>
      </c>
      <c r="B3" s="1747">
        <f>项目基本情况!D3</f>
        <v>43307</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37374</v>
      </c>
      <c r="C5" s="1746">
        <f ca="1">ROUND(B5*10000/$B$1,0)</f>
        <v>3096</v>
      </c>
      <c r="D5" s="1746">
        <f ca="1">ROUND(B5*10000/$B$2,0)</f>
        <v>229748</v>
      </c>
      <c r="E5" s="1745"/>
      <c r="F5" s="1743"/>
      <c r="G5" s="1743"/>
    </row>
    <row r="6" spans="1:10" ht="16.5">
      <c r="A6" s="1746" t="s">
        <v>1356</v>
      </c>
      <c r="B6" s="1746">
        <f ca="1">SUM(G14:G23)</f>
        <v>37374</v>
      </c>
      <c r="C6" s="1746">
        <f ca="1">ROUND(B6*10000/$B$1,0)</f>
        <v>3096</v>
      </c>
      <c r="D6" s="1746">
        <f ca="1">ROUND(B6*10000/$B$2,0)</f>
        <v>229748</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1611</v>
      </c>
      <c r="C14" s="1744">
        <f>结果表!C118</f>
        <v>1626.74</v>
      </c>
      <c r="D14" s="1744">
        <f ca="1">结果表!H118</f>
        <v>507</v>
      </c>
      <c r="E14" s="1744">
        <f ca="1">ROUND(D14*10000/B14,0)</f>
        <v>3147</v>
      </c>
      <c r="F14" s="1744">
        <f ca="1">ROUND(D14*10000/C14,0)</f>
        <v>3117</v>
      </c>
      <c r="G14" s="1744">
        <f ca="1">结果表!D122</f>
        <v>507</v>
      </c>
      <c r="H14" s="1744" t="str">
        <f>结果表!D124</f>
        <v>——</v>
      </c>
      <c r="I14" s="1744" t="str">
        <f>结果表!D126</f>
        <v>——</v>
      </c>
      <c r="J14" s="1743"/>
    </row>
    <row r="15" spans="1:10" ht="16.5">
      <c r="A15" s="1742" t="s">
        <v>1349</v>
      </c>
      <c r="B15" s="1749">
        <f>典型户型修正!B22-典型户型修正!B24</f>
        <v>119094.98000000005</v>
      </c>
      <c r="C15" s="1749">
        <f>'数据-基础表'!E6-'数据-汇总表'!D19</f>
        <v>0</v>
      </c>
      <c r="D15" s="1749">
        <f ca="1">典型户型修正!S22-典型户型修正!S24</f>
        <v>36867</v>
      </c>
      <c r="E15" s="1744">
        <f t="shared" ref="E15:E23" ca="1" si="0">ROUND(D15*10000/B15,0)</f>
        <v>3096</v>
      </c>
      <c r="F15" s="1744" t="e">
        <f t="shared" ref="F15:F23" ca="1" si="1">ROUND(D15*10000/C15,0)</f>
        <v>#DIV/0!</v>
      </c>
      <c r="G15" s="1750">
        <f ca="1">D15</f>
        <v>36867</v>
      </c>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31" sqref="F31"/>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8" t="s">
        <v>2120</v>
      </c>
      <c r="B1" s="2420"/>
      <c r="C1" s="2421" t="s">
        <v>3371</v>
      </c>
      <c r="D1" s="2420"/>
      <c r="E1" s="2420"/>
      <c r="F1" s="2422" t="s">
        <v>2121</v>
      </c>
      <c r="G1" s="2073" t="s">
        <v>3052</v>
      </c>
      <c r="H1" s="2423" t="str">
        <f>IF(G1="现房","——","估价对象范围")</f>
        <v>估价对象范围</v>
      </c>
      <c r="I1" s="2424"/>
    </row>
    <row r="2" spans="1:12" ht="21.75" customHeight="1" thickBot="1">
      <c r="A2" s="3171" t="str">
        <f>项目基本情况!S2</f>
        <v>出让国有建设用地使用权及在建建筑物房地产</v>
      </c>
      <c r="B2" s="3172"/>
      <c r="C2" s="3172"/>
      <c r="D2" s="3172"/>
      <c r="E2" s="3172"/>
      <c r="F2" s="3172"/>
      <c r="G2" s="3172"/>
      <c r="H2" s="3172"/>
      <c r="I2" s="3173"/>
    </row>
    <row r="3" spans="1:12" ht="12.75">
      <c r="A3" s="3174" t="s">
        <v>2122</v>
      </c>
      <c r="B3" s="3175"/>
      <c r="C3" s="3175"/>
      <c r="D3" s="3175"/>
      <c r="E3" s="3175"/>
      <c r="F3" s="3175"/>
      <c r="G3" s="3175"/>
      <c r="H3" s="3175"/>
      <c r="I3" s="3175"/>
    </row>
    <row r="4" spans="1:12" ht="14.25">
      <c r="A4" s="2427" t="s">
        <v>2123</v>
      </c>
      <c r="B4" s="2428" t="s">
        <v>2124</v>
      </c>
      <c r="C4" s="2429" t="s">
        <v>3375</v>
      </c>
      <c r="D4" s="2429" t="s">
        <v>3376</v>
      </c>
      <c r="E4" s="3155" t="s">
        <v>2125</v>
      </c>
      <c r="F4" s="3168"/>
      <c r="G4" s="3168"/>
      <c r="H4" s="3168"/>
      <c r="I4" s="3156"/>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假设开发法</v>
      </c>
    </row>
    <row r="5" spans="1:12" ht="12.75">
      <c r="A5" s="3146" t="s">
        <v>2126</v>
      </c>
      <c r="B5" s="3072">
        <v>25</v>
      </c>
      <c r="C5" s="3176"/>
      <c r="D5" s="3164"/>
      <c r="E5" s="140" t="s">
        <v>2127</v>
      </c>
      <c r="F5" s="2431"/>
      <c r="G5" s="2431"/>
      <c r="H5" s="2431"/>
      <c r="I5" s="1834"/>
    </row>
    <row r="6" spans="1:12" ht="12.75">
      <c r="A6" s="3146"/>
      <c r="B6" s="3072"/>
      <c r="C6" s="3178"/>
      <c r="D6" s="3164"/>
      <c r="E6" s="140" t="s">
        <v>2128</v>
      </c>
      <c r="F6" s="2431"/>
      <c r="G6" s="2431"/>
      <c r="H6" s="2431"/>
      <c r="I6" s="1834"/>
    </row>
    <row r="7" spans="1:12" ht="12.75">
      <c r="A7" s="3146"/>
      <c r="B7" s="3072"/>
      <c r="C7" s="3177"/>
      <c r="D7" s="3164"/>
      <c r="E7" s="140" t="s">
        <v>2129</v>
      </c>
      <c r="F7" s="2431"/>
      <c r="G7" s="2431"/>
      <c r="H7" s="2431"/>
      <c r="I7" s="1834"/>
    </row>
    <row r="8" spans="1:12" ht="12.75">
      <c r="A8" s="3146" t="s">
        <v>2130</v>
      </c>
      <c r="B8" s="3072">
        <v>15</v>
      </c>
      <c r="C8" s="3176"/>
      <c r="D8" s="3164"/>
      <c r="E8" s="140" t="s">
        <v>2131</v>
      </c>
      <c r="F8" s="2431"/>
      <c r="G8" s="2431"/>
      <c r="H8" s="2431"/>
      <c r="I8" s="1834"/>
    </row>
    <row r="9" spans="1:12" ht="12.75">
      <c r="A9" s="3146"/>
      <c r="B9" s="3072"/>
      <c r="C9" s="3177"/>
      <c r="D9" s="3164"/>
      <c r="E9" s="140" t="s">
        <v>2132</v>
      </c>
      <c r="F9" s="2431"/>
      <c r="G9" s="2431"/>
      <c r="H9" s="2431"/>
      <c r="I9" s="1834"/>
    </row>
    <row r="10" spans="1:12" ht="12.75">
      <c r="A10" s="3146" t="s">
        <v>2133</v>
      </c>
      <c r="B10" s="3072">
        <v>15</v>
      </c>
      <c r="C10" s="3176"/>
      <c r="D10" s="3164"/>
      <c r="E10" s="140" t="s">
        <v>2134</v>
      </c>
      <c r="F10" s="2431"/>
      <c r="G10" s="2431"/>
      <c r="H10" s="2431"/>
      <c r="I10" s="1834"/>
    </row>
    <row r="11" spans="1:12" ht="12.75">
      <c r="A11" s="3146"/>
      <c r="B11" s="3072"/>
      <c r="C11" s="3177"/>
      <c r="D11" s="3164"/>
      <c r="E11" s="140" t="s">
        <v>2135</v>
      </c>
      <c r="F11" s="2431"/>
      <c r="G11" s="2431"/>
      <c r="H11" s="2431"/>
      <c r="I11" s="1834"/>
    </row>
    <row r="12" spans="1:12" ht="12.75">
      <c r="A12" s="3146" t="s">
        <v>2136</v>
      </c>
      <c r="B12" s="3072">
        <v>15</v>
      </c>
      <c r="C12" s="3176"/>
      <c r="D12" s="3164"/>
      <c r="E12" s="140" t="s">
        <v>2137</v>
      </c>
      <c r="F12" s="2431"/>
      <c r="G12" s="2431"/>
      <c r="H12" s="2431"/>
      <c r="I12" s="1834"/>
    </row>
    <row r="13" spans="1:12" ht="12.75">
      <c r="A13" s="3146"/>
      <c r="B13" s="3072"/>
      <c r="C13" s="3177"/>
      <c r="D13" s="3164"/>
      <c r="E13" s="140" t="s">
        <v>2138</v>
      </c>
      <c r="F13" s="2431"/>
      <c r="G13" s="2431"/>
      <c r="H13" s="2431"/>
      <c r="I13" s="1834"/>
    </row>
    <row r="14" spans="1:12" ht="12.75">
      <c r="A14" s="3146" t="s">
        <v>2139</v>
      </c>
      <c r="B14" s="3072">
        <v>30</v>
      </c>
      <c r="C14" s="3176">
        <v>0.5</v>
      </c>
      <c r="D14" s="3164">
        <f>1-C14</f>
        <v>0.5</v>
      </c>
      <c r="E14" s="140" t="s">
        <v>2140</v>
      </c>
      <c r="F14" s="2431"/>
      <c r="G14" s="2431"/>
      <c r="H14" s="2431"/>
      <c r="I14" s="1834"/>
    </row>
    <row r="15" spans="1:12" ht="12.75">
      <c r="A15" s="3146"/>
      <c r="B15" s="3072"/>
      <c r="C15" s="3178"/>
      <c r="D15" s="3164"/>
      <c r="E15" s="140" t="s">
        <v>2141</v>
      </c>
      <c r="F15" s="2431"/>
      <c r="G15" s="2431"/>
      <c r="H15" s="2431"/>
      <c r="I15" s="1834"/>
    </row>
    <row r="16" spans="1:12" ht="12.75">
      <c r="A16" s="3146"/>
      <c r="B16" s="3072"/>
      <c r="C16" s="3177"/>
      <c r="D16" s="3164"/>
      <c r="E16" s="140" t="s">
        <v>2142</v>
      </c>
      <c r="F16" s="2431"/>
      <c r="G16" s="2431"/>
      <c r="H16" s="2431"/>
      <c r="I16" s="1834"/>
    </row>
    <row r="17" spans="1:35" ht="15">
      <c r="A17" s="2432" t="s">
        <v>2143</v>
      </c>
      <c r="B17" s="64"/>
      <c r="C17" s="141">
        <f>SUM(C5:C16)</f>
        <v>0.5</v>
      </c>
      <c r="D17" s="141">
        <f>SUM(D5:D16)</f>
        <v>0.5</v>
      </c>
      <c r="E17" s="138"/>
      <c r="F17" s="138"/>
      <c r="G17" s="138"/>
      <c r="H17" s="138"/>
      <c r="I17" s="138"/>
      <c r="K17" s="2430"/>
      <c r="L17" s="2433" t="s">
        <v>2144</v>
      </c>
      <c r="M17" s="2433" t="s">
        <v>2145</v>
      </c>
    </row>
    <row r="18" spans="1:35" ht="15.75" thickBot="1">
      <c r="A18" s="2434" t="s">
        <v>2146</v>
      </c>
      <c r="B18" s="2435"/>
      <c r="C18" s="142">
        <f>ROUND(C17/SUM(C17:D17),2)</f>
        <v>0.5</v>
      </c>
      <c r="D18" s="142">
        <f>1-C18</f>
        <v>0.5</v>
      </c>
      <c r="E18" s="138"/>
      <c r="F18" s="138"/>
      <c r="G18" s="138"/>
      <c r="H18" s="138"/>
      <c r="I18" s="138"/>
      <c r="K18" s="2430" t="s">
        <v>2147</v>
      </c>
      <c r="L18" s="2430">
        <f>IF(C1="",'数据-汇总表'!E3,SUMIF(项目类型,C1,'数据-汇总表'!E17:E26)+SUMIF(项目类型,C1,'数据-汇总表'!I17:I26))</f>
        <v>1611</v>
      </c>
      <c r="M18" s="2430">
        <f>IF(C1="",'数据-汇总表'!E3,SUMIF(项目类型,C1,'数据-汇总表'!E17:E26))</f>
        <v>1611</v>
      </c>
    </row>
    <row r="19" spans="1:35" ht="15">
      <c r="A19" s="2436" t="s">
        <v>2148</v>
      </c>
      <c r="B19" s="2437" t="s">
        <v>2149</v>
      </c>
      <c r="C19" s="143">
        <f ca="1">SUMIF(INDIRECT("'"&amp;C4&amp;"'"&amp;"!A:A"),结果表!B19,INDIRECT("'"&amp;C4&amp;"'"&amp;"!B:B"))</f>
        <v>560</v>
      </c>
      <c r="D19" s="144">
        <f ca="1">SUMIF(INDIRECT("'"&amp;D4&amp;"'"&amp;"!A:A"),结果表!B19,INDIRECT("'"&amp;D4&amp;"'"&amp;"!B:B"))</f>
        <v>453</v>
      </c>
      <c r="E19" s="2436" t="s">
        <v>2150</v>
      </c>
      <c r="F19" s="2437" t="s">
        <v>2149</v>
      </c>
      <c r="G19" s="145">
        <f ca="1">ROUND(C19*$C$18+D19*$D$18,0)</f>
        <v>507</v>
      </c>
      <c r="H19" s="2438" t="s">
        <v>2151</v>
      </c>
      <c r="I19" s="138"/>
      <c r="K19" s="2430" t="s">
        <v>2152</v>
      </c>
      <c r="L19" s="2430">
        <f>IF(C1="",'数据-汇总表'!D3,SUMIF(项目类型,C1,'数据-汇总表'!D17:D26)+SUMIF(项目类型,C1,'数据-汇总表'!H17:H27))</f>
        <v>1626.74</v>
      </c>
      <c r="M19" s="2430">
        <f>IF(C1="",'数据-汇总表'!D3,SUMIF(项目类型,C1,'数据-汇总表'!D17:D26))</f>
        <v>1626.74</v>
      </c>
    </row>
    <row r="20" spans="1:35" ht="15">
      <c r="A20" s="2439"/>
      <c r="B20" s="1250" t="s">
        <v>2153</v>
      </c>
      <c r="C20" s="146">
        <f ca="1">SUMIF(INDIRECT("'"&amp;C4&amp;"'"&amp;"!A:A"),结果表!B20,INDIRECT("'"&amp;C4&amp;"'"&amp;"!B:B"))</f>
        <v>3476</v>
      </c>
      <c r="D20" s="147">
        <f ca="1">SUMIF(INDIRECT("'"&amp;D4&amp;"'"&amp;"!A:A"),结果表!B20,INDIRECT("'"&amp;D4&amp;"'"&amp;"!B:B"))</f>
        <v>2812</v>
      </c>
      <c r="E20" s="2439"/>
      <c r="F20" s="1250" t="s">
        <v>2153</v>
      </c>
      <c r="G20" s="148">
        <f ca="1">ROUND(C20*$C$18+D20*$D$18,0)</f>
        <v>3144</v>
      </c>
      <c r="H20" s="983" t="s">
        <v>2154</v>
      </c>
      <c r="I20" s="138"/>
    </row>
    <row r="21" spans="1:35" ht="15" customHeight="1" thickBot="1">
      <c r="A21" s="1003"/>
      <c r="B21" s="2440" t="s">
        <v>2155</v>
      </c>
      <c r="C21" s="789">
        <f ca="1">ROUND(C19*10000/L19,0)</f>
        <v>3442</v>
      </c>
      <c r="D21" s="790">
        <f ca="1">ROUND(D19*10000/L19,0)</f>
        <v>2785</v>
      </c>
      <c r="E21" s="1003"/>
      <c r="F21" s="2440" t="s">
        <v>2155</v>
      </c>
      <c r="G21" s="149">
        <f ca="1">ROUND(G19*10000/L19,0)</f>
        <v>3117</v>
      </c>
      <c r="H21" s="2441" t="s">
        <v>2154</v>
      </c>
      <c r="I21" s="138"/>
    </row>
    <row r="22" spans="1:35" ht="15" thickBot="1">
      <c r="A22" s="2284" t="s">
        <v>2156</v>
      </c>
      <c r="B22" s="2442"/>
      <c r="C22" s="2443"/>
      <c r="D22" s="791">
        <f ca="1">IF(C19&lt;D19,D19/C19-1,C19/D19-1)</f>
        <v>0.23620309050772637</v>
      </c>
      <c r="E22" s="138"/>
      <c r="F22" s="138"/>
      <c r="G22" s="138"/>
      <c r="H22" s="138"/>
      <c r="I22" s="138"/>
    </row>
    <row r="23" spans="1:35" ht="13.5" thickBot="1">
      <c r="A23" s="2420"/>
      <c r="B23" s="2420"/>
      <c r="C23" s="2420"/>
      <c r="D23" s="2420"/>
      <c r="E23" s="138"/>
      <c r="F23" s="138"/>
      <c r="G23" s="138"/>
      <c r="H23" s="138"/>
      <c r="I23" s="138"/>
    </row>
    <row r="24" spans="1:35" ht="14.25">
      <c r="A24" s="3185" t="s">
        <v>2157</v>
      </c>
      <c r="B24" s="2437" t="s">
        <v>2149</v>
      </c>
      <c r="C24" s="145">
        <f>IF(B30=0,0,D30)</f>
        <v>0</v>
      </c>
      <c r="D24" s="2444"/>
      <c r="E24" s="138"/>
      <c r="F24" s="138"/>
      <c r="G24" s="138"/>
      <c r="H24" s="138"/>
      <c r="I24" s="138"/>
    </row>
    <row r="25" spans="1:35" ht="14.25">
      <c r="A25" s="3186"/>
      <c r="B25" s="1250" t="s">
        <v>2153</v>
      </c>
      <c r="C25" s="150">
        <f>IF(B30=0,0,C30)</f>
        <v>0</v>
      </c>
      <c r="D25" s="2445"/>
      <c r="E25" s="138"/>
      <c r="F25" s="138"/>
      <c r="G25" s="138"/>
      <c r="H25" s="138"/>
      <c r="I25" s="138"/>
    </row>
    <row r="26" spans="1:35" ht="13.5" customHeight="1">
      <c r="A26" s="2446" t="s">
        <v>2158</v>
      </c>
      <c r="B26" s="151" t="s">
        <v>2159</v>
      </c>
      <c r="C26" s="151" t="s">
        <v>2160</v>
      </c>
      <c r="D26" s="152" t="s">
        <v>2161</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2162</v>
      </c>
      <c r="B30" s="151"/>
      <c r="C30" s="151"/>
      <c r="D30" s="151"/>
      <c r="E30" s="2929" t="s">
        <v>3032</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2163</v>
      </c>
      <c r="B32" s="2450"/>
      <c r="C32" s="153">
        <f ca="1">IF(D32="总价",G19-C24,G20-C25)</f>
        <v>507</v>
      </c>
      <c r="D32" s="2451" t="s">
        <v>3198</v>
      </c>
      <c r="E32" s="138"/>
      <c r="F32" s="138"/>
      <c r="G32" s="138"/>
      <c r="H32" s="138"/>
      <c r="I32" s="138"/>
    </row>
    <row r="33" spans="1:15" ht="15">
      <c r="A33" s="960" t="s">
        <v>2164</v>
      </c>
      <c r="B33" s="2452"/>
      <c r="C33" s="2453" t="s">
        <v>3199</v>
      </c>
      <c r="D33" s="2454" t="s">
        <v>3089</v>
      </c>
      <c r="E33" s="2455" t="s">
        <v>2165</v>
      </c>
      <c r="F33" s="2456" t="str">
        <f>IF(D32="楼面单价","取值（单价）","取值（总价）")</f>
        <v>取值（总价）</v>
      </c>
      <c r="G33" s="138"/>
      <c r="H33" s="138"/>
      <c r="I33" s="138"/>
    </row>
    <row r="34" spans="1:15" ht="15">
      <c r="A34" s="2457"/>
      <c r="B34" s="2458" t="s">
        <v>2166</v>
      </c>
      <c r="C34" s="157">
        <f ca="1">IF(C33="自定义",F34,C32-C35)</f>
        <v>2879</v>
      </c>
      <c r="D34" s="1058">
        <f ca="1">IF(C33="自定义",ROUND(C34/C32,3),IF(C33="收益比率",SUMIF(INDIRECT("'"&amp;D33&amp;"'"&amp;"!b:b"),"土地收益比率",INDIRECT("'"&amp;D33&amp;"'"&amp;"!c:c")),SUMIF(INDIRECT("'"&amp;D33&amp;"'"&amp;"!b:b"),"土地成本比率",INDIRECT("'"&amp;D33&amp;"'"&amp;"!c:c"))))</f>
        <v>5.6790000000000003</v>
      </c>
      <c r="E34" s="2459" t="s">
        <v>2167</v>
      </c>
      <c r="F34" s="1739"/>
      <c r="G34" s="138"/>
      <c r="H34" s="138"/>
      <c r="I34" s="138"/>
    </row>
    <row r="35" spans="1:15" ht="15.75" thickBot="1">
      <c r="A35" s="2460"/>
      <c r="B35" s="2461" t="s">
        <v>2168</v>
      </c>
      <c r="C35" s="1444">
        <f ca="1">IF(C33="自定义",F35,ROUND(C32*D35,0))</f>
        <v>-2372</v>
      </c>
      <c r="D35" s="1445">
        <f ca="1">IF(C33="自定义",ROUND(C35/C32,3),IF(C33="收益比率",SUMIF(INDIRECT("'"&amp;D33&amp;"'"&amp;"!b:b"),"建筑物收益比率",INDIRECT("'"&amp;D33&amp;"'"&amp;"!c:c")),SUMIF(INDIRECT("'"&amp;D33&amp;"'"&amp;"!b:b"),"建筑物成本比率",INDIRECT("'"&amp;D33&amp;"'"&amp;"!c:c"))))</f>
        <v>-4.6790000000000003</v>
      </c>
      <c r="E35" s="2462" t="s">
        <v>2169</v>
      </c>
      <c r="F35" s="163"/>
      <c r="G35" s="138"/>
      <c r="H35" s="138"/>
      <c r="I35" s="138"/>
    </row>
    <row r="36" spans="1:15" ht="15.75" thickBot="1">
      <c r="A36" s="3165" t="s">
        <v>2170</v>
      </c>
      <c r="B36" s="2463" t="s">
        <v>2171</v>
      </c>
      <c r="C36" s="154"/>
      <c r="D36" s="2464"/>
      <c r="E36" s="2465"/>
      <c r="F36" s="2466"/>
      <c r="G36" s="138"/>
      <c r="H36" s="138"/>
      <c r="I36" s="138"/>
    </row>
    <row r="37" spans="1:15" ht="15.75" thickBot="1">
      <c r="A37" s="3166"/>
      <c r="B37" s="2270" t="s">
        <v>2172</v>
      </c>
      <c r="C37" s="156"/>
      <c r="D37" s="1395"/>
      <c r="E37" s="1395"/>
      <c r="F37" s="2466"/>
      <c r="G37" s="138"/>
      <c r="H37" s="138"/>
      <c r="I37" s="138"/>
    </row>
    <row r="38" spans="1:15" ht="15.75" thickBot="1">
      <c r="A38" s="3167"/>
      <c r="B38" s="2467" t="s">
        <v>2173</v>
      </c>
      <c r="C38" s="727"/>
      <c r="D38" s="2468" t="s">
        <v>2174</v>
      </c>
      <c r="E38" s="1395"/>
      <c r="F38" s="2466"/>
      <c r="G38" s="138"/>
      <c r="H38" s="138"/>
      <c r="I38" s="138"/>
    </row>
    <row r="39" spans="1:15" ht="15">
      <c r="A39" s="2439" t="s">
        <v>2175</v>
      </c>
      <c r="B39" s="2469" t="s">
        <v>2176</v>
      </c>
      <c r="C39" s="2470" t="s">
        <v>2177</v>
      </c>
      <c r="D39" s="2470" t="s">
        <v>2178</v>
      </c>
      <c r="E39" s="2471" t="s">
        <v>2179</v>
      </c>
      <c r="F39" s="2466"/>
      <c r="G39" s="138"/>
      <c r="H39" s="138"/>
      <c r="I39" s="138"/>
    </row>
    <row r="40" spans="1:15" ht="14.25">
      <c r="A40" s="2472" t="s">
        <v>2180</v>
      </c>
      <c r="B40" s="158"/>
      <c r="C40" s="159"/>
      <c r="D40" s="159"/>
      <c r="E40" s="160"/>
      <c r="F40" s="2466"/>
      <c r="G40" s="138"/>
      <c r="H40" s="138"/>
      <c r="I40" s="138"/>
    </row>
    <row r="41" spans="1:15" ht="14.25">
      <c r="A41" s="2472" t="s">
        <v>2181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8"/>
      <c r="B43" s="2168"/>
      <c r="C43" s="2168"/>
      <c r="D43" s="2168"/>
      <c r="E43" s="2168"/>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182" t="s">
        <v>2184</v>
      </c>
      <c r="B45" s="3183"/>
      <c r="C45" s="3184"/>
      <c r="D45" s="164">
        <f ca="1">ROUND(H101*F45,0)</f>
        <v>507</v>
      </c>
      <c r="E45" s="165" t="s">
        <v>2185</v>
      </c>
      <c r="F45" s="166">
        <v>1</v>
      </c>
      <c r="G45" s="167" t="s">
        <v>2186</v>
      </c>
      <c r="H45" s="138"/>
      <c r="I45" s="138"/>
      <c r="J45" s="3101" t="s">
        <v>2187</v>
      </c>
      <c r="K45" s="3101"/>
      <c r="L45" s="3101"/>
      <c r="M45" s="3101"/>
      <c r="N45" s="3101"/>
      <c r="O45" s="3101"/>
    </row>
    <row r="46" spans="1:15" ht="14.25" customHeight="1">
      <c r="A46" s="3179" t="s">
        <v>2188</v>
      </c>
      <c r="B46" s="3180"/>
      <c r="C46" s="3180"/>
      <c r="D46" s="3180"/>
      <c r="E46" s="3180"/>
      <c r="F46" s="3180"/>
      <c r="G46" s="3181"/>
      <c r="H46" s="2482"/>
      <c r="I46" s="168"/>
      <c r="J46" s="1812">
        <v>1</v>
      </c>
      <c r="K46" s="3101" t="s">
        <v>2189</v>
      </c>
      <c r="L46" s="3101"/>
      <c r="M46" s="3102"/>
      <c r="N46" s="3102"/>
      <c r="O46" s="3102"/>
    </row>
    <row r="47" spans="1:15" ht="12" customHeight="1">
      <c r="A47" s="169" t="s">
        <v>2190</v>
      </c>
      <c r="B47" s="170"/>
      <c r="C47" s="171"/>
      <c r="D47" s="172" t="s">
        <v>2191</v>
      </c>
      <c r="E47" s="24" t="s">
        <v>2192</v>
      </c>
      <c r="F47" s="173" t="s">
        <v>2193</v>
      </c>
      <c r="G47" s="174" t="s">
        <v>2194</v>
      </c>
      <c r="H47" s="2482"/>
      <c r="I47" s="168"/>
      <c r="J47" s="1812">
        <v>2</v>
      </c>
      <c r="K47" s="3101" t="s">
        <v>2195</v>
      </c>
      <c r="L47" s="3101"/>
      <c r="M47" s="3103">
        <f>'数据-取费表'!B2</f>
        <v>43307</v>
      </c>
      <c r="N47" s="3103"/>
      <c r="O47" s="3103"/>
    </row>
    <row r="48" spans="1:15" ht="25.5">
      <c r="A48" s="3169" t="s">
        <v>2196</v>
      </c>
      <c r="B48" s="3170"/>
      <c r="C48" s="3170"/>
      <c r="D48" s="140">
        <f>IF(H48="情况1",0,IF(H48="情况2",D52,IF(H48="情况3",D53,IF(H48="情况4",D54))))</f>
        <v>0</v>
      </c>
      <c r="E48" s="1801" t="str">
        <f>IF(H48="情况4","(销售额-原购置价)×税（费）率","销售额×税（费）率")</f>
        <v>销售额×税（费）率</v>
      </c>
      <c r="F48" s="175" t="str">
        <f>IF(H48="情况1","免征",'数据-取费表'!B41)</f>
        <v>免征</v>
      </c>
      <c r="G48" s="2483" t="s">
        <v>2197</v>
      </c>
      <c r="H48" s="2484" t="s">
        <v>2198</v>
      </c>
      <c r="I48" s="2482"/>
      <c r="J48" s="1812">
        <v>3</v>
      </c>
      <c r="K48" s="3101" t="s">
        <v>2199</v>
      </c>
      <c r="L48" s="3101"/>
      <c r="M48" s="3104">
        <f ca="1">H101</f>
        <v>507</v>
      </c>
      <c r="N48" s="3104"/>
      <c r="O48" s="3104"/>
    </row>
    <row r="49" spans="1:35" ht="25.5" customHeight="1">
      <c r="A49" s="176" t="s">
        <v>2200</v>
      </c>
      <c r="B49" s="3149" t="s">
        <v>2201</v>
      </c>
      <c r="C49" s="3149"/>
      <c r="D49" s="177">
        <v>0</v>
      </c>
      <c r="E49" s="23" t="s">
        <v>2202</v>
      </c>
      <c r="F49" s="28" t="s">
        <v>34</v>
      </c>
      <c r="G49" s="3130"/>
      <c r="H49" s="138"/>
      <c r="I49" s="2485"/>
      <c r="J49" s="1812">
        <v>4</v>
      </c>
      <c r="K49" s="3101" t="str">
        <f>IF(项目基本情况!E8="房地产抵押价值","房地产抵押价值","抵押担保权已注销时的房地产抵押价值")</f>
        <v>房地产抵押价值</v>
      </c>
      <c r="L49" s="3101"/>
      <c r="M49" s="3104">
        <f ca="1">IF(项目基本情况!E8="房地产抵押价值",H107,H109)</f>
        <v>507</v>
      </c>
      <c r="N49" s="3104"/>
      <c r="O49" s="3104"/>
    </row>
    <row r="50" spans="1:35" ht="25.5" customHeight="1">
      <c r="A50" s="178"/>
      <c r="B50" s="3149" t="s">
        <v>2203</v>
      </c>
      <c r="C50" s="3149"/>
      <c r="D50" s="179"/>
      <c r="E50" s="31"/>
      <c r="F50" s="180"/>
      <c r="G50" s="3131"/>
      <c r="H50" s="138"/>
      <c r="I50" s="2485"/>
      <c r="J50" s="3101" t="s">
        <v>2204</v>
      </c>
      <c r="K50" s="3101"/>
      <c r="L50" s="3101"/>
      <c r="M50" s="3101"/>
      <c r="N50" s="3101"/>
      <c r="O50" s="3101"/>
    </row>
    <row r="51" spans="1:35" ht="12" customHeight="1">
      <c r="A51" s="181"/>
      <c r="B51" s="3149" t="s">
        <v>2205</v>
      </c>
      <c r="C51" s="3149"/>
      <c r="D51" s="182"/>
      <c r="E51" s="30"/>
      <c r="F51" s="180"/>
      <c r="G51" s="3132"/>
      <c r="H51" s="138"/>
      <c r="I51" s="2485"/>
      <c r="J51" s="2486" t="s">
        <v>2206</v>
      </c>
      <c r="K51" s="3101" t="s">
        <v>2207</v>
      </c>
      <c r="L51" s="3101"/>
      <c r="M51" s="2486" t="s">
        <v>2208</v>
      </c>
      <c r="N51" s="2486" t="s">
        <v>2209</v>
      </c>
      <c r="O51" s="2486" t="s">
        <v>2210</v>
      </c>
    </row>
    <row r="52" spans="1:35" ht="24" customHeight="1">
      <c r="A52" s="183" t="s">
        <v>2211</v>
      </c>
      <c r="B52" s="3149" t="s">
        <v>2212</v>
      </c>
      <c r="C52" s="3149"/>
      <c r="D52" s="182">
        <f ca="1">ROUND(D45*'数据-取费表'!B41/(1+'数据-取费表'!C42),0)</f>
        <v>27</v>
      </c>
      <c r="E52" s="11" t="s">
        <v>2213</v>
      </c>
      <c r="F52" s="184">
        <f>'数据-取费表'!B41</f>
        <v>5.5000000000000007E-2</v>
      </c>
      <c r="G52" s="2487"/>
      <c r="H52" s="138"/>
      <c r="I52" s="2485"/>
      <c r="J52" s="1812">
        <v>1</v>
      </c>
      <c r="K52" s="3124" t="s">
        <v>2214</v>
      </c>
      <c r="L52" s="3124"/>
      <c r="M52" s="1754">
        <f>D48</f>
        <v>0</v>
      </c>
      <c r="N52" s="1812" t="str">
        <f>E48</f>
        <v>销售额×税（费）率</v>
      </c>
      <c r="O52" s="1755" t="str">
        <f>F48</f>
        <v>免征</v>
      </c>
    </row>
    <row r="53" spans="1:35" ht="12" customHeight="1">
      <c r="A53" s="183" t="s">
        <v>2215</v>
      </c>
      <c r="B53" s="3150" t="s">
        <v>2216</v>
      </c>
      <c r="C53" s="3151"/>
      <c r="D53" s="182">
        <f ca="1">ROUND(D45*'数据-取费表'!B41/(1+'数据-取费表'!C42),0)</f>
        <v>27</v>
      </c>
      <c r="E53" s="11" t="s">
        <v>2213</v>
      </c>
      <c r="F53" s="184">
        <f>'数据-取费表'!B41</f>
        <v>5.5000000000000007E-2</v>
      </c>
      <c r="G53" s="2487"/>
      <c r="H53" s="138"/>
      <c r="I53" s="2485"/>
      <c r="J53" s="1812">
        <v>2</v>
      </c>
      <c r="K53" s="3124" t="s">
        <v>2217</v>
      </c>
      <c r="L53" s="3124"/>
      <c r="M53" s="1754">
        <f t="shared" ref="M53:O54" ca="1" si="0">D55</f>
        <v>0</v>
      </c>
      <c r="N53" s="1812" t="str">
        <f t="shared" si="0"/>
        <v>销售额×税（费）率</v>
      </c>
      <c r="O53" s="1755">
        <f t="shared" si="0"/>
        <v>5.0000000000000001E-4</v>
      </c>
    </row>
    <row r="54" spans="1:35" ht="12" customHeight="1">
      <c r="A54" s="183" t="s">
        <v>2218</v>
      </c>
      <c r="B54" s="3150" t="s">
        <v>2219</v>
      </c>
      <c r="C54" s="3151"/>
      <c r="D54" s="182">
        <f ca="1">C68</f>
        <v>27</v>
      </c>
      <c r="E54" s="30" t="s">
        <v>2220</v>
      </c>
      <c r="F54" s="184">
        <f>'数据-取费表'!B41</f>
        <v>5.5000000000000007E-2</v>
      </c>
      <c r="G54" s="2487"/>
      <c r="H54" s="2488"/>
      <c r="I54" s="2485"/>
      <c r="J54" s="1812">
        <v>3</v>
      </c>
      <c r="K54" s="3124" t="s">
        <v>2221</v>
      </c>
      <c r="L54" s="3124"/>
      <c r="M54" s="1754">
        <f t="shared" ca="1" si="0"/>
        <v>288</v>
      </c>
      <c r="N54" s="1812" t="str">
        <f t="shared" si="0"/>
        <v>增值额×税（费）率</v>
      </c>
      <c r="O54" s="1756" t="str">
        <f t="shared" si="0"/>
        <v>——</v>
      </c>
    </row>
    <row r="55" spans="1:35" ht="24" customHeight="1">
      <c r="A55" s="3188" t="s">
        <v>2222</v>
      </c>
      <c r="B55" s="3170"/>
      <c r="C55" s="3170"/>
      <c r="D55" s="185">
        <f ca="1">IF(H55="个人住宅",0,ROUND(D45*I55,0))</f>
        <v>0</v>
      </c>
      <c r="E55" s="11" t="s">
        <v>2223</v>
      </c>
      <c r="F55" s="184">
        <f>IF(H55="正常",I55,"免征")</f>
        <v>5.0000000000000001E-4</v>
      </c>
      <c r="G55" s="2487"/>
      <c r="H55" s="2484" t="s">
        <v>2224</v>
      </c>
      <c r="I55" s="186">
        <f>'数据-取费表'!B49</f>
        <v>5.0000000000000001E-4</v>
      </c>
      <c r="J55" s="1812" t="str">
        <f>IF(H59="非个人房产","",4)</f>
        <v/>
      </c>
      <c r="K55" s="3124" t="str">
        <f>IF(H59="非个人房产","——","个人所得税")</f>
        <v>——</v>
      </c>
      <c r="L55" s="3124"/>
      <c r="M55" s="1757" t="str">
        <f>D59</f>
        <v>——</v>
      </c>
      <c r="N55" s="1810" t="str">
        <f>E59</f>
        <v>——</v>
      </c>
      <c r="O55" s="1758" t="str">
        <f>F59</f>
        <v>——</v>
      </c>
    </row>
    <row r="56" spans="1:35" ht="24.75">
      <c r="A56" s="3188" t="s">
        <v>2225</v>
      </c>
      <c r="B56" s="3170"/>
      <c r="C56" s="3170"/>
      <c r="D56" s="185">
        <f ca="1">IF(H56="个人住宅",D57,D58)</f>
        <v>288</v>
      </c>
      <c r="E56" s="11" t="s">
        <v>2226</v>
      </c>
      <c r="F56" s="184" t="str">
        <f>IF(H56="正常",F58,"免征")</f>
        <v>——</v>
      </c>
      <c r="G56" s="2489" t="s">
        <v>2227</v>
      </c>
      <c r="H56" s="2490" t="s">
        <v>2224</v>
      </c>
      <c r="I56" s="2491"/>
      <c r="J56" s="1812" t="str">
        <f>IF(项目基本情况!K6="上海银行",IF(J55="",4,J55+1),"")</f>
        <v/>
      </c>
      <c r="K56" s="3107" t="str">
        <f>IF(项目基本情况!K6="上海银行","其他处置费用","")</f>
        <v/>
      </c>
      <c r="L56" s="3108"/>
      <c r="M56" s="1754" t="str">
        <f>IF(项目基本情况!K6="上海银行",M69,"")</f>
        <v/>
      </c>
      <c r="N56" s="3110" t="str">
        <f>IF(项目基本情况!K6="上海银行","包含处置中涉及的律师、诉讼、拍卖、评估等费用","")</f>
        <v/>
      </c>
      <c r="O56" s="3111"/>
    </row>
    <row r="57" spans="1:35" ht="12.75">
      <c r="A57" s="183" t="s">
        <v>2200</v>
      </c>
      <c r="B57" s="3155" t="s">
        <v>2228</v>
      </c>
      <c r="C57" s="3156"/>
      <c r="D57" s="187">
        <v>0</v>
      </c>
      <c r="E57" s="23" t="s">
        <v>2202</v>
      </c>
      <c r="F57" s="155"/>
      <c r="G57" s="2487"/>
      <c r="H57" s="2491"/>
      <c r="I57" s="2491"/>
      <c r="J57" s="3124">
        <f>IF(AND(J55="",J56=""),4,IF(项目基本情况!K6="上海银行",结果表!J56+1,结果表!J55+1))</f>
        <v>4</v>
      </c>
      <c r="K57" s="3124" t="s">
        <v>2229</v>
      </c>
      <c r="L57" s="2492" t="s">
        <v>2230</v>
      </c>
      <c r="M57" s="1759"/>
      <c r="N57" s="1760">
        <f ca="1">SUMIF(M52:M56,"&lt;9e307")</f>
        <v>288</v>
      </c>
      <c r="O57" s="2493"/>
      <c r="P57" s="1753">
        <f ca="1">N57/M49</f>
        <v>0.56804733727810652</v>
      </c>
    </row>
    <row r="58" spans="1:35" ht="24.75">
      <c r="A58" s="183" t="s">
        <v>2211</v>
      </c>
      <c r="B58" s="3155" t="s">
        <v>2231</v>
      </c>
      <c r="C58" s="3168"/>
      <c r="D58" s="185">
        <f ca="1">IF(H58="转让取得",C81,C97)</f>
        <v>288</v>
      </c>
      <c r="E58" s="11" t="s">
        <v>2226</v>
      </c>
      <c r="F58" s="24" t="s">
        <v>34</v>
      </c>
      <c r="G58" s="2487"/>
      <c r="H58" s="2490" t="s">
        <v>2232</v>
      </c>
      <c r="I58" s="2491"/>
      <c r="J58" s="3124"/>
      <c r="K58" s="3124"/>
      <c r="L58" s="2492" t="s">
        <v>2233</v>
      </c>
      <c r="M58" s="1761"/>
      <c r="N58" s="2494" t="str">
        <f ca="1">NUMBERSTRING(INT(N57*10000),2)&amp;"元整"</f>
        <v>贰佰捌拾捌万元整</v>
      </c>
      <c r="O58" s="2495"/>
    </row>
    <row r="59" spans="1:35" ht="24.75" thickBot="1">
      <c r="A59" s="3128" t="s">
        <v>2234</v>
      </c>
      <c r="B59" s="3129"/>
      <c r="C59" s="3129"/>
      <c r="D59" s="188" t="str">
        <f>IF(H59="非个人房产","——",IF(H59="个人住宅",0,ROUND(D45*I59,0)))</f>
        <v>——</v>
      </c>
      <c r="E59" s="189" t="str">
        <f>IF(H59="非个人房产","——","销售额×税（费）率")</f>
        <v>——</v>
      </c>
      <c r="F59" s="190" t="str">
        <f>IF(H59="非个人房产","——",IF(H59="个人住宅","免征",I59))</f>
        <v>——</v>
      </c>
      <c r="G59" s="2496" t="s">
        <v>2227</v>
      </c>
      <c r="H59" s="2490" t="s">
        <v>2235</v>
      </c>
      <c r="I59" s="191">
        <v>0.01</v>
      </c>
      <c r="J59" s="3126">
        <f>J57+1</f>
        <v>5</v>
      </c>
      <c r="K59" s="3124" t="s">
        <v>2236</v>
      </c>
      <c r="L59" s="1812" t="s">
        <v>2230</v>
      </c>
      <c r="M59" s="1762"/>
      <c r="N59" s="1763">
        <f ca="1">M49-N57</f>
        <v>219</v>
      </c>
      <c r="O59" s="2497"/>
    </row>
    <row r="60" spans="1:35" ht="12" customHeight="1">
      <c r="A60" s="2498"/>
      <c r="B60" s="2420"/>
      <c r="C60" s="2420"/>
      <c r="D60" s="2420"/>
      <c r="E60" s="2169"/>
      <c r="F60" s="2491"/>
      <c r="G60" s="2491"/>
      <c r="H60" s="2499"/>
      <c r="I60" s="138"/>
      <c r="J60" s="3127"/>
      <c r="K60" s="3124"/>
      <c r="L60" s="2492" t="s">
        <v>2233</v>
      </c>
      <c r="M60" s="1761"/>
      <c r="N60" s="2494" t="str">
        <f ca="1">NUMBERSTRING(INT(N59*10000),2)&amp;"元整"</f>
        <v>贰佰壹拾玖万元整</v>
      </c>
      <c r="O60" s="2495"/>
    </row>
    <row r="61" spans="1:35" ht="13.5" thickBot="1">
      <c r="A61" s="3187" t="s">
        <v>2237</v>
      </c>
      <c r="B61" s="3187"/>
      <c r="C61" s="3187"/>
      <c r="D61" s="3187"/>
      <c r="E61" s="3187"/>
      <c r="F61" s="2491"/>
      <c r="G61" s="2491"/>
      <c r="H61" s="2499"/>
      <c r="I61" s="138"/>
      <c r="J61" s="1812">
        <f>J59+1</f>
        <v>6</v>
      </c>
      <c r="K61" s="3124" t="s">
        <v>2238</v>
      </c>
      <c r="L61" s="3124"/>
      <c r="M61" s="1764"/>
      <c r="N61" s="1765">
        <f ca="1">ROUND(N59*10000/'数据-汇总表'!E3,0)</f>
        <v>1359</v>
      </c>
      <c r="O61" s="2500"/>
    </row>
    <row r="62" spans="1:35" ht="12.75">
      <c r="A62" s="3144" t="s">
        <v>2239</v>
      </c>
      <c r="B62" s="3145"/>
      <c r="C62" s="1804"/>
      <c r="D62" s="1804" t="s">
        <v>2240</v>
      </c>
      <c r="E62" s="192" t="s">
        <v>2241</v>
      </c>
      <c r="F62" s="2491"/>
      <c r="G62" s="2491"/>
      <c r="H62" s="2499"/>
      <c r="I62" s="138"/>
    </row>
    <row r="63" spans="1:35" ht="12.75">
      <c r="A63" s="203" t="s">
        <v>775</v>
      </c>
      <c r="B63" s="193" t="s">
        <v>2242</v>
      </c>
      <c r="C63" s="194">
        <f ca="1">ROUND((C64+C65)/(1+'数据-取费表'!C42),0)</f>
        <v>483</v>
      </c>
      <c r="D63" s="195"/>
      <c r="E63" s="196"/>
      <c r="F63" s="2491"/>
      <c r="G63" s="2491"/>
      <c r="H63" s="2499"/>
      <c r="I63" s="138"/>
      <c r="J63" s="3109" t="s">
        <v>2243</v>
      </c>
      <c r="K63" s="2501" t="s">
        <v>2244</v>
      </c>
      <c r="L63" s="1752">
        <f ca="1">IF(M49&gt;10000,M49*0.5%,IF(AND(M49&gt;1000,M49&lt;=10000),M49*1%,IF(AND(M49&gt;100,M49&lt;=1000),M49*3%,IF(AND(M49&gt;10,M49&lt;=100),M49*5%,M49*8%))))</f>
        <v>15.209999999999999</v>
      </c>
      <c r="M63" s="24">
        <f ca="1">ROUND(L63,1)</f>
        <v>15.2</v>
      </c>
      <c r="Z63" s="2425"/>
      <c r="AI63" s="2426"/>
    </row>
    <row r="64" spans="1:35" ht="14.25" customHeight="1">
      <c r="A64" s="197" t="s">
        <v>770</v>
      </c>
      <c r="B64" s="198" t="s">
        <v>2245</v>
      </c>
      <c r="C64" s="199">
        <f ca="1">D45</f>
        <v>507</v>
      </c>
      <c r="D64" s="200" t="s">
        <v>32</v>
      </c>
      <c r="E64" s="201"/>
      <c r="F64" s="2491"/>
      <c r="G64" s="2491"/>
      <c r="H64" s="2499"/>
      <c r="I64" s="138"/>
      <c r="J64" s="3109"/>
      <c r="K64" s="2501" t="s">
        <v>2246</v>
      </c>
      <c r="L64" s="1752">
        <f ca="1">IF(M49&gt;2000,M49*0.5%,IF(AND(M49&gt;1000,M49&lt;=2000),M49*0.6%,IF(AND(M49&gt;500,M49&lt;=1000),M49*0.7%,IF(AND(M49&gt;200,M49&lt;=500),M49*0.8%,IF(AND(M49&gt;100,M49&lt;=200),M49*0.9%,IF(AND(M49&gt;50,M49&lt;=100),M49*1%,IF(AND(M49&gt;20,M49&lt;=50),M49*1.5%,IF(AND(M49&gt;10,M49&lt;=20),M49*2%,IF(AND(M49&gt;1,M49&lt;=10),M49*2.5%)))))))))</f>
        <v>3.5489999999999995</v>
      </c>
      <c r="M64" s="24">
        <f t="shared" ref="M64:M65" ca="1" si="1">ROUND(L64,1)</f>
        <v>3.5</v>
      </c>
      <c r="N64" s="138" t="s">
        <v>2247</v>
      </c>
      <c r="Z64" s="2425"/>
      <c r="AI64" s="2426"/>
    </row>
    <row r="65" spans="1:35" ht="14.25" customHeight="1">
      <c r="A65" s="197" t="s">
        <v>771</v>
      </c>
      <c r="B65" s="198" t="s">
        <v>2248</v>
      </c>
      <c r="C65" s="202"/>
      <c r="D65" s="200"/>
      <c r="E65" s="201"/>
      <c r="F65" s="2491"/>
      <c r="G65" s="2491"/>
      <c r="H65" s="2499"/>
      <c r="I65" s="138"/>
      <c r="J65" s="3109"/>
      <c r="K65" s="2501" t="s">
        <v>2249</v>
      </c>
      <c r="L65" s="1752">
        <f ca="1">IF(M49&gt;1000,M49*0.1%,IF(AND(M49&gt;500,M49&lt;=1000),M49*0.5%,IF(AND(M49&gt;50,M49&lt;=500),M49*1%,IF(AND(M49&gt;1,M49&lt;=50),M49*1.5%))))</f>
        <v>2.5350000000000001</v>
      </c>
      <c r="M65" s="24">
        <f t="shared" ca="1" si="1"/>
        <v>2.5</v>
      </c>
      <c r="N65" s="138" t="s">
        <v>2247</v>
      </c>
      <c r="Z65" s="2425"/>
      <c r="AI65" s="2426"/>
    </row>
    <row r="66" spans="1:35" ht="14.25" customHeight="1">
      <c r="A66" s="203" t="s">
        <v>772</v>
      </c>
      <c r="B66" s="204" t="s">
        <v>2250</v>
      </c>
      <c r="C66" s="205"/>
      <c r="D66" s="206" t="s">
        <v>32</v>
      </c>
      <c r="E66" s="1776" t="s">
        <v>1371</v>
      </c>
      <c r="F66" s="2491"/>
      <c r="G66" s="2491"/>
      <c r="H66" s="2499"/>
      <c r="I66" s="138"/>
      <c r="J66" s="3109"/>
      <c r="K66" s="2501" t="s">
        <v>2251</v>
      </c>
      <c r="L66" s="1752">
        <f ca="1">M49*0.5%</f>
        <v>2.5350000000000001</v>
      </c>
      <c r="M66" s="24">
        <f ca="1">IF(L66&gt;0.5,0.5,ROUND(L66,0))</f>
        <v>0.5</v>
      </c>
      <c r="N66" s="138" t="s">
        <v>2252</v>
      </c>
      <c r="Z66" s="2425"/>
      <c r="AI66" s="2426"/>
    </row>
    <row r="67" spans="1:35" ht="14.25" customHeight="1">
      <c r="A67" s="203" t="s">
        <v>773</v>
      </c>
      <c r="B67" s="204" t="s">
        <v>2253</v>
      </c>
      <c r="C67" s="207">
        <f ca="1">C63-C66</f>
        <v>483</v>
      </c>
      <c r="D67" s="200" t="s">
        <v>32</v>
      </c>
      <c r="E67" s="201"/>
      <c r="F67" s="2491"/>
      <c r="G67" s="2491"/>
      <c r="H67" s="2499"/>
      <c r="I67" s="138"/>
      <c r="J67" s="3109"/>
      <c r="K67" s="2501" t="s">
        <v>2254</v>
      </c>
      <c r="L67" s="1752">
        <f ca="1">IF(M49&gt;=10000,(8.25+(M49-10000)*0.01%),IF(AND(M49&gt;=8000,M49&lt;10000),(7.85+(M49-8000)*0.02%),IF(AND(M49&gt;=5000,M49&lt;8000),(6.65+(M49-5000)*0.04%),IF(AND(M49&gt;=2000,M49&lt;5000),(4.25+(PM49-2000)*0.08%),IF(AND(M49&gt;=1000,M49&lt;2000),(2.75+(M49-1000)*0.15%),IF(AND(M49&gt;=100,M49&lt;1000),(0.5+(M49-100)*0.25%),IF(AND(M49&gt;0,M49&lt;100),M49*0.5%)))))))</f>
        <v>1.5175000000000001</v>
      </c>
      <c r="M67" s="24">
        <f ca="1">ROUND(L67*0.9,1)</f>
        <v>1.4</v>
      </c>
      <c r="Z67" s="2425"/>
      <c r="AI67" s="2426"/>
    </row>
    <row r="68" spans="1:35" ht="14.25" customHeight="1" thickBot="1">
      <c r="A68" s="208" t="s">
        <v>774</v>
      </c>
      <c r="B68" s="209" t="s">
        <v>2255</v>
      </c>
      <c r="C68" s="210">
        <f ca="1">IF(C67&lt;=0,0,ROUND(C67*D68,0))</f>
        <v>27</v>
      </c>
      <c r="D68" s="211">
        <f>'数据-取费表'!B41</f>
        <v>5.5000000000000007E-2</v>
      </c>
      <c r="E68" s="212"/>
      <c r="F68" s="2491"/>
      <c r="G68" s="2491"/>
      <c r="H68" s="2499"/>
      <c r="I68" s="138"/>
      <c r="J68" s="3109"/>
      <c r="K68" s="2501" t="s">
        <v>2256</v>
      </c>
      <c r="L68" s="1752">
        <f ca="1">IF(M49&gt;10000,M49*0.5%,IF(AND(M49&gt;5000,M49&lt;=10000),M49*1%,IF(AND(M49&gt;1000,M49&lt;=5000),M49*2%,IF(AND(M49&gt;200,M49&lt;=1000),M49*3%,M49*5%))))</f>
        <v>15.209999999999999</v>
      </c>
      <c r="M68" s="24">
        <f ca="1">ROUND(L68,1)</f>
        <v>15.2</v>
      </c>
      <c r="Z68" s="2425"/>
      <c r="AI68" s="2426"/>
    </row>
    <row r="69" spans="1:35" s="2448" customFormat="1" ht="16.5" customHeight="1">
      <c r="A69" s="2502"/>
      <c r="B69" s="2503"/>
      <c r="C69" s="2504"/>
      <c r="D69" s="2505"/>
      <c r="E69" s="2506"/>
      <c r="F69" s="2169"/>
      <c r="G69" s="2169"/>
      <c r="H69" s="2168"/>
      <c r="I69" s="2420"/>
      <c r="J69" s="3109"/>
      <c r="K69" s="2501" t="s">
        <v>2257</v>
      </c>
      <c r="L69" s="2507"/>
      <c r="M69" s="24">
        <f ca="1">ROUND(SUM(M63:M68),0)</f>
        <v>38</v>
      </c>
      <c r="N69" s="1753">
        <f ca="1">M69/M49</f>
        <v>7.4950690335305714E-2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53" t="s">
        <v>2258</v>
      </c>
      <c r="B70" s="3154"/>
      <c r="C70" s="3154"/>
      <c r="D70" s="3154"/>
      <c r="E70" s="3154"/>
      <c r="F70" s="3154"/>
      <c r="G70" s="3154"/>
      <c r="H70" s="3154"/>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44" t="s">
        <v>2239</v>
      </c>
      <c r="B71" s="3145"/>
      <c r="C71" s="1804"/>
      <c r="D71" s="1804" t="s">
        <v>2240</v>
      </c>
      <c r="E71" s="213" t="s">
        <v>2241</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2259</v>
      </c>
      <c r="C72" s="207">
        <f ca="1">ROUND(D45/(1+'数据-取费表'!C42),0)</f>
        <v>483</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2260</v>
      </c>
      <c r="C73" s="207">
        <f ca="1">C74+C78</f>
        <v>2</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2261</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2262</v>
      </c>
      <c r="C75" s="218"/>
      <c r="D75" s="200" t="s">
        <v>32</v>
      </c>
      <c r="E75" s="219" t="s">
        <v>2263</v>
      </c>
      <c r="F75" s="2513" t="s">
        <v>2264</v>
      </c>
      <c r="G75" s="219" t="s">
        <v>2265</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2266</v>
      </c>
      <c r="C76" s="200">
        <f>IF(F75="购房发票",ROUND(C75*H75*D76,0),0)</f>
        <v>0</v>
      </c>
      <c r="D76" s="222">
        <v>0.05</v>
      </c>
      <c r="E76" s="3150" t="s">
        <v>2267</v>
      </c>
      <c r="F76" s="3149"/>
      <c r="G76" s="3149"/>
      <c r="H76" s="3152"/>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2268</v>
      </c>
      <c r="C77" s="200">
        <f>ROUND(IF(G77="个人住宅",0,IF(G77="2016年5月1日前购买",C75*D77,C75*D77/(1+'数据-取费表'!C42))),0)</f>
        <v>0</v>
      </c>
      <c r="D77" s="223">
        <f>'数据-取费表'!B48+'数据-取费表'!B49</f>
        <v>4.0500000000000001E-2</v>
      </c>
      <c r="E77" s="15" t="s">
        <v>2269</v>
      </c>
      <c r="F77" s="224"/>
      <c r="G77" s="2515" t="s">
        <v>2270</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2271</v>
      </c>
      <c r="C78" s="225">
        <f ca="1">ROUND(D45*D78/(1+'数据-取费表'!C42),0)</f>
        <v>2</v>
      </c>
      <c r="D78" s="226">
        <f>'数据-取费表'!B43</f>
        <v>5.000000000000001E-3</v>
      </c>
      <c r="E78" s="3141" t="s">
        <v>2272</v>
      </c>
      <c r="F78" s="3142"/>
      <c r="G78" s="3142"/>
      <c r="H78" s="3143"/>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2273</v>
      </c>
      <c r="C79" s="207">
        <f ca="1">C72-C73</f>
        <v>481</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2274</v>
      </c>
      <c r="C80" s="227">
        <f ca="1">IF(C79&lt;=0,0,C79/C73)</f>
        <v>240.5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2275</v>
      </c>
      <c r="C81" s="228">
        <f ca="1">ROUND(IF(C79&lt;=0,0,IF(C80&gt;=200%,C79*60%-C73*35%,IF(C80&gt;=100%,C79*50%-C73*15%,IF(C80&gt;=50%,C79*40%-C73*5%,IF(C80&lt;50%,C79*30%,0))))),0)</f>
        <v>288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53" t="s">
        <v>2276</v>
      </c>
      <c r="B83" s="3154"/>
      <c r="C83" s="3154"/>
      <c r="D83" s="3154"/>
      <c r="E83" s="3154"/>
      <c r="F83" s="3154"/>
      <c r="G83" s="3154"/>
      <c r="H83" s="3154"/>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44" t="s">
        <v>2239</v>
      </c>
      <c r="B84" s="3145"/>
      <c r="C84" s="1804"/>
      <c r="D84" s="1804" t="s">
        <v>2240</v>
      </c>
      <c r="E84" s="213" t="s">
        <v>2241</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2259</v>
      </c>
      <c r="C85" s="207">
        <f ca="1">ROUND(D45/(1+'数据-取费表'!C42),0)</f>
        <v>483</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2260</v>
      </c>
      <c r="C86" s="207">
        <f ca="1">IF(H88="仅含出让金",C87+C90+C91+C92+C93+C94,C87+C91+C92+C93+C94)</f>
        <v>2</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2277</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2278</v>
      </c>
      <c r="C88" s="236"/>
      <c r="D88" s="226"/>
      <c r="E88" s="237" t="s">
        <v>2279</v>
      </c>
      <c r="F88" s="1800"/>
      <c r="G88" s="238" t="s">
        <v>2280</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2268</v>
      </c>
      <c r="C89" s="225">
        <f>ROUND(C88*D89,0)</f>
        <v>0</v>
      </c>
      <c r="D89" s="226">
        <f>'数据-取费表'!B48+'数据-取费表'!B49</f>
        <v>4.0500000000000001E-2</v>
      </c>
      <c r="E89" s="237" t="s">
        <v>2281</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2282</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2283</v>
      </c>
      <c r="B91" s="198" t="s">
        <v>2284</v>
      </c>
      <c r="C91" s="225">
        <f>IF(H91="——",成本法!C33,I91)</f>
        <v>0</v>
      </c>
      <c r="D91" s="226"/>
      <c r="E91" s="3141" t="s">
        <v>2285</v>
      </c>
      <c r="F91" s="3142"/>
      <c r="G91" s="3142"/>
      <c r="H91" s="2520" t="s">
        <v>2286</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2287</v>
      </c>
      <c r="B92" s="198" t="s">
        <v>2288</v>
      </c>
      <c r="C92" s="225">
        <f>ROUND((C87+C90+C91)*D92,0)</f>
        <v>0</v>
      </c>
      <c r="D92" s="226">
        <v>0.1</v>
      </c>
      <c r="E92" s="3141" t="s">
        <v>2289</v>
      </c>
      <c r="F92" s="3142"/>
      <c r="G92" s="3142"/>
      <c r="H92" s="3143"/>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2290</v>
      </c>
      <c r="B93" s="198" t="s">
        <v>2271</v>
      </c>
      <c r="C93" s="225">
        <f ca="1">ROUND(D45*D93/(1+'数据-取费表'!C42),0)</f>
        <v>2</v>
      </c>
      <c r="D93" s="226">
        <f>'数据-取费表'!B43</f>
        <v>5.000000000000001E-3</v>
      </c>
      <c r="E93" s="3141" t="s">
        <v>2272</v>
      </c>
      <c r="F93" s="3142"/>
      <c r="G93" s="3142"/>
      <c r="H93" s="3143"/>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2291</v>
      </c>
      <c r="B94" s="198" t="s">
        <v>2292</v>
      </c>
      <c r="C94" s="236">
        <f>ROUND((C87+C90+C91)*D94,0)</f>
        <v>0</v>
      </c>
      <c r="D94" s="226">
        <v>0.2</v>
      </c>
      <c r="E94" s="3189" t="s">
        <v>2293</v>
      </c>
      <c r="F94" s="3190"/>
      <c r="G94" s="3190"/>
      <c r="H94" s="3191"/>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2273</v>
      </c>
      <c r="C95" s="207">
        <f ca="1">ROUND(C85-C86,0)</f>
        <v>481</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2274</v>
      </c>
      <c r="C96" s="227">
        <f ca="1">IF(C95&lt;=0,0,C95/C86)</f>
        <v>240.5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2275</v>
      </c>
      <c r="C97" s="228">
        <f ca="1">ROUND(IF(C95&lt;=0,0,IF(C96&gt;=200%,C95*60%-C86*35%,IF(C96&gt;=100%,C95*50%-C86*15%,IF(C96&gt;=50%,C95*40%-C86*5%,IF(C96&lt;50%,C95*30%,0))))),0)</f>
        <v>288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9"/>
      <c r="F98" s="2169"/>
      <c r="G98" s="2169"/>
      <c r="H98" s="2168"/>
      <c r="I98" s="138"/>
    </row>
    <row r="99" spans="1:35" ht="21.75" customHeight="1" thickBot="1">
      <c r="A99" s="2476" t="s">
        <v>2294</v>
      </c>
      <c r="B99" s="2420"/>
      <c r="C99" s="2420"/>
      <c r="D99" s="2420"/>
      <c r="E99" s="2169"/>
      <c r="F99" s="2169"/>
      <c r="G99" s="2169"/>
      <c r="H99" s="2168"/>
      <c r="I99" s="138"/>
    </row>
    <row r="100" spans="1:35" ht="18.75" customHeight="1">
      <c r="A100" s="3093" t="s">
        <v>2295</v>
      </c>
      <c r="B100" s="3094"/>
      <c r="C100" s="3094"/>
      <c r="D100" s="3125"/>
      <c r="E100" s="3094" t="s">
        <v>2296</v>
      </c>
      <c r="F100" s="3094"/>
      <c r="G100" s="3094"/>
      <c r="H100" s="3125"/>
      <c r="I100" s="138"/>
    </row>
    <row r="101" spans="1:35" ht="18.75" customHeight="1">
      <c r="A101" s="3133" t="s">
        <v>2297</v>
      </c>
      <c r="B101" s="3134"/>
      <c r="C101" s="736" t="str">
        <f>C4</f>
        <v>成本法 (元)</v>
      </c>
      <c r="D101" s="737" t="str">
        <f>D4</f>
        <v>假设开发法</v>
      </c>
      <c r="E101" s="3105" t="s">
        <v>2298</v>
      </c>
      <c r="F101" s="3106"/>
      <c r="G101" s="2522" t="s">
        <v>2299</v>
      </c>
      <c r="H101" s="1048">
        <f ca="1">H118</f>
        <v>507</v>
      </c>
      <c r="I101" s="138"/>
    </row>
    <row r="102" spans="1:35" ht="18.75" customHeight="1">
      <c r="A102" s="3135" t="s">
        <v>2300</v>
      </c>
      <c r="B102" s="2522" t="s">
        <v>2299</v>
      </c>
      <c r="C102" s="736">
        <f ca="1">C19</f>
        <v>560</v>
      </c>
      <c r="D102" s="737">
        <f ca="1">D19</f>
        <v>453</v>
      </c>
      <c r="E102" s="3105"/>
      <c r="F102" s="3106"/>
      <c r="G102" s="2522" t="s">
        <v>2301</v>
      </c>
      <c r="H102" s="371">
        <f ca="1">I118</f>
        <v>3147</v>
      </c>
      <c r="I102" s="138"/>
    </row>
    <row r="103" spans="1:35" ht="42.75" customHeight="1">
      <c r="A103" s="3135"/>
      <c r="B103" s="2522" t="s">
        <v>2301</v>
      </c>
      <c r="C103" s="738">
        <f ca="1">C20</f>
        <v>3476</v>
      </c>
      <c r="D103" s="739">
        <f ca="1">D20</f>
        <v>2812</v>
      </c>
      <c r="E103" s="3099" t="s">
        <v>2302</v>
      </c>
      <c r="F103" s="3100"/>
      <c r="G103" s="2523" t="s">
        <v>2303</v>
      </c>
      <c r="H103" s="1048">
        <f>IF(D36="正常操作",H104+H105+H106,H105+H106)</f>
        <v>0</v>
      </c>
      <c r="I103" s="138"/>
    </row>
    <row r="104" spans="1:35" ht="18.75" customHeight="1">
      <c r="A104" s="3135" t="s">
        <v>2304</v>
      </c>
      <c r="B104" s="2524" t="s">
        <v>2299</v>
      </c>
      <c r="C104" s="740">
        <f ca="1">H118</f>
        <v>507</v>
      </c>
      <c r="D104" s="741"/>
      <c r="E104" s="2270" t="s">
        <v>2305</v>
      </c>
      <c r="F104" s="2261"/>
      <c r="G104" s="2523" t="s">
        <v>2303</v>
      </c>
      <c r="H104" s="1049">
        <f>IF(D36="同一抵押权人同一抵押物续贷",C36&amp;"（未扣减，详见特别提示）",C36)</f>
        <v>0</v>
      </c>
      <c r="I104" s="138"/>
    </row>
    <row r="105" spans="1:35" ht="18.75" customHeight="1" thickBot="1">
      <c r="A105" s="3147"/>
      <c r="B105" s="2525" t="s">
        <v>2301</v>
      </c>
      <c r="C105" s="742">
        <f ca="1">I118</f>
        <v>3147</v>
      </c>
      <c r="D105" s="743"/>
      <c r="E105" s="2270" t="s">
        <v>2306</v>
      </c>
      <c r="F105" s="2261"/>
      <c r="G105" s="2523" t="s">
        <v>2303</v>
      </c>
      <c r="H105" s="1049">
        <f>C37</f>
        <v>0</v>
      </c>
      <c r="I105" s="138"/>
    </row>
    <row r="106" spans="1:35" ht="18.75" customHeight="1">
      <c r="A106" s="2420" t="s">
        <v>2307</v>
      </c>
      <c r="B106" s="2420"/>
      <c r="C106" s="2420"/>
      <c r="D106" s="2420"/>
      <c r="E106" s="2526" t="s">
        <v>2308</v>
      </c>
      <c r="F106" s="2261"/>
      <c r="G106" s="2523" t="s">
        <v>2303</v>
      </c>
      <c r="H106" s="1049">
        <f>C38</f>
        <v>0</v>
      </c>
      <c r="I106" s="138"/>
    </row>
    <row r="107" spans="1:35" ht="18.75" customHeight="1">
      <c r="A107" s="138"/>
      <c r="B107" s="138"/>
      <c r="C107" s="138"/>
      <c r="D107" s="138"/>
      <c r="E107" s="3136" t="str">
        <f>IF(项目基本情况!E8="已注销","——","3.房地产抵押价值")</f>
        <v>3.房地产抵押价值</v>
      </c>
      <c r="F107" s="3106"/>
      <c r="G107" s="2522" t="s">
        <v>2299</v>
      </c>
      <c r="H107" s="1048">
        <f ca="1">IF(E107="——","——",H101-H103)</f>
        <v>507</v>
      </c>
      <c r="I107" s="138"/>
    </row>
    <row r="108" spans="1:35" ht="18.75" customHeight="1">
      <c r="A108" s="138"/>
      <c r="B108" s="138"/>
      <c r="C108" s="138"/>
      <c r="D108" s="138"/>
      <c r="E108" s="3136"/>
      <c r="F108" s="3106"/>
      <c r="G108" s="2522" t="s">
        <v>2301</v>
      </c>
      <c r="H108" s="371">
        <f ca="1">ROUND(H107*10000/'数据-汇总表'!E3,0)</f>
        <v>3147</v>
      </c>
      <c r="I108" s="138"/>
    </row>
    <row r="109" spans="1:35" ht="18.75" customHeight="1">
      <c r="A109" s="138"/>
      <c r="B109" s="138"/>
      <c r="C109" s="138"/>
      <c r="D109" s="138"/>
      <c r="E109" s="3136" t="str">
        <f>IF(项目基本情况!E8="已注销及未注销","4.抵押担保权已注销时的房地产抵押价值",IF(项目基本情况!E8="已注销","3.抵押担保权已注销时的房地产抵押价值","——"))</f>
        <v>——</v>
      </c>
      <c r="F109" s="3106"/>
      <c r="G109" s="2522" t="s">
        <v>2299</v>
      </c>
      <c r="H109" s="348" t="str">
        <f>IF(E109="——","——",H101-H105-H106)</f>
        <v>——</v>
      </c>
      <c r="I109" s="138"/>
    </row>
    <row r="110" spans="1:35" ht="18.75" customHeight="1">
      <c r="A110" s="138"/>
      <c r="B110" s="138"/>
      <c r="C110" s="138"/>
      <c r="D110" s="138"/>
      <c r="E110" s="3136"/>
      <c r="F110" s="3106"/>
      <c r="G110" s="2522" t="s">
        <v>2301</v>
      </c>
      <c r="H110" s="371" t="str">
        <f>IF(H109="——","——",ROUND(H109*10000/'数据-汇总表'!E3,0))</f>
        <v>——</v>
      </c>
      <c r="I110" s="138"/>
    </row>
    <row r="111" spans="1:35" ht="18.75" customHeight="1">
      <c r="A111" s="138"/>
      <c r="B111" s="138"/>
      <c r="C111" s="138"/>
      <c r="D111" s="138"/>
      <c r="E111" s="3137" t="str">
        <f>IF(项目基本情况!E9="抵押净值",IF(OR(项目基本情况!E8="已注销",项目基本情况!E8="房地产抵押价值"),"4.抵押净值","5.抵押净值"),"——")</f>
        <v>——</v>
      </c>
      <c r="F111" s="3138"/>
      <c r="G111" s="2522" t="s">
        <v>2299</v>
      </c>
      <c r="H111" s="1048" t="str">
        <f>IF(E111="——","——",N59)</f>
        <v>——</v>
      </c>
      <c r="I111" s="138"/>
    </row>
    <row r="112" spans="1:35" ht="18.75" customHeight="1" thickBot="1">
      <c r="A112" s="138"/>
      <c r="B112" s="138"/>
      <c r="C112" s="138"/>
      <c r="D112" s="138"/>
      <c r="E112" s="3139"/>
      <c r="F112" s="3140"/>
      <c r="G112" s="2527" t="s">
        <v>2301</v>
      </c>
      <c r="H112" s="790" t="str">
        <f>IF(E111="——","——",N61)</f>
        <v>——</v>
      </c>
      <c r="I112" s="138"/>
    </row>
    <row r="113" spans="1:11" ht="18.75" customHeight="1">
      <c r="A113" s="138"/>
      <c r="B113" s="138"/>
      <c r="C113" s="138"/>
      <c r="D113" s="138"/>
      <c r="E113" s="3148" t="s">
        <v>2307</v>
      </c>
      <c r="F113" s="3148"/>
      <c r="G113" s="3148"/>
      <c r="H113" s="3148"/>
      <c r="I113" s="138"/>
    </row>
    <row r="114" spans="1:11" ht="3.75" customHeight="1">
      <c r="A114" s="2420"/>
      <c r="B114" s="2420"/>
      <c r="C114" s="2420"/>
      <c r="D114" s="2420"/>
      <c r="E114" s="2498"/>
      <c r="F114" s="2498"/>
      <c r="G114" s="2498"/>
      <c r="H114" s="2498"/>
      <c r="I114" s="2420"/>
    </row>
    <row r="115" spans="1:11" ht="18.75" customHeight="1">
      <c r="A115" s="3161" t="s">
        <v>2309</v>
      </c>
      <c r="B115" s="3162"/>
      <c r="C115" s="3162"/>
      <c r="D115" s="3162"/>
      <c r="E115" s="3162"/>
      <c r="F115" s="3162"/>
      <c r="G115" s="3162"/>
      <c r="H115" s="3162"/>
      <c r="I115" s="3163"/>
    </row>
    <row r="116" spans="1:11" ht="27" customHeight="1">
      <c r="A116" s="3072" t="s">
        <v>2310</v>
      </c>
      <c r="B116" s="3115" t="s">
        <v>2311</v>
      </c>
      <c r="C116" s="3115" t="s">
        <v>2312</v>
      </c>
      <c r="D116" s="3121" t="s">
        <v>2313</v>
      </c>
      <c r="E116" s="3122"/>
      <c r="F116" s="3157" t="s">
        <v>2314</v>
      </c>
      <c r="G116" s="3157"/>
      <c r="H116" s="3072" t="s">
        <v>2315</v>
      </c>
      <c r="I116" s="3072"/>
    </row>
    <row r="117" spans="1:11" ht="18.75" customHeight="1">
      <c r="A117" s="3072"/>
      <c r="B117" s="3116"/>
      <c r="C117" s="3116"/>
      <c r="D117" s="1798" t="s">
        <v>2316</v>
      </c>
      <c r="E117" s="1798" t="s">
        <v>2317</v>
      </c>
      <c r="F117" s="1798" t="s">
        <v>2316</v>
      </c>
      <c r="G117" s="1798" t="s">
        <v>2318</v>
      </c>
      <c r="H117" s="1798" t="s">
        <v>2316</v>
      </c>
      <c r="I117" s="1798" t="s">
        <v>2318</v>
      </c>
    </row>
    <row r="118" spans="1:11" ht="24.75" customHeight="1">
      <c r="A118" s="2528" t="str">
        <f>项目基本情况!S2</f>
        <v>出让国有建设用地使用权及在建建筑物房地产</v>
      </c>
      <c r="B118" s="1798">
        <f>M18</f>
        <v>1611</v>
      </c>
      <c r="C118" s="1798">
        <f>M19</f>
        <v>1626.74</v>
      </c>
      <c r="D118" s="1798">
        <f ca="1">ROUND(IF(D32="总价",C34,E118*B118/10000),0)</f>
        <v>2879</v>
      </c>
      <c r="E118" s="1798">
        <f ca="1">ROUND(IF(C33="自定义",IF(D32="楼面单价",C34,D118*10000/B118),I118-G118),0)</f>
        <v>17871</v>
      </c>
      <c r="F118" s="1798">
        <f ca="1">ROUND(IF(D32="总价",C35,G118*B118/10000),0)</f>
        <v>-2372</v>
      </c>
      <c r="G118" s="1798">
        <f ca="1">ROUND(IF(D32="楼面单价",C35,F118*10000/B118),0)</f>
        <v>-14724</v>
      </c>
      <c r="H118" s="1798">
        <f ca="1">ROUND(IF(D32="总价",C32,I118*B118/10000),0)</f>
        <v>507</v>
      </c>
      <c r="I118" s="1798">
        <f ca="1">ROUND(IF(D32="楼面单价",C32,H118*10000/B118),0)</f>
        <v>3147</v>
      </c>
    </row>
    <row r="119" spans="1:11" ht="18.75" customHeight="1">
      <c r="A119" s="3072" t="s">
        <v>2319</v>
      </c>
      <c r="B119" s="3072"/>
      <c r="C119" s="3072"/>
      <c r="D119" s="3117" t="str">
        <f ca="1">NUMBERSTRING(INT(D118*10000),2)&amp;"元整"</f>
        <v>贰仟捌佰柒拾玖万元整</v>
      </c>
      <c r="E119" s="3118"/>
      <c r="F119" s="3117" t="e">
        <f ca="1">NUMBERSTRING(INT(F118*10000),2)&amp;"元整"</f>
        <v>#NUM!</v>
      </c>
      <c r="G119" s="3118"/>
      <c r="H119" s="3117" t="str">
        <f ca="1">NUMBERSTRING(INT(H118*10000),2)&amp;"元整"</f>
        <v>伍佰零柒万元整</v>
      </c>
      <c r="I119" s="3118"/>
    </row>
    <row r="120" spans="1:11" ht="18.75" customHeight="1">
      <c r="A120" s="3112" t="str">
        <f>IF(项目基本情况!B9="房地产市场价值","",MID(E103,3,LEN(E103)-2))</f>
        <v>估价师知悉的法定优先受偿款</v>
      </c>
      <c r="B120" s="3113"/>
      <c r="C120" s="3114"/>
      <c r="D120" s="3112">
        <f>H103</f>
        <v>0</v>
      </c>
      <c r="E120" s="3113"/>
      <c r="F120" s="3113"/>
      <c r="G120" s="3113"/>
      <c r="H120" s="3113"/>
      <c r="I120" s="3114"/>
      <c r="K120" s="2425" t="str">
        <f>IF(D120=0,"故，本次评估不存在"&amp;A120,"故，本次评估"&amp;A120&amp;"为人民币"&amp;D120&amp;"万元整。")</f>
        <v>故，本次评估不存在估价师知悉的法定优先受偿款</v>
      </c>
    </row>
    <row r="121" spans="1:11" ht="18.75" customHeight="1">
      <c r="A121" s="3158" t="s">
        <v>2319</v>
      </c>
      <c r="B121" s="3159"/>
      <c r="C121" s="3160"/>
      <c r="D121" s="3117" t="str">
        <f>IF(D120=0,"零元整",NUMBERSTRING(INT(D120*10000),2)&amp;"元整")</f>
        <v>零元整</v>
      </c>
      <c r="E121" s="3119"/>
      <c r="F121" s="3119"/>
      <c r="G121" s="3119"/>
      <c r="H121" s="3119"/>
      <c r="I121" s="3118"/>
    </row>
    <row r="122" spans="1:11" ht="18.75" customHeight="1">
      <c r="A122" s="3123" t="str">
        <f>IF(项目基本情况!B9="房地产市场价值","",MID(E107,3,LEN(E107)-2))</f>
        <v>房地产抵押价值</v>
      </c>
      <c r="B122" s="3123"/>
      <c r="C122" s="3123"/>
      <c r="D122" s="3112">
        <f ca="1">H107</f>
        <v>507</v>
      </c>
      <c r="E122" s="3113"/>
      <c r="F122" s="3113"/>
      <c r="G122" s="3113"/>
      <c r="H122" s="3113"/>
      <c r="I122" s="3114"/>
    </row>
    <row r="123" spans="1:11" ht="18.75" customHeight="1">
      <c r="A123" s="3072" t="s">
        <v>2319</v>
      </c>
      <c r="B123" s="3072"/>
      <c r="C123" s="3072"/>
      <c r="D123" s="3117" t="str">
        <f ca="1">NUMBERSTRING(INT(D122*10000),2)&amp;"元整"</f>
        <v>伍佰零柒万元整</v>
      </c>
      <c r="E123" s="3119"/>
      <c r="F123" s="3119"/>
      <c r="G123" s="3119"/>
      <c r="H123" s="3119"/>
      <c r="I123" s="3118"/>
    </row>
    <row r="124" spans="1:11" ht="18.75" customHeight="1">
      <c r="A124" s="3123" t="str">
        <f>IF(项目基本情况!B9="房地产市场价值","",MID(E109,3,LEN(E109)-2))</f>
        <v/>
      </c>
      <c r="B124" s="3123"/>
      <c r="C124" s="3123"/>
      <c r="D124" s="3112" t="str">
        <f>H109</f>
        <v>——</v>
      </c>
      <c r="E124" s="3113"/>
      <c r="F124" s="3113"/>
      <c r="G124" s="3113"/>
      <c r="H124" s="3113"/>
      <c r="I124" s="3114"/>
    </row>
    <row r="125" spans="1:11" ht="18.75" customHeight="1">
      <c r="A125" s="3072" t="s">
        <v>2319</v>
      </c>
      <c r="B125" s="3072"/>
      <c r="C125" s="3072"/>
      <c r="D125" s="3117" t="e">
        <f>NUMBERSTRING(INT(D124*10000),2)&amp;"元整"</f>
        <v>#VALUE!</v>
      </c>
      <c r="E125" s="3119"/>
      <c r="F125" s="3119"/>
      <c r="G125" s="3119"/>
      <c r="H125" s="3119"/>
      <c r="I125" s="3118"/>
    </row>
    <row r="126" spans="1:11" ht="18.75" customHeight="1">
      <c r="A126" s="3123" t="str">
        <f>IF(项目基本情况!B9="房地产市场价值","",MID(E111,3,LEN(E111)-2))</f>
        <v/>
      </c>
      <c r="B126" s="3123"/>
      <c r="C126" s="3123"/>
      <c r="D126" s="3112" t="str">
        <f>H111</f>
        <v>——</v>
      </c>
      <c r="E126" s="3113"/>
      <c r="F126" s="3113"/>
      <c r="G126" s="3113"/>
      <c r="H126" s="3113"/>
      <c r="I126" s="3114"/>
    </row>
    <row r="127" spans="1:11" ht="18.75" customHeight="1">
      <c r="A127" s="3072" t="s">
        <v>2319</v>
      </c>
      <c r="B127" s="3072"/>
      <c r="C127" s="3072"/>
      <c r="D127" s="3117" t="e">
        <f>NUMBERSTRING(INT(D126*10000),2)&amp;"元整"</f>
        <v>#VALUE!</v>
      </c>
      <c r="E127" s="3119"/>
      <c r="F127" s="3119"/>
      <c r="G127" s="3119"/>
      <c r="H127" s="3119"/>
      <c r="I127" s="3118"/>
    </row>
    <row r="128" spans="1:11" ht="21.75" customHeight="1">
      <c r="A128" s="3120" t="s">
        <v>2320</v>
      </c>
      <c r="B128" s="3120"/>
      <c r="C128" s="3120"/>
      <c r="D128" s="3120"/>
      <c r="E128" s="3120"/>
      <c r="F128" s="3120"/>
      <c r="G128" s="3120"/>
      <c r="H128" s="3120"/>
      <c r="I128" s="3120"/>
    </row>
    <row r="129" spans="1:35" ht="21.75" customHeight="1">
      <c r="A129" s="2529" t="s">
        <v>2321</v>
      </c>
      <c r="B129" s="2530"/>
      <c r="C129" s="2531" t="s">
        <v>2322</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2323</v>
      </c>
      <c r="G135" s="2546"/>
      <c r="H135" s="2546"/>
      <c r="I135" s="2547" t="s">
        <v>2324</v>
      </c>
    </row>
    <row r="136" spans="1:35" ht="21.75" customHeight="1">
      <c r="A136" s="795"/>
      <c r="B136" s="2548"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2326</v>
      </c>
    </row>
    <row r="139" spans="1:35" ht="21.75" customHeight="1">
      <c r="A139" s="795"/>
      <c r="B139" s="2548" t="s">
        <v>2327</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2326</v>
      </c>
    </row>
    <row r="142" spans="1:35" ht="21.75" customHeight="1">
      <c r="A142" s="795"/>
      <c r="B142" s="2548"/>
      <c r="C142" s="2549"/>
      <c r="D142" s="2550"/>
      <c r="E142" s="2550"/>
      <c r="F142" s="2344"/>
      <c r="G142" s="795"/>
      <c r="H142" s="795"/>
      <c r="I142" s="795"/>
    </row>
    <row r="143" spans="1:35" s="139" customFormat="1" ht="21.75" customHeight="1">
      <c r="A143" s="795"/>
      <c r="B143" s="2548"/>
      <c r="C143" s="2549"/>
      <c r="D143" s="2550"/>
      <c r="E143" s="2550"/>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0"/>
      <c r="C1" s="242"/>
      <c r="D1" s="242"/>
      <c r="E1" s="242"/>
      <c r="F1" s="242"/>
      <c r="G1" s="1382">
        <f>MATCH(B1,'数据-取费表'!A6:A16,0)+5</f>
        <v>7</v>
      </c>
    </row>
    <row r="2" spans="1:9" s="244" customFormat="1" ht="18" customHeight="1">
      <c r="A2" s="245" t="s">
        <v>2329</v>
      </c>
      <c r="B2" s="246">
        <f ca="1">IF(D2="——",C52,C52-E2)</f>
        <v>509</v>
      </c>
      <c r="C2" s="243" t="s">
        <v>2330</v>
      </c>
      <c r="D2" s="2551" t="s">
        <v>70</v>
      </c>
      <c r="E2" s="1443" t="e">
        <f ca="1">SUMIF(INDIRECT("'"&amp;G2&amp;"'"&amp;"!A:A"),"承租人权益价值",INDIRECT("'"&amp;G2&amp;"'"&amp;"!c:c"))</f>
        <v>#REF!</v>
      </c>
      <c r="F2" s="2552" t="s">
        <v>2330</v>
      </c>
      <c r="G2" s="2553"/>
    </row>
    <row r="3" spans="1:9" s="244" customFormat="1" ht="18" customHeight="1" thickBot="1">
      <c r="A3" s="247" t="s">
        <v>2331</v>
      </c>
      <c r="B3" s="248">
        <f ca="1">ROUND(B2*10000/(IF(B1="",'数据-汇总表'!E3,INDIRECT("'数据-取费表'!k"&amp;$G$1))),0)</f>
        <v>3160</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C6+C7+C8</f>
        <v>10</v>
      </c>
      <c r="D5" s="255" t="s">
        <v>2336</v>
      </c>
      <c r="E5" s="256" t="s">
        <v>2337</v>
      </c>
      <c r="F5" s="256" t="s">
        <v>2338</v>
      </c>
      <c r="G5" s="257"/>
    </row>
    <row r="6" spans="1:9" s="258" customFormat="1" ht="13.5" customHeight="1">
      <c r="A6" s="952" t="s">
        <v>2339</v>
      </c>
      <c r="B6" s="259" t="s">
        <v>2340</v>
      </c>
      <c r="C6" s="260"/>
      <c r="D6" s="261"/>
      <c r="E6" s="262"/>
      <c r="F6" s="262"/>
      <c r="G6" s="263"/>
    </row>
    <row r="7" spans="1:9" s="258" customFormat="1" ht="13.5" customHeight="1">
      <c r="A7" s="952" t="s">
        <v>2341</v>
      </c>
      <c r="B7" s="259" t="s">
        <v>2342</v>
      </c>
      <c r="C7" s="264">
        <f>ROUND(C6*F7,0)</f>
        <v>0</v>
      </c>
      <c r="D7" s="264"/>
      <c r="E7" s="262"/>
      <c r="F7" s="265">
        <f>'数据-取费表'!B48+'数据-取费表'!B49</f>
        <v>4.0500000000000001E-2</v>
      </c>
      <c r="G7" s="263"/>
    </row>
    <row r="8" spans="1:9" s="267" customFormat="1">
      <c r="A8" s="952" t="s">
        <v>2343</v>
      </c>
      <c r="B8" s="259" t="s">
        <v>2344</v>
      </c>
      <c r="C8" s="264">
        <f>IF(G8="已包含在土地购买价格中","0",IF(B1="",'数据-取费表'!B29,IF(G9="全部缴纳",C9+C10,H9)))</f>
        <v>10</v>
      </c>
      <c r="D8" s="266"/>
      <c r="E8" s="264"/>
      <c r="F8" s="265"/>
      <c r="G8" s="2554"/>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134</v>
      </c>
      <c r="F9" s="265"/>
      <c r="G9" s="2555"/>
      <c r="H9" s="1393"/>
      <c r="I9" s="2556" t="s">
        <v>2346</v>
      </c>
    </row>
    <row r="10" spans="1:9" s="258" customFormat="1" ht="13.5" customHeight="1">
      <c r="A10" s="953" t="s">
        <v>801</v>
      </c>
      <c r="B10" s="268" t="s">
        <v>2347</v>
      </c>
      <c r="C10" s="269">
        <f ca="1">ROUND(D10*E10/10000,0)</f>
        <v>10</v>
      </c>
      <c r="D10" s="1035">
        <f ca="1">IF(B1="",'数据-汇总表'!E6,IF(INDIRECT("'数据-取费表'!c"&amp;$G$1)="住宅",INDIRECT("'数据-取费表'!s"&amp;$G$1),INDIRECT("'数据-取费表'!k"&amp;$G$1)+INDIRECT("'数据-取费表'!s"&amp;$G$1)))</f>
        <v>1611</v>
      </c>
      <c r="E10" s="269">
        <f>'数据-取费表'!B28</f>
        <v>60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f ca="1">IF(G19="已包含在土地取得成本中","0",ROUND(D19*E19/10000,0))</f>
        <v>24</v>
      </c>
      <c r="D19" s="1039">
        <f ca="1">D9+D10</f>
        <v>1611</v>
      </c>
      <c r="E19" s="255">
        <f>'数据-取费表'!B31</f>
        <v>150</v>
      </c>
      <c r="F19" s="275"/>
      <c r="G19" s="2554"/>
    </row>
    <row r="20" spans="1:7" s="258" customFormat="1" ht="13.5" customHeight="1">
      <c r="A20" s="299" t="s">
        <v>2360</v>
      </c>
      <c r="B20" s="254" t="s">
        <v>2361</v>
      </c>
      <c r="C20" s="276">
        <f ca="1">ROUND((C5+C19)*F20,0)</f>
        <v>1</v>
      </c>
      <c r="D20" s="276"/>
      <c r="E20" s="276"/>
      <c r="F20" s="277">
        <f>'数据-取费表'!B37</f>
        <v>0.03</v>
      </c>
      <c r="G20" s="278" t="s">
        <v>2362</v>
      </c>
    </row>
    <row r="21" spans="1:7" s="258" customFormat="1" ht="13.5" customHeight="1">
      <c r="A21" s="299" t="s">
        <v>2363</v>
      </c>
      <c r="B21" s="254" t="s">
        <v>2364</v>
      </c>
      <c r="C21" s="279">
        <f>F21</f>
        <v>0.03</v>
      </c>
      <c r="D21" s="280" t="s">
        <v>2365</v>
      </c>
      <c r="E21" s="276"/>
      <c r="F21" s="277">
        <f>'数据-取费表'!B38</f>
        <v>0.03</v>
      </c>
      <c r="G21" s="278" t="s">
        <v>2366</v>
      </c>
    </row>
    <row r="22" spans="1:7" s="258" customFormat="1" ht="13.5" customHeight="1">
      <c r="A22" s="299" t="s">
        <v>2367</v>
      </c>
      <c r="B22" s="254" t="s">
        <v>2368</v>
      </c>
      <c r="C22" s="1357">
        <f ca="1">ROUND(SUM(C23:C25),0)</f>
        <v>1</v>
      </c>
      <c r="D22" s="279">
        <f ca="1">C26</f>
        <v>5.9999999999999995E-4</v>
      </c>
      <c r="E22" s="280" t="s">
        <v>2365</v>
      </c>
      <c r="F22" s="281">
        <f ca="1">'数据-取费表'!B40</f>
        <v>4.3499999999999997E-2</v>
      </c>
      <c r="G22" s="278" t="str">
        <f>IF('数据-取费表'!B22&lt;=1,"单利计息","复利计息")</f>
        <v>单利计息</v>
      </c>
    </row>
    <row r="23" spans="1:7" s="258" customFormat="1" ht="13.5" customHeight="1">
      <c r="A23" s="954" t="s">
        <v>2369</v>
      </c>
      <c r="B23" s="259" t="s">
        <v>2370</v>
      </c>
      <c r="C23" s="1358">
        <f ca="1">ROUND(IF('数据-取费表'!B22&lt;=1,C5*F22*'数据-取费表'!B23,C5*(POWER((1+F22),'数据-取费表'!B23)-1)),0)</f>
        <v>0</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1</v>
      </c>
      <c r="D24" s="282"/>
      <c r="E24" s="282"/>
      <c r="F24" s="283"/>
      <c r="G24" s="284" t="s">
        <v>2374</v>
      </c>
    </row>
    <row r="25" spans="1:7" s="258" customFormat="1" ht="24">
      <c r="A25" s="954" t="s">
        <v>2375</v>
      </c>
      <c r="B25" s="259" t="s">
        <v>2376</v>
      </c>
      <c r="C25" s="1358">
        <f ca="1">ROUND(IF('数据-取费表'!B22&lt;=1,C20*F22*'数据-取费表'!B23/2,C20*(POWER((1+F22),'数据-取费表'!B23/2)-1)),0)</f>
        <v>0</v>
      </c>
      <c r="D25" s="282"/>
      <c r="E25" s="285"/>
      <c r="F25" s="283"/>
      <c r="G25" s="286" t="s">
        <v>2377</v>
      </c>
    </row>
    <row r="26" spans="1:7" s="258" customFormat="1">
      <c r="A26" s="954" t="s">
        <v>795</v>
      </c>
      <c r="B26" s="259" t="s">
        <v>2378</v>
      </c>
      <c r="C26" s="282">
        <f ca="1">ROUND(IF('数据-取费表'!B22&lt;=1,F21*F22*'数据-取费表'!B23/2,F21*(POWER((1+F22),'数据-取费表'!B23/2)-1)),4)</f>
        <v>5.9999999999999995E-4</v>
      </c>
      <c r="D26" s="282"/>
      <c r="E26" s="285"/>
      <c r="F26" s="283"/>
      <c r="G26" s="287"/>
    </row>
    <row r="27" spans="1:7" s="258" customFormat="1" ht="24.75">
      <c r="A27" s="299" t="s">
        <v>2379</v>
      </c>
      <c r="B27" s="288" t="s">
        <v>2380</v>
      </c>
      <c r="C27" s="289">
        <f ca="1">C28</f>
        <v>5</v>
      </c>
      <c r="D27" s="279">
        <f ca="1">C29</f>
        <v>4.1000000000000003E-3</v>
      </c>
      <c r="E27" s="280" t="s">
        <v>2381</v>
      </c>
      <c r="F27" s="290">
        <f ca="1">IF(B1="",'数据-取费表'!Q16,INDIRECT("'数据-取费表'!q"&amp;$G$1))</f>
        <v>0.15</v>
      </c>
      <c r="G27" s="291" t="s">
        <v>2382</v>
      </c>
    </row>
    <row r="28" spans="1:7" s="258" customFormat="1" ht="13.5" customHeight="1">
      <c r="A28" s="954" t="s">
        <v>791</v>
      </c>
      <c r="B28" s="292" t="s">
        <v>2383</v>
      </c>
      <c r="C28" s="293">
        <f ca="1">ROUND((C5+C19+C20)*F27*'数据-取费表'!B21/'数据-取费表'!B20,0)</f>
        <v>5</v>
      </c>
      <c r="D28" s="279"/>
      <c r="E28" s="280"/>
      <c r="F28" s="290"/>
      <c r="G28" s="291"/>
    </row>
    <row r="29" spans="1:7" s="258" customFormat="1" ht="13.5" customHeight="1">
      <c r="A29" s="954" t="s">
        <v>792</v>
      </c>
      <c r="B29" s="292" t="s">
        <v>2384</v>
      </c>
      <c r="C29" s="282">
        <f ca="1">ROUND(C21*F27*'数据-取费表'!B21/'数据-取费表'!B20,4)</f>
        <v>4.1000000000000003E-3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45</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351</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306</v>
      </c>
      <c r="D34" s="261"/>
      <c r="E34" s="264"/>
      <c r="F34" s="301">
        <f ca="1">IF('数据-取费表'!B24=0,1,IF(B1="",'数据-取费表'!N16,INDIRECT("'数据-取费表'!n"&amp;$G$1)))</f>
        <v>0.95</v>
      </c>
      <c r="G34" s="263" t="s">
        <v>2393</v>
      </c>
    </row>
    <row r="35" spans="1:7" ht="13.5" customHeight="1">
      <c r="A35" s="954" t="s">
        <v>796</v>
      </c>
      <c r="B35" s="259" t="s">
        <v>2394</v>
      </c>
      <c r="C35" s="264">
        <f ca="1">ROUND(C34*F35,0)</f>
        <v>9</v>
      </c>
      <c r="D35" s="264"/>
      <c r="E35" s="264"/>
      <c r="F35" s="303">
        <f>'数据-取费表'!B33</f>
        <v>0.03</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4" t="s">
        <v>798</v>
      </c>
      <c r="B37" s="259" t="s">
        <v>2398</v>
      </c>
      <c r="C37" s="293">
        <f ca="1">ROUND(E37*D37*F34/10000,0)</f>
        <v>31</v>
      </c>
      <c r="D37" s="261">
        <f ca="1">D19</f>
        <v>1611</v>
      </c>
      <c r="E37" s="293">
        <f>'数据-取费表'!B35</f>
        <v>200</v>
      </c>
      <c r="F37" s="303"/>
      <c r="G37" s="305" t="s">
        <v>2399</v>
      </c>
    </row>
    <row r="38" spans="1:7" ht="13.5" customHeight="1">
      <c r="A38" s="954" t="s">
        <v>799</v>
      </c>
      <c r="B38" s="259" t="s">
        <v>2400</v>
      </c>
      <c r="C38" s="264">
        <f ca="1">ROUND(C34*F38,0)</f>
        <v>5</v>
      </c>
      <c r="D38" s="264"/>
      <c r="E38" s="264"/>
      <c r="F38" s="303">
        <f>'数据-取费表'!B36</f>
        <v>1.4999999999999999E-2</v>
      </c>
      <c r="G38" s="263" t="s">
        <v>2395</v>
      </c>
    </row>
    <row r="39" spans="1:7" s="258" customFormat="1" ht="13.5" customHeight="1">
      <c r="A39" s="299" t="s">
        <v>2401</v>
      </c>
      <c r="B39" s="254" t="s">
        <v>2402</v>
      </c>
      <c r="C39" s="276">
        <f ca="1">ROUND(C33*F20,0)</f>
        <v>11</v>
      </c>
      <c r="D39" s="276"/>
      <c r="E39" s="276"/>
      <c r="F39" s="277"/>
      <c r="G39" s="278" t="s">
        <v>2403</v>
      </c>
    </row>
    <row r="40" spans="1:7" s="258" customFormat="1" ht="13.5" customHeight="1">
      <c r="A40" s="299" t="s">
        <v>2404</v>
      </c>
      <c r="B40" s="254" t="s">
        <v>2405</v>
      </c>
      <c r="C40" s="1731">
        <f>F21</f>
        <v>0.03</v>
      </c>
      <c r="D40" s="280" t="s">
        <v>2406</v>
      </c>
      <c r="E40" s="276"/>
      <c r="F40" s="277"/>
      <c r="G40" s="278" t="s">
        <v>2407</v>
      </c>
    </row>
    <row r="41" spans="1:7" s="258" customFormat="1" ht="13.5" customHeight="1">
      <c r="A41" s="299" t="s">
        <v>2408</v>
      </c>
      <c r="B41" s="254" t="s">
        <v>2409</v>
      </c>
      <c r="C41" s="276">
        <f ca="1">ROUND(SUM(C42:C43),0)</f>
        <v>7</v>
      </c>
      <c r="D41" s="279">
        <f ca="1">C44</f>
        <v>5.9999999999999995E-4</v>
      </c>
      <c r="E41" s="280" t="s">
        <v>2406</v>
      </c>
      <c r="F41" s="281"/>
      <c r="G41" s="278" t="str">
        <f>IF('数据-取费表'!B22&lt;=1,"单利计息","复利计息")</f>
        <v>单利计息</v>
      </c>
    </row>
    <row r="42" spans="1:7" ht="13.5" customHeight="1">
      <c r="A42" s="954" t="s">
        <v>791</v>
      </c>
      <c r="B42" s="259" t="s">
        <v>2410</v>
      </c>
      <c r="C42" s="282">
        <f ca="1">ROUND(IF('数据-取费表'!B22&lt;=1,C33*F22*'数据-取费表'!B21/2,C33*(POWER((1+F22),'数据-取费表'!B21/2)-1)),0)</f>
        <v>7</v>
      </c>
      <c r="D42" s="282"/>
      <c r="E42" s="282"/>
      <c r="F42" s="283"/>
      <c r="G42" s="3192" t="s">
        <v>2411</v>
      </c>
    </row>
    <row r="43" spans="1:7" ht="13.5" customHeight="1">
      <c r="A43" s="954" t="s">
        <v>792</v>
      </c>
      <c r="B43" s="259" t="s">
        <v>2412</v>
      </c>
      <c r="C43" s="282">
        <f ca="1">ROUND(IF('数据-取费表'!B22&lt;=1,C39*F22*'数据-取费表'!B21/2,C39*(POWER((1+F22),'数据-取费表'!B21/2)-1)),0)</f>
        <v>0</v>
      </c>
      <c r="D43" s="282"/>
      <c r="E43" s="282"/>
      <c r="F43" s="283"/>
      <c r="G43" s="3193"/>
    </row>
    <row r="44" spans="1:7" ht="13.5" customHeight="1">
      <c r="A44" s="954" t="s">
        <v>793</v>
      </c>
      <c r="B44" s="259" t="s">
        <v>2413</v>
      </c>
      <c r="C44" s="282">
        <f ca="1">ROUND(IF('数据-取费表'!B22&lt;=1,C40*F22*'数据-取费表'!B21/2,C40*(POWER((1+F22),'数据-取费表'!B21/2)-1)),4)</f>
        <v>5.9999999999999995E-4</v>
      </c>
      <c r="D44" s="282"/>
      <c r="E44" s="282"/>
      <c r="F44" s="283"/>
      <c r="G44" s="3194"/>
    </row>
    <row r="45" spans="1:7" s="258" customFormat="1" ht="13.5" customHeight="1">
      <c r="A45" s="299" t="s">
        <v>2414</v>
      </c>
      <c r="B45" s="288" t="s">
        <v>2380</v>
      </c>
      <c r="C45" s="289">
        <f ca="1">C46</f>
        <v>54</v>
      </c>
      <c r="D45" s="279">
        <f ca="1">C47</f>
        <v>4.4999999999999997E-3</v>
      </c>
      <c r="E45" s="280" t="s">
        <v>2406</v>
      </c>
      <c r="F45" s="290"/>
      <c r="G45" s="291" t="s">
        <v>2415</v>
      </c>
    </row>
    <row r="46" spans="1:7" s="258" customFormat="1" ht="13.5" customHeight="1">
      <c r="A46" s="954" t="s">
        <v>791</v>
      </c>
      <c r="B46" s="292" t="s">
        <v>2416</v>
      </c>
      <c r="C46" s="293">
        <f ca="1">ROUND((C33+C39)*F27,0)</f>
        <v>54</v>
      </c>
      <c r="D46" s="307"/>
      <c r="E46" s="280"/>
      <c r="F46" s="290"/>
      <c r="G46" s="291"/>
    </row>
    <row r="47" spans="1:7" s="258" customFormat="1" ht="13.5" customHeight="1">
      <c r="A47" s="954" t="s">
        <v>792</v>
      </c>
      <c r="B47" s="292" t="s">
        <v>2417</v>
      </c>
      <c r="C47" s="282">
        <f ca="1">ROUND(C40*F27,4)</f>
        <v>4.4999999999999997E-3</v>
      </c>
      <c r="D47" s="307"/>
      <c r="E47" s="280"/>
      <c r="F47" s="290"/>
      <c r="G47" s="291"/>
    </row>
    <row r="48" spans="1:7" s="258" customFormat="1" ht="13.5" customHeight="1">
      <c r="A48" s="299" t="s">
        <v>2379</v>
      </c>
      <c r="B48" s="254" t="s">
        <v>2418</v>
      </c>
      <c r="C48" s="1731">
        <f>ROUND(F30/(1+'数据-取费表'!C42),4)</f>
        <v>5.2400000000000002E-2</v>
      </c>
      <c r="D48" s="280" t="s">
        <v>2406</v>
      </c>
      <c r="E48" s="276"/>
      <c r="F48" s="281"/>
      <c r="G48" s="278" t="s">
        <v>2419</v>
      </c>
    </row>
    <row r="49" spans="1:7" ht="16.5" customHeight="1">
      <c r="A49" s="299" t="s">
        <v>2385</v>
      </c>
      <c r="B49" s="254" t="s">
        <v>2420</v>
      </c>
      <c r="C49" s="276">
        <f ca="1">ROUND((C33+C39+C41+C45)/(1-C40-D41-D45-C48),0)</f>
        <v>464</v>
      </c>
      <c r="D49" s="276"/>
      <c r="E49" s="276"/>
      <c r="F49" s="308"/>
      <c r="G49" s="278" t="s">
        <v>2421</v>
      </c>
    </row>
    <row r="50" spans="1:7" s="302" customFormat="1" ht="24">
      <c r="A50" s="299" t="s">
        <v>2422</v>
      </c>
      <c r="B50" s="254" t="s">
        <v>2423</v>
      </c>
      <c r="C50" s="276"/>
      <c r="D50" s="276"/>
      <c r="E50" s="276"/>
      <c r="F50" s="308">
        <f>IF('数据-取费表'!B24=0,'数据-取费表'!N16,1)</f>
        <v>1</v>
      </c>
      <c r="G50" s="291" t="s">
        <v>2424</v>
      </c>
    </row>
    <row r="51" spans="1:7" ht="16.5" customHeight="1">
      <c r="A51" s="299" t="s">
        <v>2425</v>
      </c>
      <c r="B51" s="254" t="s">
        <v>2426</v>
      </c>
      <c r="C51" s="276">
        <f ca="1">ROUND(C49*F50,0)</f>
        <v>464</v>
      </c>
      <c r="D51" s="276"/>
      <c r="E51" s="276"/>
      <c r="F51" s="308"/>
      <c r="G51" s="278" t="s">
        <v>2427</v>
      </c>
    </row>
    <row r="52" spans="1:7" s="252" customFormat="1" ht="16.5" thickBot="1">
      <c r="A52" s="309" t="s">
        <v>2428</v>
      </c>
      <c r="B52" s="310"/>
      <c r="C52" s="311">
        <f ca="1">C31+C51</f>
        <v>509</v>
      </c>
      <c r="D52" s="310"/>
      <c r="E52" s="310"/>
      <c r="F52" s="310"/>
      <c r="G52" s="312"/>
    </row>
    <row r="55" spans="1:7" ht="15">
      <c r="B55" s="314" t="s">
        <v>2429</v>
      </c>
      <c r="C55" s="315"/>
    </row>
    <row r="56" spans="1:7">
      <c r="B56" s="317" t="s">
        <v>1513</v>
      </c>
      <c r="C56" s="319">
        <f ca="1">1-C57</f>
        <v>8.7999999999999967E-2</v>
      </c>
    </row>
    <row r="57" spans="1:7">
      <c r="B57" s="317" t="s">
        <v>1514</v>
      </c>
      <c r="C57" s="318">
        <f ca="1">ROUND(C51/C52,3)</f>
        <v>0.91200000000000003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6" t="str">
        <f>项目基本情况!B1</f>
        <v>出让国有建设用地使用权及在建建筑物房地产抵押价值预评估</v>
      </c>
      <c r="C37" s="3006"/>
      <c r="D37" s="3006"/>
      <c r="E37" s="3006"/>
      <c r="F37" s="3006"/>
      <c r="G37" s="3006"/>
      <c r="H37" s="3006"/>
      <c r="I37" s="3006"/>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I6" sqref="I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0" t="s">
        <v>3371</v>
      </c>
      <c r="C1" s="2557" t="s">
        <v>2430</v>
      </c>
      <c r="D1" s="242"/>
      <c r="E1" s="242"/>
      <c r="F1" s="242"/>
      <c r="G1" s="1382">
        <f>MATCH(B1,'数据-取费表'!A6:A16,0)+5</f>
        <v>6</v>
      </c>
      <c r="H1" s="1285" t="str">
        <f>IF(ISERROR(FIND("住宅",B1)),"非住宅","住宅")</f>
        <v>非住宅</v>
      </c>
    </row>
    <row r="2" spans="1:8" s="244" customFormat="1" ht="18" customHeight="1">
      <c r="A2" s="245" t="s">
        <v>2329</v>
      </c>
      <c r="B2" s="246">
        <f ca="1">ROUND(IF(D2="——",C52/10000,C52/10000-E2),0)</f>
        <v>560</v>
      </c>
      <c r="C2" s="243" t="s">
        <v>2330</v>
      </c>
      <c r="D2" s="2551" t="s">
        <v>70</v>
      </c>
      <c r="E2" s="1443" t="e">
        <f ca="1">SUMIF(INDIRECT("'"&amp;G2&amp;"'"&amp;"!A:A"),"承租人权益价值",INDIRECT("'"&amp;G2&amp;"'"&amp;"!c:c"))</f>
        <v>#REF!</v>
      </c>
      <c r="F2" s="2552" t="s">
        <v>2330</v>
      </c>
      <c r="G2" s="2553" t="s">
        <v>3382</v>
      </c>
    </row>
    <row r="3" spans="1:8" s="244" customFormat="1" ht="18" customHeight="1" thickBot="1">
      <c r="A3" s="247" t="s">
        <v>2331</v>
      </c>
      <c r="B3" s="248">
        <f ca="1">ROUND(B2*10000/(IF(B1="",'数据-汇总表'!E3,INDIRECT("'数据-取费表'!k"&amp;$G$1))),0)</f>
        <v>3476</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C6+C7+C8</f>
        <v>531370</v>
      </c>
      <c r="D5" s="255" t="s">
        <v>2336</v>
      </c>
      <c r="E5" s="256" t="s">
        <v>2337</v>
      </c>
      <c r="F5" s="256" t="s">
        <v>2338</v>
      </c>
      <c r="G5" s="257"/>
    </row>
    <row r="6" spans="1:8" s="258" customFormat="1" ht="13.5" customHeight="1">
      <c r="A6" s="952" t="s">
        <v>2339</v>
      </c>
      <c r="B6" s="259" t="s">
        <v>2340</v>
      </c>
      <c r="C6" s="260">
        <f>ROUND('土地比较法-工业'!C43*'土地比较法-工业'!E51,0)</f>
        <v>510687</v>
      </c>
      <c r="D6" s="261"/>
      <c r="E6" s="262"/>
      <c r="F6" s="262"/>
      <c r="G6" s="263"/>
    </row>
    <row r="7" spans="1:8" s="258" customFormat="1" ht="13.5" customHeight="1">
      <c r="A7" s="952" t="s">
        <v>2341</v>
      </c>
      <c r="B7" s="259" t="s">
        <v>2342</v>
      </c>
      <c r="C7" s="264">
        <f>ROUND(C6*F7,0)</f>
        <v>20683</v>
      </c>
      <c r="D7" s="264"/>
      <c r="E7" s="262"/>
      <c r="F7" s="265">
        <f>'数据-取费表'!B48+'数据-取费表'!B49</f>
        <v>4.0500000000000001E-2</v>
      </c>
      <c r="G7" s="263"/>
    </row>
    <row r="8" spans="1:8" s="267" customFormat="1">
      <c r="A8" s="952" t="s">
        <v>2343</v>
      </c>
      <c r="B8" s="259" t="s">
        <v>2344</v>
      </c>
      <c r="C8" s="264">
        <f>IF(G8="已包含在土地购买价格中",0,C9+C10)</f>
        <v>0</v>
      </c>
      <c r="D8" s="266"/>
      <c r="E8" s="264"/>
      <c r="F8" s="265"/>
      <c r="G8" s="2554" t="s">
        <v>1148</v>
      </c>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134</v>
      </c>
      <c r="F9" s="265"/>
      <c r="G9" s="270"/>
    </row>
    <row r="10" spans="1:8" s="258" customFormat="1" ht="13.5" customHeight="1">
      <c r="A10" s="953" t="s">
        <v>801</v>
      </c>
      <c r="B10" s="268" t="s">
        <v>2347</v>
      </c>
      <c r="C10" s="269">
        <f ca="1">ROUND(D10*E10,0)</f>
        <v>96660</v>
      </c>
      <c r="D10" s="1035">
        <f ca="1">IF(B1="",'数据-汇总表'!E6,IF(INDIRECT("'数据-取费表'!c"&amp;$G$1)="住宅",INDIRECT("'数据-取费表'!s"&amp;$G$1),INDIRECT("'数据-取费表'!k"&amp;$G$1)+INDIRECT("'数据-取费表'!s"&amp;$G$1)))</f>
        <v>1611</v>
      </c>
      <c r="E10" s="269">
        <f>'数据-取费表'!B28</f>
        <v>60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t="str">
        <f>IF(G19="已包含在土地取得成本中","0",ROUND(D19*E19,0))</f>
        <v>0</v>
      </c>
      <c r="D19" s="1039">
        <f ca="1">D9+D10</f>
        <v>1611</v>
      </c>
      <c r="E19" s="255">
        <f>'数据-取费表'!B31</f>
        <v>150</v>
      </c>
      <c r="F19" s="275"/>
      <c r="G19" s="2554" t="s">
        <v>3374</v>
      </c>
    </row>
    <row r="20" spans="1:7" s="258" customFormat="1" ht="13.5" customHeight="1">
      <c r="A20" s="299" t="s">
        <v>2441</v>
      </c>
      <c r="B20" s="254" t="s">
        <v>2442</v>
      </c>
      <c r="C20" s="276">
        <f>ROUND((C5+C19)*F20,0)</f>
        <v>15941</v>
      </c>
      <c r="D20" s="276"/>
      <c r="E20" s="276"/>
      <c r="F20" s="277">
        <f>'数据-取费表'!B37</f>
        <v>0.03</v>
      </c>
      <c r="G20" s="278" t="s">
        <v>2443</v>
      </c>
    </row>
    <row r="21" spans="1:7" s="258" customFormat="1" ht="13.5" customHeight="1">
      <c r="A21" s="299" t="s">
        <v>2444</v>
      </c>
      <c r="B21" s="254" t="s">
        <v>2445</v>
      </c>
      <c r="C21" s="279">
        <f>F21</f>
        <v>0.03</v>
      </c>
      <c r="D21" s="280" t="s">
        <v>2446</v>
      </c>
      <c r="E21" s="276"/>
      <c r="F21" s="277">
        <f>'数据-取费表'!B38</f>
        <v>0.03</v>
      </c>
      <c r="G21" s="278" t="s">
        <v>2447</v>
      </c>
    </row>
    <row r="22" spans="1:7" s="258" customFormat="1" ht="13.5" customHeight="1">
      <c r="A22" s="299" t="s">
        <v>2448</v>
      </c>
      <c r="B22" s="254" t="s">
        <v>2449</v>
      </c>
      <c r="C22" s="1383">
        <f ca="1">ROUND(SUM(C23:C25),0)</f>
        <v>23462</v>
      </c>
      <c r="D22" s="279">
        <f ca="1">C26</f>
        <v>6.9999999999999999E-4</v>
      </c>
      <c r="E22" s="280" t="s">
        <v>2446</v>
      </c>
      <c r="F22" s="281">
        <f ca="1">'数据-取费表'!B40</f>
        <v>4.3499999999999997E-2</v>
      </c>
      <c r="G22" s="278" t="str">
        <f>IF('数据-取费表'!B22&lt;=1,"单利计息","复利计息")</f>
        <v>单利计息</v>
      </c>
    </row>
    <row r="23" spans="1:7" s="258" customFormat="1" ht="13.5" customHeight="1">
      <c r="A23" s="954" t="s">
        <v>2339</v>
      </c>
      <c r="B23" s="259" t="s">
        <v>2450</v>
      </c>
      <c r="C23" s="1384">
        <f ca="1">ROUND(IF('数据-取费表'!B22&lt;=1,C5*F22*'数据-取费表'!B22,C5*(POWER((1+F22),'数据-取费表'!B22)-1)),0)</f>
        <v>23115</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0</v>
      </c>
      <c r="D24" s="282"/>
      <c r="E24" s="282"/>
      <c r="F24" s="283"/>
      <c r="G24" s="284" t="s">
        <v>2453</v>
      </c>
    </row>
    <row r="25" spans="1:7" s="258" customFormat="1" ht="24">
      <c r="A25" s="954" t="s">
        <v>2343</v>
      </c>
      <c r="B25" s="259" t="s">
        <v>2454</v>
      </c>
      <c r="C25" s="1384">
        <f ca="1">ROUND(IF('数据-取费表'!B22&lt;=1,C20*F22*'数据-取费表'!B22/2,C20*(POWER((1+F22),'数据-取费表'!B22/2)-1)),0)</f>
        <v>347</v>
      </c>
      <c r="D25" s="282"/>
      <c r="E25" s="285"/>
      <c r="F25" s="283"/>
      <c r="G25" s="286" t="s">
        <v>2455</v>
      </c>
    </row>
    <row r="26" spans="1:7" s="258" customFormat="1">
      <c r="A26" s="954" t="s">
        <v>795</v>
      </c>
      <c r="B26" s="259" t="s">
        <v>2378</v>
      </c>
      <c r="C26" s="282">
        <f ca="1">ROUND(IF('数据-取费表'!B22&lt;=1,F21*F22*'数据-取费表'!B22/2,F21*(POWER((1+F22),'数据-取费表'!B22/2)-1)),4)</f>
        <v>6.9999999999999999E-4</v>
      </c>
      <c r="D26" s="282"/>
      <c r="E26" s="285"/>
      <c r="F26" s="283"/>
      <c r="G26" s="287"/>
    </row>
    <row r="27" spans="1:7" s="258" customFormat="1" ht="24.75">
      <c r="A27" s="299" t="s">
        <v>2379</v>
      </c>
      <c r="B27" s="288" t="s">
        <v>2380</v>
      </c>
      <c r="C27" s="289">
        <f ca="1">C28</f>
        <v>82097</v>
      </c>
      <c r="D27" s="279">
        <f ca="1">C29</f>
        <v>4.4999999999999997E-3</v>
      </c>
      <c r="E27" s="280" t="s">
        <v>2381</v>
      </c>
      <c r="F27" s="290">
        <f ca="1">IF(B1="",'数据-取费表'!Q16,INDIRECT("'数据-取费表'!q"&amp;$G$1))</f>
        <v>0.15</v>
      </c>
      <c r="G27" s="291" t="s">
        <v>2382</v>
      </c>
    </row>
    <row r="28" spans="1:7" s="258" customFormat="1" ht="13.5" customHeight="1">
      <c r="A28" s="954" t="s">
        <v>791</v>
      </c>
      <c r="B28" s="292" t="s">
        <v>2383</v>
      </c>
      <c r="C28" s="293">
        <f ca="1">ROUND((C5+C19+C20)*F27,0)</f>
        <v>82097</v>
      </c>
      <c r="D28" s="279"/>
      <c r="E28" s="280"/>
      <c r="F28" s="290"/>
      <c r="G28" s="291"/>
    </row>
    <row r="29" spans="1:7" s="258" customFormat="1" ht="13.5" customHeight="1">
      <c r="A29" s="954" t="s">
        <v>792</v>
      </c>
      <c r="B29" s="292" t="s">
        <v>2384</v>
      </c>
      <c r="C29" s="282">
        <f ca="1">ROUND(C21*F27,4)</f>
        <v>4.4999999999999997E-3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715552</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3689190</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3222000</v>
      </c>
      <c r="D34" s="261"/>
      <c r="E34" s="264"/>
      <c r="F34" s="301"/>
      <c r="G34" s="263"/>
    </row>
    <row r="35" spans="1:7" ht="13.5" customHeight="1">
      <c r="A35" s="954" t="s">
        <v>796</v>
      </c>
      <c r="B35" s="259" t="s">
        <v>2394</v>
      </c>
      <c r="C35" s="264">
        <f ca="1">ROUND(C34*F35,0)</f>
        <v>96660</v>
      </c>
      <c r="D35" s="264"/>
      <c r="E35" s="264"/>
      <c r="F35" s="303">
        <f>'数据-取费表'!B33</f>
        <v>0.03</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4" t="s">
        <v>798</v>
      </c>
      <c r="B37" s="259" t="s">
        <v>2398</v>
      </c>
      <c r="C37" s="293">
        <f ca="1">ROUND(E37*D37,0)</f>
        <v>322200</v>
      </c>
      <c r="D37" s="261">
        <f ca="1">D19</f>
        <v>1611</v>
      </c>
      <c r="E37" s="293">
        <f>'数据-取费表'!B35</f>
        <v>200</v>
      </c>
      <c r="F37" s="303"/>
      <c r="G37" s="305"/>
    </row>
    <row r="38" spans="1:7" ht="13.5" customHeight="1">
      <c r="A38" s="954" t="s">
        <v>799</v>
      </c>
      <c r="B38" s="259" t="s">
        <v>2400</v>
      </c>
      <c r="C38" s="264">
        <f ca="1">ROUND(C34*F38,0)</f>
        <v>48330</v>
      </c>
      <c r="D38" s="264"/>
      <c r="E38" s="264"/>
      <c r="F38" s="303">
        <f>'数据-取费表'!B36</f>
        <v>1.4999999999999999E-2</v>
      </c>
      <c r="G38" s="263" t="s">
        <v>2395</v>
      </c>
    </row>
    <row r="39" spans="1:7" s="258" customFormat="1" ht="13.5" customHeight="1">
      <c r="A39" s="299" t="s">
        <v>2401</v>
      </c>
      <c r="B39" s="254" t="s">
        <v>2402</v>
      </c>
      <c r="C39" s="276">
        <f ca="1">ROUND(C33*F20,0)</f>
        <v>110676</v>
      </c>
      <c r="D39" s="276"/>
      <c r="E39" s="276"/>
      <c r="F39" s="277"/>
      <c r="G39" s="278" t="s">
        <v>2403</v>
      </c>
    </row>
    <row r="40" spans="1:7" s="258" customFormat="1" ht="13.5" customHeight="1">
      <c r="A40" s="299" t="s">
        <v>2404</v>
      </c>
      <c r="B40" s="254" t="s">
        <v>2405</v>
      </c>
      <c r="C40" s="1731">
        <f>F21</f>
        <v>0.03</v>
      </c>
      <c r="D40" s="280" t="s">
        <v>2406</v>
      </c>
      <c r="E40" s="276"/>
      <c r="F40" s="277"/>
      <c r="G40" s="278" t="s">
        <v>2407</v>
      </c>
    </row>
    <row r="41" spans="1:7" s="258" customFormat="1" ht="13.5" customHeight="1">
      <c r="A41" s="299" t="s">
        <v>2408</v>
      </c>
      <c r="B41" s="254" t="s">
        <v>2409</v>
      </c>
      <c r="C41" s="276">
        <f ca="1">ROUND(SUM(C42:C43),0)</f>
        <v>82647</v>
      </c>
      <c r="D41" s="279">
        <f ca="1">C44</f>
        <v>6.9999999999999999E-4</v>
      </c>
      <c r="E41" s="280" t="s">
        <v>2406</v>
      </c>
      <c r="F41" s="281"/>
      <c r="G41" s="278" t="str">
        <f>IF('数据-取费表'!B22&lt;=1,"单利计息","复利计息")</f>
        <v>单利计息</v>
      </c>
    </row>
    <row r="42" spans="1:7" ht="13.5" customHeight="1">
      <c r="A42" s="954" t="s">
        <v>791</v>
      </c>
      <c r="B42" s="259" t="s">
        <v>2410</v>
      </c>
      <c r="C42" s="282">
        <f ca="1">ROUND(IF('数据-取费表'!B22&lt;=1,C33*F22*'数据-取费表'!B20/2,C33*(POWER((1+F22),'数据-取费表'!B20/2)-1)),0)</f>
        <v>80240</v>
      </c>
      <c r="D42" s="282"/>
      <c r="E42" s="282"/>
      <c r="F42" s="283"/>
      <c r="G42" s="3192" t="s">
        <v>2458</v>
      </c>
    </row>
    <row r="43" spans="1:7" ht="13.5" customHeight="1">
      <c r="A43" s="954" t="s">
        <v>792</v>
      </c>
      <c r="B43" s="259" t="s">
        <v>2412</v>
      </c>
      <c r="C43" s="282">
        <f ca="1">ROUND(IF('数据-取费表'!B22&lt;=1,C39*F22*'数据-取费表'!B20/2,C39*(POWER((1+F22),'数据-取费表'!B20/2)-1)),0)</f>
        <v>2407</v>
      </c>
      <c r="D43" s="282"/>
      <c r="E43" s="282"/>
      <c r="F43" s="283"/>
      <c r="G43" s="3193"/>
    </row>
    <row r="44" spans="1:7" ht="13.5" customHeight="1">
      <c r="A44" s="954" t="s">
        <v>793</v>
      </c>
      <c r="B44" s="259" t="s">
        <v>2413</v>
      </c>
      <c r="C44" s="282">
        <f ca="1">ROUND(IF('数据-取费表'!B22&lt;=1,C40*F22*'数据-取费表'!B20/2,C40*(POWER((1+F22),'数据-取费表'!B20/2)-1)),4)</f>
        <v>6.9999999999999999E-4</v>
      </c>
      <c r="D44" s="282"/>
      <c r="E44" s="282"/>
      <c r="F44" s="283"/>
      <c r="G44" s="3194"/>
    </row>
    <row r="45" spans="1:7" s="258" customFormat="1" ht="13.5" customHeight="1">
      <c r="A45" s="299" t="s">
        <v>2414</v>
      </c>
      <c r="B45" s="288" t="s">
        <v>2380</v>
      </c>
      <c r="C45" s="289">
        <f ca="1">C46</f>
        <v>569980</v>
      </c>
      <c r="D45" s="279">
        <f ca="1">C47</f>
        <v>4.4999999999999997E-3</v>
      </c>
      <c r="E45" s="280" t="s">
        <v>2406</v>
      </c>
      <c r="F45" s="290"/>
      <c r="G45" s="291" t="s">
        <v>2415</v>
      </c>
    </row>
    <row r="46" spans="1:7" s="258" customFormat="1" ht="13.5" customHeight="1">
      <c r="A46" s="954" t="s">
        <v>791</v>
      </c>
      <c r="B46" s="292" t="s">
        <v>2416</v>
      </c>
      <c r="C46" s="293">
        <f ca="1">ROUND((C33+C39)*F27,0)</f>
        <v>569980</v>
      </c>
      <c r="D46" s="307"/>
      <c r="E46" s="280"/>
      <c r="F46" s="290"/>
      <c r="G46" s="291"/>
    </row>
    <row r="47" spans="1:7" s="258" customFormat="1" ht="13.5" customHeight="1">
      <c r="A47" s="954" t="s">
        <v>792</v>
      </c>
      <c r="B47" s="292" t="s">
        <v>2417</v>
      </c>
      <c r="C47" s="282">
        <f ca="1">ROUND(C40*F27,4)</f>
        <v>4.4999999999999997E-3</v>
      </c>
      <c r="D47" s="307"/>
      <c r="E47" s="280"/>
      <c r="F47" s="290"/>
      <c r="G47" s="291"/>
    </row>
    <row r="48" spans="1:7" s="258" customFormat="1" ht="13.5" customHeight="1">
      <c r="A48" s="299" t="s">
        <v>2379</v>
      </c>
      <c r="B48" s="254" t="s">
        <v>2418</v>
      </c>
      <c r="C48" s="306">
        <f>ROUND(F30/(1+'数据-取费表'!C42),4)</f>
        <v>5.2400000000000002E-2</v>
      </c>
      <c r="D48" s="280" t="s">
        <v>2406</v>
      </c>
      <c r="E48" s="276"/>
      <c r="F48" s="281"/>
      <c r="G48" s="278" t="s">
        <v>2419</v>
      </c>
    </row>
    <row r="49" spans="1:7" ht="16.5" customHeight="1">
      <c r="A49" s="299" t="s">
        <v>2385</v>
      </c>
      <c r="B49" s="254" t="s">
        <v>2459</v>
      </c>
      <c r="C49" s="276">
        <f ca="1">ROUND((C33+C39+C41+C45)/(1-C40-D41-D45-C48),0)</f>
        <v>4879979</v>
      </c>
      <c r="D49" s="276"/>
      <c r="E49" s="276"/>
      <c r="F49" s="308"/>
      <c r="G49" s="278" t="s">
        <v>2421</v>
      </c>
    </row>
    <row r="50" spans="1:7" s="302" customFormat="1">
      <c r="A50" s="299" t="s">
        <v>2422</v>
      </c>
      <c r="B50" s="254" t="s">
        <v>2423</v>
      </c>
      <c r="C50" s="276"/>
      <c r="D50" s="276"/>
      <c r="E50" s="276"/>
      <c r="F50" s="308">
        <f>IF('数据-取费表'!B24=0,'数据-取费表'!N16,1)</f>
        <v>1</v>
      </c>
      <c r="G50" s="291"/>
    </row>
    <row r="51" spans="1:7" ht="16.5" customHeight="1">
      <c r="A51" s="299" t="s">
        <v>2425</v>
      </c>
      <c r="B51" s="254" t="s">
        <v>2460</v>
      </c>
      <c r="C51" s="276">
        <f ca="1">ROUND(C49*F50,0)</f>
        <v>4879979</v>
      </c>
      <c r="D51" s="276"/>
      <c r="E51" s="276"/>
      <c r="F51" s="308"/>
      <c r="G51" s="278" t="s">
        <v>2427</v>
      </c>
    </row>
    <row r="52" spans="1:7" s="252" customFormat="1" ht="16.5" thickBot="1">
      <c r="A52" s="309" t="s">
        <v>2428</v>
      </c>
      <c r="B52" s="310"/>
      <c r="C52" s="311">
        <f ca="1">C31+C51</f>
        <v>5595531</v>
      </c>
      <c r="D52" s="310"/>
      <c r="E52" s="310"/>
      <c r="F52" s="310"/>
      <c r="G52" s="312"/>
    </row>
    <row r="55" spans="1:7" ht="15">
      <c r="B55" s="314" t="s">
        <v>2429</v>
      </c>
      <c r="C55" s="315"/>
    </row>
    <row r="56" spans="1:7">
      <c r="B56" s="317" t="s">
        <v>1513</v>
      </c>
      <c r="C56" s="319">
        <f ca="1">1-C57</f>
        <v>0.128</v>
      </c>
    </row>
    <row r="57" spans="1:7">
      <c r="B57" s="317" t="s">
        <v>1514</v>
      </c>
      <c r="C57" s="318">
        <f ca="1">ROUND(C51/C52,3)</f>
        <v>0.872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0" zoomScale="80" zoomScaleNormal="80" workbookViewId="0">
      <selection activeCell="K38" sqref="K38"/>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f>F61</f>
        <v>51</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f>ROUND(IF(D3="",B2*10000/'数据-汇总表'!E3,B2*10000/D3),0)</f>
        <v>317</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08" t="s">
        <v>2645</v>
      </c>
      <c r="D4" s="3209"/>
      <c r="E4" s="3210" t="s">
        <v>2646</v>
      </c>
      <c r="F4" s="3211"/>
      <c r="G4" s="3208" t="s">
        <v>2647</v>
      </c>
      <c r="H4" s="3209"/>
      <c r="I4" s="3208" t="s">
        <v>2648</v>
      </c>
      <c r="J4" s="3209"/>
      <c r="K4" s="610" t="s">
        <v>2649</v>
      </c>
      <c r="L4" s="1133"/>
      <c r="M4" s="1134"/>
      <c r="N4" s="1134"/>
      <c r="O4" s="1134"/>
      <c r="P4" s="3212" t="s">
        <v>2650</v>
      </c>
      <c r="Q4" s="3213"/>
      <c r="R4" s="3225" t="s">
        <v>2646</v>
      </c>
      <c r="S4" s="3226"/>
      <c r="T4" s="3225" t="s">
        <v>2647</v>
      </c>
      <c r="U4" s="3226"/>
      <c r="V4" s="3200" t="s">
        <v>2648</v>
      </c>
      <c r="W4" s="3200"/>
      <c r="X4" s="1816"/>
      <c r="Y4" s="3225" t="s">
        <v>2650</v>
      </c>
      <c r="Z4" s="3226"/>
      <c r="AA4" s="3205" t="s">
        <v>2646</v>
      </c>
      <c r="AB4" s="3206" t="s">
        <v>2647</v>
      </c>
      <c r="AC4" s="3205" t="s">
        <v>2648</v>
      </c>
    </row>
    <row r="5" spans="1:29" ht="15">
      <c r="A5" s="404"/>
      <c r="B5" s="405"/>
      <c r="C5" s="3229" t="s">
        <v>2541</v>
      </c>
      <c r="D5" s="3230"/>
      <c r="E5" s="3218" t="str">
        <f>土地案例!A2</f>
        <v>蒲河大道南侧-112</v>
      </c>
      <c r="F5" s="3219"/>
      <c r="G5" s="3229" t="str">
        <f>土地案例!A4</f>
        <v>辉山大街东侧-29</v>
      </c>
      <c r="H5" s="3230"/>
      <c r="I5" s="3229" t="str">
        <f>土地案例!A5</f>
        <v>蒲河大道南侧-110</v>
      </c>
      <c r="J5" s="3230"/>
      <c r="K5" s="610"/>
      <c r="L5" s="1133"/>
      <c r="M5" s="1134"/>
      <c r="N5" s="1134"/>
      <c r="O5" s="1134"/>
      <c r="P5" s="3214"/>
      <c r="Q5" s="3215"/>
      <c r="R5" s="3227"/>
      <c r="S5" s="3228"/>
      <c r="T5" s="3227"/>
      <c r="U5" s="3228"/>
      <c r="V5" s="3200"/>
      <c r="W5" s="3200"/>
      <c r="X5" s="1816"/>
      <c r="Y5" s="3227"/>
      <c r="Z5" s="3228"/>
      <c r="AA5" s="3206"/>
      <c r="AB5" s="3206"/>
      <c r="AC5" s="3206"/>
    </row>
    <row r="6" spans="1:29" ht="15.75" thickBot="1">
      <c r="A6" s="406"/>
      <c r="B6" s="407"/>
      <c r="C6" s="3231" t="s">
        <v>2796</v>
      </c>
      <c r="D6" s="3232"/>
      <c r="E6" s="3234" t="s">
        <v>2796</v>
      </c>
      <c r="F6" s="3235"/>
      <c r="G6" s="3231" t="s">
        <v>2796</v>
      </c>
      <c r="H6" s="3232"/>
      <c r="I6" s="3231" t="s">
        <v>2796</v>
      </c>
      <c r="J6" s="3232"/>
      <c r="K6" s="610" t="s">
        <v>2546</v>
      </c>
      <c r="L6" s="1133"/>
      <c r="M6" s="1134"/>
      <c r="N6" s="1134"/>
      <c r="O6" s="1134"/>
      <c r="P6" s="3216"/>
      <c r="Q6" s="3217"/>
      <c r="R6" s="3227"/>
      <c r="S6" s="3228"/>
      <c r="T6" s="3236"/>
      <c r="U6" s="3237"/>
      <c r="V6" s="3200"/>
      <c r="W6" s="3200"/>
      <c r="X6" s="1816"/>
      <c r="Y6" s="3236"/>
      <c r="Z6" s="3237"/>
      <c r="AA6" s="3207"/>
      <c r="AB6" s="3207"/>
      <c r="AC6" s="3207"/>
    </row>
    <row r="7" spans="1:29" s="117" customFormat="1" ht="15.75" thickBot="1">
      <c r="A7" s="408" t="s">
        <v>2547</v>
      </c>
      <c r="B7" s="409"/>
      <c r="C7" s="410">
        <f>'数据-取费表'!B2</f>
        <v>43307</v>
      </c>
      <c r="D7" s="411">
        <v>100</v>
      </c>
      <c r="E7" s="412" t="str">
        <f>土地案例!H2</f>
        <v>2018-07-23</v>
      </c>
      <c r="F7" s="413">
        <f>SUMIF(65:65,YEAR(E7)&amp;"-"&amp;INT((MONTH(E7)+2)/3),66:66)</f>
        <v>100</v>
      </c>
      <c r="G7" s="2700" t="str">
        <f>土地案例!H4</f>
        <v>2018-07-03</v>
      </c>
      <c r="H7" s="411">
        <f>SUMIF(65:65,YEAR(G7)&amp;"-"&amp;INT((MONTH(G7)+2)/3),66:66)</f>
        <v>100</v>
      </c>
      <c r="I7" s="2700" t="str">
        <f>土地案例!H5</f>
        <v>2018-07-03</v>
      </c>
      <c r="J7" s="411">
        <f>SUMIF(65:65,YEAR(I7)&amp;"-"&amp;INT((MONTH(I7)+2)/3),66:66)</f>
        <v>100</v>
      </c>
      <c r="K7" s="611"/>
      <c r="L7" s="1135"/>
      <c r="M7" s="1136"/>
      <c r="N7" s="1136"/>
      <c r="O7" s="1136"/>
      <c r="P7" s="3220" t="s">
        <v>2548</v>
      </c>
      <c r="Q7" s="3233"/>
      <c r="R7" s="770" t="s">
        <v>17</v>
      </c>
      <c r="S7" s="771">
        <f t="shared" ref="S7:S15" si="0">F7</f>
        <v>100</v>
      </c>
      <c r="T7" s="770" t="s">
        <v>17</v>
      </c>
      <c r="U7" s="771">
        <f t="shared" ref="U7:U15" si="1">H7</f>
        <v>100</v>
      </c>
      <c r="V7" s="770" t="s">
        <v>17</v>
      </c>
      <c r="W7" s="771">
        <f t="shared" ref="W7:W15" si="2">J7</f>
        <v>100</v>
      </c>
      <c r="X7" s="772"/>
      <c r="Y7" s="3220" t="s">
        <v>2548</v>
      </c>
      <c r="Z7" s="3221"/>
      <c r="AA7" s="773">
        <f>D7/F7</f>
        <v>1</v>
      </c>
      <c r="AB7" s="773">
        <f>D7/H7</f>
        <v>1</v>
      </c>
      <c r="AC7" s="773">
        <f>D7/J7</f>
        <v>1</v>
      </c>
    </row>
    <row r="8" spans="1:29" s="117" customFormat="1" ht="15.75" thickBot="1">
      <c r="A8" s="408" t="s">
        <v>2549</v>
      </c>
      <c r="B8" s="409"/>
      <c r="C8" s="414" t="s">
        <v>2550</v>
      </c>
      <c r="D8" s="411">
        <v>100</v>
      </c>
      <c r="E8" s="414" t="s">
        <v>3369</v>
      </c>
      <c r="F8" s="413">
        <f>SUMIF(68:68,E8,69:69)-SUMIF(68:68,C8,69:69)+100</f>
        <v>100</v>
      </c>
      <c r="G8" s="414" t="s">
        <v>3369</v>
      </c>
      <c r="H8" s="411">
        <f>SUMIF(68:68,G8,69:69)-SUMIF(68:68,C8,69:69)+100</f>
        <v>100</v>
      </c>
      <c r="I8" s="414" t="s">
        <v>3369</v>
      </c>
      <c r="J8" s="411">
        <f>SUMIF(68:68,I8,69:69)-SUMIF(68:68,C8,69:69)+100</f>
        <v>100</v>
      </c>
      <c r="K8" s="611"/>
      <c r="L8" s="1135"/>
      <c r="M8" s="1136"/>
      <c r="N8" s="1136"/>
      <c r="O8" s="1136"/>
      <c r="P8" s="3220" t="s">
        <v>2551</v>
      </c>
      <c r="Q8" s="3221"/>
      <c r="R8" s="770" t="s">
        <v>17</v>
      </c>
      <c r="S8" s="771">
        <f t="shared" si="0"/>
        <v>100</v>
      </c>
      <c r="T8" s="770" t="s">
        <v>17</v>
      </c>
      <c r="U8" s="771">
        <f t="shared" si="1"/>
        <v>100</v>
      </c>
      <c r="V8" s="770" t="s">
        <v>17</v>
      </c>
      <c r="W8" s="771">
        <f t="shared" si="2"/>
        <v>100</v>
      </c>
      <c r="X8" s="772"/>
      <c r="Y8" s="3220" t="s">
        <v>2551</v>
      </c>
      <c r="Z8" s="3221"/>
      <c r="AA8" s="773">
        <f t="shared" ref="AA8:AA40" si="3">D8/F8</f>
        <v>1</v>
      </c>
      <c r="AB8" s="773">
        <f t="shared" ref="AB8:AB40" si="4">D8/H8</f>
        <v>1</v>
      </c>
      <c r="AC8" s="773">
        <f t="shared" ref="AC8:AC40" si="5">D8/J8</f>
        <v>1</v>
      </c>
    </row>
    <row r="9" spans="1:29" s="117" customFormat="1">
      <c r="A9" s="415" t="s">
        <v>2552</v>
      </c>
      <c r="B9" s="71" t="s">
        <v>2553</v>
      </c>
      <c r="C9" s="3000" t="s">
        <v>3352</v>
      </c>
      <c r="D9" s="135">
        <v>100</v>
      </c>
      <c r="E9" s="2703" t="s">
        <v>6</v>
      </c>
      <c r="F9" s="135">
        <f>SUMIF(70:70,E9,71:71)-SUMIF(70:70,C9,71:71)+100</f>
        <v>100</v>
      </c>
      <c r="G9" s="2703" t="s">
        <v>6</v>
      </c>
      <c r="H9" s="135">
        <f>SUMIF(70:70,G9,71:71)-SUMIF(70:70,C9,71:71)+100</f>
        <v>100</v>
      </c>
      <c r="I9" s="2703" t="s">
        <v>6</v>
      </c>
      <c r="J9" s="135">
        <f>SUMIF(70:70,I9,71:71)-SUMIF(70:70,C9,71:71)+100</f>
        <v>100</v>
      </c>
      <c r="K9" s="611"/>
      <c r="L9" s="1135"/>
      <c r="M9" s="1136"/>
      <c r="N9" s="1136"/>
      <c r="O9" s="1137"/>
      <c r="P9" s="3198" t="s">
        <v>2554</v>
      </c>
      <c r="Q9" s="1798" t="str">
        <f t="shared" ref="Q9:Q15" si="6">B9</f>
        <v>用途</v>
      </c>
      <c r="R9" s="770" t="s">
        <v>17</v>
      </c>
      <c r="S9" s="771">
        <f t="shared" si="0"/>
        <v>100</v>
      </c>
      <c r="T9" s="770" t="s">
        <v>17</v>
      </c>
      <c r="U9" s="771">
        <f t="shared" si="1"/>
        <v>100</v>
      </c>
      <c r="V9" s="770" t="s">
        <v>17</v>
      </c>
      <c r="W9" s="771">
        <f t="shared" si="2"/>
        <v>100</v>
      </c>
      <c r="X9" s="772"/>
      <c r="Y9" s="3072"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198"/>
      <c r="Q10" s="1798" t="str">
        <f t="shared" si="6"/>
        <v>土地使用年限（年）</v>
      </c>
      <c r="R10" s="770" t="s">
        <v>17</v>
      </c>
      <c r="S10" s="771">
        <f t="shared" si="0"/>
        <v>105</v>
      </c>
      <c r="T10" s="770" t="s">
        <v>17</v>
      </c>
      <c r="U10" s="771">
        <f t="shared" si="1"/>
        <v>105</v>
      </c>
      <c r="V10" s="770" t="s">
        <v>17</v>
      </c>
      <c r="W10" s="771">
        <f t="shared" si="2"/>
        <v>105</v>
      </c>
      <c r="X10" s="772"/>
      <c r="Y10" s="3072"/>
      <c r="Z10" s="55" t="str">
        <f t="shared" si="7"/>
        <v>土地使用年限（年）</v>
      </c>
      <c r="AA10" s="773">
        <f t="shared" si="3"/>
        <v>0.95238095238095233</v>
      </c>
      <c r="AB10" s="773">
        <f t="shared" si="4"/>
        <v>0.95238095238095233</v>
      </c>
      <c r="AC10" s="773">
        <f t="shared" si="5"/>
        <v>0.95238095238095233</v>
      </c>
    </row>
    <row r="11" spans="1:29" ht="15">
      <c r="A11" s="428"/>
      <c r="B11" s="422" t="s">
        <v>2557</v>
      </c>
      <c r="C11" s="429">
        <v>1</v>
      </c>
      <c r="D11" s="136">
        <v>100</v>
      </c>
      <c r="E11" s="429">
        <v>1</v>
      </c>
      <c r="F11" s="136">
        <f>LOOKUP(E11,75:75,76:76)-LOOKUP(C11,75:75,76:76)+100</f>
        <v>100</v>
      </c>
      <c r="G11" s="430">
        <v>1</v>
      </c>
      <c r="H11" s="136">
        <f>LOOKUP(G11,75:75,76:76)-LOOKUP(C11,75:75,76:76)+100</f>
        <v>100</v>
      </c>
      <c r="I11" s="429">
        <v>1</v>
      </c>
      <c r="J11" s="136">
        <f>LOOKUP(I11,75:75,76:76)-LOOKUP(C11,75:75,76:76)+100</f>
        <v>100</v>
      </c>
      <c r="K11" s="673">
        <v>1</v>
      </c>
      <c r="L11" s="1141"/>
      <c r="M11" s="1134"/>
      <c r="N11" s="1134"/>
      <c r="O11" s="1142"/>
      <c r="P11" s="3198"/>
      <c r="Q11" s="1798" t="str">
        <f t="shared" si="6"/>
        <v>容积率</v>
      </c>
      <c r="R11" s="770" t="s">
        <v>17</v>
      </c>
      <c r="S11" s="771">
        <f t="shared" si="0"/>
        <v>100</v>
      </c>
      <c r="T11" s="770" t="s">
        <v>17</v>
      </c>
      <c r="U11" s="771">
        <f t="shared" si="1"/>
        <v>100</v>
      </c>
      <c r="V11" s="770" t="s">
        <v>17</v>
      </c>
      <c r="W11" s="771">
        <f t="shared" si="2"/>
        <v>100</v>
      </c>
      <c r="X11" s="772"/>
      <c r="Y11" s="3072"/>
      <c r="Z11" s="55" t="str">
        <f t="shared" si="7"/>
        <v>容积率</v>
      </c>
      <c r="AA11" s="773">
        <f t="shared" si="3"/>
        <v>1</v>
      </c>
      <c r="AB11" s="773">
        <f t="shared" si="4"/>
        <v>1</v>
      </c>
      <c r="AC11" s="773">
        <f t="shared" si="5"/>
        <v>1</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8"/>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8"/>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8"/>
      <c r="Q14" s="1798">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71.25">
      <c r="A15" s="440" t="s">
        <v>2558</v>
      </c>
      <c r="B15" s="629" t="s">
        <v>2797</v>
      </c>
      <c r="C15" s="2697" t="str">
        <f>估价对象房地状况!G15</f>
        <v>估价对象位于沈北新区，园区建设成熟度较好，产业集聚程度较好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v>2</v>
      </c>
      <c r="L15" s="1143"/>
      <c r="M15" s="1134"/>
      <c r="N15" s="1134"/>
      <c r="O15" s="1142"/>
      <c r="P15" s="3201" t="s">
        <v>2559</v>
      </c>
      <c r="Q15" s="1813" t="str">
        <f t="shared" si="6"/>
        <v>产业集聚程度</v>
      </c>
      <c r="R15" s="774" t="s">
        <v>17</v>
      </c>
      <c r="S15" s="775">
        <f t="shared" si="0"/>
        <v>100</v>
      </c>
      <c r="T15" s="774" t="s">
        <v>17</v>
      </c>
      <c r="U15" s="775">
        <f t="shared" si="1"/>
        <v>100</v>
      </c>
      <c r="V15" s="774" t="s">
        <v>17</v>
      </c>
      <c r="W15" s="775">
        <f t="shared" si="2"/>
        <v>100</v>
      </c>
      <c r="X15" s="1816"/>
      <c r="Y15" s="3201" t="s">
        <v>2559</v>
      </c>
      <c r="Z15" s="1817" t="str">
        <f t="shared" si="7"/>
        <v>产业集聚程度</v>
      </c>
      <c r="AA15" s="1814">
        <f t="shared" si="3"/>
        <v>1</v>
      </c>
      <c r="AB15" s="1814">
        <f t="shared" si="4"/>
        <v>1</v>
      </c>
      <c r="AC15" s="1814">
        <f t="shared" si="5"/>
        <v>1</v>
      </c>
    </row>
    <row r="16" spans="1:29" ht="15">
      <c r="A16" s="428"/>
      <c r="B16" s="630"/>
      <c r="C16" s="447" t="s">
        <v>3066</v>
      </c>
      <c r="D16" s="448"/>
      <c r="E16" s="447" t="s">
        <v>3066</v>
      </c>
      <c r="F16" s="448"/>
      <c r="G16" s="447" t="s">
        <v>3066</v>
      </c>
      <c r="H16" s="450"/>
      <c r="I16" s="447" t="s">
        <v>3066</v>
      </c>
      <c r="J16" s="448"/>
      <c r="K16" s="672"/>
      <c r="L16" s="1143"/>
      <c r="M16" s="1134"/>
      <c r="N16" s="1134"/>
      <c r="O16" s="1142"/>
      <c r="P16" s="3202"/>
      <c r="Q16" s="1813"/>
      <c r="R16" s="774"/>
      <c r="S16" s="775"/>
      <c r="T16" s="774"/>
      <c r="U16" s="775"/>
      <c r="V16" s="774"/>
      <c r="W16" s="775"/>
      <c r="X16" s="1816"/>
      <c r="Y16" s="3202"/>
      <c r="Z16" s="1817"/>
      <c r="AA16" s="1814">
        <v>1</v>
      </c>
      <c r="AB16" s="1814">
        <v>1</v>
      </c>
      <c r="AC16" s="1814">
        <v>1</v>
      </c>
    </row>
    <row r="17" spans="1:29" ht="99.75">
      <c r="A17" s="428"/>
      <c r="B17" s="631" t="s">
        <v>2708</v>
      </c>
      <c r="C17" s="2611" t="str">
        <f>估价对象房地状况!G16</f>
        <v>估价对象周边道路通达状况较好、公共交通通达情况一般、停车较便捷，综合评价交通便捷度一般</v>
      </c>
      <c r="D17" s="450">
        <v>100</v>
      </c>
      <c r="E17" s="452"/>
      <c r="F17" s="455">
        <f>SUMIF(85:85,E18,86:86)-SUMIF(85:85,C18,86:86)+100</f>
        <v>100</v>
      </c>
      <c r="G17" s="452"/>
      <c r="H17" s="455">
        <f>SUMIF(85:85,G18,86:86)-SUMIF(85:85,C18,86:86)+100</f>
        <v>100</v>
      </c>
      <c r="I17" s="454"/>
      <c r="J17" s="450">
        <f>SUMIF(85:85,I18,86:86)-SUMIF(85:85,C18,86:86)+100</f>
        <v>100</v>
      </c>
      <c r="K17" s="673">
        <v>2</v>
      </c>
      <c r="L17" s="1143"/>
      <c r="M17" s="1134"/>
      <c r="N17" s="1134"/>
      <c r="O17" s="1142"/>
      <c r="P17" s="3202"/>
      <c r="Q17" s="1813" t="str">
        <f>B17</f>
        <v>交通便捷度</v>
      </c>
      <c r="R17" s="774" t="s">
        <v>17</v>
      </c>
      <c r="S17" s="775">
        <f>F17</f>
        <v>100</v>
      </c>
      <c r="T17" s="774" t="s">
        <v>17</v>
      </c>
      <c r="U17" s="775">
        <f>H17</f>
        <v>100</v>
      </c>
      <c r="V17" s="774" t="s">
        <v>17</v>
      </c>
      <c r="W17" s="775">
        <f>J17</f>
        <v>100</v>
      </c>
      <c r="X17" s="1816"/>
      <c r="Y17" s="3202"/>
      <c r="Z17" s="1817" t="str">
        <f>Q17</f>
        <v>交通便捷度</v>
      </c>
      <c r="AA17" s="1814">
        <f t="shared" si="3"/>
        <v>1</v>
      </c>
      <c r="AB17" s="1814">
        <f t="shared" si="4"/>
        <v>1</v>
      </c>
      <c r="AC17" s="1814">
        <f t="shared" si="5"/>
        <v>1</v>
      </c>
    </row>
    <row r="18" spans="1:29" ht="15">
      <c r="A18" s="428"/>
      <c r="B18" s="632"/>
      <c r="C18" s="447" t="s">
        <v>3067</v>
      </c>
      <c r="D18" s="448"/>
      <c r="E18" s="447" t="s">
        <v>3067</v>
      </c>
      <c r="F18" s="448"/>
      <c r="G18" s="447" t="s">
        <v>3067</v>
      </c>
      <c r="H18" s="448"/>
      <c r="I18" s="447" t="s">
        <v>3067</v>
      </c>
      <c r="J18" s="448"/>
      <c r="K18" s="672"/>
      <c r="L18" s="1143"/>
      <c r="M18" s="1134"/>
      <c r="N18" s="1134"/>
      <c r="O18" s="1142"/>
      <c r="P18" s="3202"/>
      <c r="Q18" s="1813"/>
      <c r="R18" s="774"/>
      <c r="S18" s="775"/>
      <c r="T18" s="774"/>
      <c r="U18" s="775"/>
      <c r="V18" s="774"/>
      <c r="W18" s="775"/>
      <c r="X18" s="1816"/>
      <c r="Y18" s="3202"/>
      <c r="Z18" s="1817"/>
      <c r="AA18" s="1814">
        <v>1</v>
      </c>
      <c r="AB18" s="1814">
        <v>1</v>
      </c>
      <c r="AC18" s="1814">
        <v>1</v>
      </c>
    </row>
    <row r="19" spans="1:29" ht="15">
      <c r="A19" s="428"/>
      <c r="B19" s="631" t="s">
        <v>2747</v>
      </c>
      <c r="C19" s="2611"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v>1</v>
      </c>
      <c r="L19" s="1143"/>
      <c r="M19" s="1134"/>
      <c r="N19" s="1134"/>
      <c r="O19" s="1142"/>
      <c r="P19" s="3202"/>
      <c r="Q19" s="1813" t="str">
        <f t="shared" ref="Q19:Q33" si="8">B19</f>
        <v>区域土地利用方向</v>
      </c>
      <c r="R19" s="774" t="s">
        <v>17</v>
      </c>
      <c r="S19" s="775">
        <f>F19</f>
        <v>100</v>
      </c>
      <c r="T19" s="774" t="s">
        <v>17</v>
      </c>
      <c r="U19" s="775">
        <f>H19</f>
        <v>100</v>
      </c>
      <c r="V19" s="774" t="s">
        <v>17</v>
      </c>
      <c r="W19" s="775">
        <f>J19</f>
        <v>100</v>
      </c>
      <c r="X19" s="1816"/>
      <c r="Y19" s="3202"/>
      <c r="Z19" s="1817" t="str">
        <f>Q19</f>
        <v>区域土地利用方向</v>
      </c>
      <c r="AA19" s="1814">
        <f t="shared" si="3"/>
        <v>1</v>
      </c>
      <c r="AB19" s="1814">
        <f t="shared" si="4"/>
        <v>1</v>
      </c>
      <c r="AC19" s="1814">
        <f t="shared" si="5"/>
        <v>1</v>
      </c>
    </row>
    <row r="20" spans="1:29" ht="15">
      <c r="A20" s="404"/>
      <c r="B20" s="632"/>
      <c r="C20" s="447" t="s">
        <v>3066</v>
      </c>
      <c r="D20" s="448"/>
      <c r="E20" s="447" t="s">
        <v>3066</v>
      </c>
      <c r="F20" s="448"/>
      <c r="G20" s="447" t="s">
        <v>3066</v>
      </c>
      <c r="H20" s="448"/>
      <c r="I20" s="447" t="s">
        <v>3066</v>
      </c>
      <c r="J20" s="448"/>
      <c r="K20" s="812"/>
      <c r="L20" s="1143"/>
      <c r="M20" s="1134"/>
      <c r="N20" s="1134"/>
      <c r="O20" s="1142"/>
      <c r="P20" s="3202"/>
      <c r="Q20" s="1813"/>
      <c r="R20" s="774"/>
      <c r="S20" s="775"/>
      <c r="T20" s="774"/>
      <c r="U20" s="775"/>
      <c r="V20" s="774"/>
      <c r="W20" s="775"/>
      <c r="X20" s="1816"/>
      <c r="Y20" s="3202"/>
      <c r="Z20" s="1817"/>
      <c r="AA20" s="1814"/>
      <c r="AB20" s="1814"/>
      <c r="AC20" s="1814"/>
    </row>
    <row r="21" spans="1:29" ht="71.25">
      <c r="A21" s="404"/>
      <c r="B21" s="631" t="s">
        <v>2798</v>
      </c>
      <c r="C21" s="2611" t="str">
        <f>估价对象房地状况!G18</f>
        <v>该园区内无污染型企业，绿化情况一般，卫生条件一般，整体环境状况一般</v>
      </c>
      <c r="D21" s="450">
        <v>100</v>
      </c>
      <c r="E21" s="452"/>
      <c r="F21" s="450">
        <f>SUMIF(89:89,E22,90:90)-SUMIF(89:89,C22,90:90)+100</f>
        <v>100</v>
      </c>
      <c r="G21" s="452"/>
      <c r="H21" s="450">
        <f>SUMIF(89:89,G22,90:90)-SUMIF(89:89,C22,90:90)+100</f>
        <v>100</v>
      </c>
      <c r="I21" s="454"/>
      <c r="J21" s="450">
        <f>SUMIF(89:89,I22,90:90)-SUMIF(89:89,C22,90:90)+100</f>
        <v>100</v>
      </c>
      <c r="K21" s="673">
        <v>2</v>
      </c>
      <c r="L21" s="1143"/>
      <c r="M21" s="1134"/>
      <c r="N21" s="1134"/>
      <c r="O21" s="1142"/>
      <c r="P21" s="3202"/>
      <c r="Q21" s="1813" t="str">
        <f t="shared" si="8"/>
        <v>环境状况</v>
      </c>
      <c r="R21" s="774" t="s">
        <v>17</v>
      </c>
      <c r="S21" s="775">
        <f>F21</f>
        <v>100</v>
      </c>
      <c r="T21" s="774" t="s">
        <v>17</v>
      </c>
      <c r="U21" s="775">
        <f>H21</f>
        <v>100</v>
      </c>
      <c r="V21" s="774" t="s">
        <v>17</v>
      </c>
      <c r="W21" s="775">
        <f>J21</f>
        <v>100</v>
      </c>
      <c r="X21" s="1816"/>
      <c r="Y21" s="3202"/>
      <c r="Z21" s="1817" t="str">
        <f>Q21</f>
        <v>环境状况</v>
      </c>
      <c r="AA21" s="1814">
        <f t="shared" si="3"/>
        <v>1</v>
      </c>
      <c r="AB21" s="1814">
        <f t="shared" si="4"/>
        <v>1</v>
      </c>
      <c r="AC21" s="1814">
        <f t="shared" si="5"/>
        <v>1</v>
      </c>
    </row>
    <row r="22" spans="1:29" ht="15">
      <c r="A22" s="404"/>
      <c r="B22" s="632"/>
      <c r="C22" s="447" t="s">
        <v>3067</v>
      </c>
      <c r="D22" s="448"/>
      <c r="E22" s="447" t="s">
        <v>3067</v>
      </c>
      <c r="F22" s="448"/>
      <c r="G22" s="447" t="s">
        <v>3067</v>
      </c>
      <c r="H22" s="448"/>
      <c r="I22" s="447" t="s">
        <v>3067</v>
      </c>
      <c r="J22" s="448"/>
      <c r="K22" s="672"/>
      <c r="L22" s="1143"/>
      <c r="M22" s="1134"/>
      <c r="N22" s="1134"/>
      <c r="O22" s="1142"/>
      <c r="P22" s="3202"/>
      <c r="Q22" s="1813"/>
      <c r="R22" s="774"/>
      <c r="S22" s="775"/>
      <c r="T22" s="774"/>
      <c r="U22" s="775"/>
      <c r="V22" s="774"/>
      <c r="W22" s="775"/>
      <c r="X22" s="1816"/>
      <c r="Y22" s="3202"/>
      <c r="Z22" s="1817"/>
      <c r="AA22" s="1814">
        <v>1</v>
      </c>
      <c r="AB22" s="1814">
        <v>1</v>
      </c>
      <c r="AC22" s="1814">
        <v>1</v>
      </c>
    </row>
    <row r="23" spans="1:29" s="117" customFormat="1" ht="42.75">
      <c r="A23" s="649"/>
      <c r="B23" s="633" t="s">
        <v>2653</v>
      </c>
      <c r="C23" s="2611"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v>2</v>
      </c>
      <c r="L23" s="1135"/>
      <c r="M23" s="1136"/>
      <c r="N23" s="1136"/>
      <c r="O23" s="1137"/>
      <c r="P23" s="3202"/>
      <c r="Q23" s="1798" t="str">
        <f t="shared" si="8"/>
        <v>公共配套设施</v>
      </c>
      <c r="R23" s="770" t="s">
        <v>17</v>
      </c>
      <c r="S23" s="771">
        <f>F23</f>
        <v>100</v>
      </c>
      <c r="T23" s="770" t="s">
        <v>17</v>
      </c>
      <c r="U23" s="771">
        <f>H23</f>
        <v>100</v>
      </c>
      <c r="V23" s="770" t="s">
        <v>17</v>
      </c>
      <c r="W23" s="771">
        <f>J23</f>
        <v>100</v>
      </c>
      <c r="X23" s="772"/>
      <c r="Y23" s="3202"/>
      <c r="Z23" s="55" t="str">
        <f>Q23</f>
        <v>公共配套设施</v>
      </c>
      <c r="AA23" s="1814">
        <f>D23/F23</f>
        <v>1</v>
      </c>
      <c r="AB23" s="1814">
        <f>D23/H23</f>
        <v>1</v>
      </c>
      <c r="AC23" s="1814">
        <f>D23/J23</f>
        <v>1</v>
      </c>
    </row>
    <row r="24" spans="1:29" s="117" customFormat="1" ht="15">
      <c r="A24" s="649"/>
      <c r="B24" s="632"/>
      <c r="C24" s="2704" t="s">
        <v>3067</v>
      </c>
      <c r="D24" s="448"/>
      <c r="E24" s="447" t="s">
        <v>3067</v>
      </c>
      <c r="F24" s="448"/>
      <c r="G24" s="447" t="s">
        <v>3067</v>
      </c>
      <c r="H24" s="448"/>
      <c r="I24" s="447" t="s">
        <v>3067</v>
      </c>
      <c r="J24" s="448"/>
      <c r="K24" s="672"/>
      <c r="L24" s="1135"/>
      <c r="M24" s="1136"/>
      <c r="N24" s="1136"/>
      <c r="O24" s="1137"/>
      <c r="P24" s="3202"/>
      <c r="Q24" s="1798"/>
      <c r="R24" s="770"/>
      <c r="S24" s="771"/>
      <c r="T24" s="770"/>
      <c r="U24" s="771"/>
      <c r="V24" s="770"/>
      <c r="W24" s="771"/>
      <c r="X24" s="772"/>
      <c r="Y24" s="3202"/>
      <c r="Z24" s="55"/>
      <c r="AA24" s="773">
        <v>1</v>
      </c>
      <c r="AB24" s="773">
        <v>1</v>
      </c>
      <c r="AC24" s="773">
        <v>1</v>
      </c>
    </row>
    <row r="25" spans="1:29" s="117" customFormat="1" ht="42.75">
      <c r="A25" s="649"/>
      <c r="B25" s="633" t="s">
        <v>2654</v>
      </c>
      <c r="C25" s="2611" t="str">
        <f>估价对象房地状况!G20</f>
        <v>估价对象所在区域基础设施水平达五通</v>
      </c>
      <c r="D25" s="450">
        <v>100</v>
      </c>
      <c r="E25" s="452"/>
      <c r="F25" s="450">
        <f>SUMIF(93:93,E26,94:94)-SUMIF(93:93,C26,94:94)+100</f>
        <v>100</v>
      </c>
      <c r="G25" s="452"/>
      <c r="H25" s="450">
        <f>SUMIF(93:93,G26,94:94)-SUMIF(93:93,C26,94:94)+100</f>
        <v>100</v>
      </c>
      <c r="I25" s="454"/>
      <c r="J25" s="450">
        <f>SUMIF(93:93,I26,94:94)-SUMIF(93:93,C26,94:94)+100</f>
        <v>100</v>
      </c>
      <c r="K25" s="673">
        <v>1</v>
      </c>
      <c r="L25" s="1135"/>
      <c r="M25" s="1136"/>
      <c r="N25" s="1136"/>
      <c r="O25" s="1137"/>
      <c r="P25" s="3202"/>
      <c r="Q25" s="1798" t="str">
        <f t="shared" ref="Q25" si="9">B25</f>
        <v>基础设施水平</v>
      </c>
      <c r="R25" s="770" t="s">
        <v>17</v>
      </c>
      <c r="S25" s="771">
        <f>F25</f>
        <v>100</v>
      </c>
      <c r="T25" s="770" t="s">
        <v>17</v>
      </c>
      <c r="U25" s="771">
        <f>H25</f>
        <v>100</v>
      </c>
      <c r="V25" s="770" t="s">
        <v>17</v>
      </c>
      <c r="W25" s="771">
        <f>J25</f>
        <v>100</v>
      </c>
      <c r="X25" s="772"/>
      <c r="Y25" s="3202"/>
      <c r="Z25" s="55" t="str">
        <f>Q25</f>
        <v>基础设施水平</v>
      </c>
      <c r="AA25" s="1814">
        <f>D25/F25</f>
        <v>1</v>
      </c>
      <c r="AB25" s="1814">
        <f>D25/H25</f>
        <v>1</v>
      </c>
      <c r="AC25" s="1814">
        <f>D25/J25</f>
        <v>1</v>
      </c>
    </row>
    <row r="26" spans="1:29" s="117" customFormat="1" ht="15">
      <c r="A26" s="649"/>
      <c r="B26" s="632"/>
      <c r="C26" s="2704" t="s">
        <v>3080</v>
      </c>
      <c r="D26" s="448"/>
      <c r="E26" s="2704" t="s">
        <v>3080</v>
      </c>
      <c r="F26" s="448"/>
      <c r="G26" s="2704" t="s">
        <v>3080</v>
      </c>
      <c r="H26" s="448"/>
      <c r="I26" s="2704" t="s">
        <v>3080</v>
      </c>
      <c r="J26" s="448"/>
      <c r="K26" s="672"/>
      <c r="L26" s="1135"/>
      <c r="M26" s="1136"/>
      <c r="N26" s="1136"/>
      <c r="O26" s="1137"/>
      <c r="P26" s="3202"/>
      <c r="Q26" s="1798"/>
      <c r="R26" s="770"/>
      <c r="S26" s="771"/>
      <c r="T26" s="770"/>
      <c r="U26" s="771"/>
      <c r="V26" s="770"/>
      <c r="W26" s="771"/>
      <c r="X26" s="772"/>
      <c r="Y26" s="3202"/>
      <c r="Z26" s="55"/>
      <c r="AA26" s="773">
        <v>1</v>
      </c>
      <c r="AB26" s="773">
        <v>1</v>
      </c>
      <c r="AC26" s="773">
        <v>1</v>
      </c>
    </row>
    <row r="27" spans="1:29" ht="15">
      <c r="A27" s="428"/>
      <c r="B27" s="632" t="s">
        <v>2655</v>
      </c>
      <c r="C27" s="616" t="s">
        <v>3197</v>
      </c>
      <c r="D27" s="435">
        <v>100</v>
      </c>
      <c r="E27" s="634" t="s">
        <v>3197</v>
      </c>
      <c r="F27" s="435">
        <f>SUMIF(95:95,E27,96:96)-SUMIF(95:95,C27,96:96)+100</f>
        <v>100</v>
      </c>
      <c r="G27" s="634" t="s">
        <v>3197</v>
      </c>
      <c r="H27" s="435">
        <f>SUMIF(95:95,G27,96:96)-SUMIF(95:95,C27,96:96)+100</f>
        <v>100</v>
      </c>
      <c r="I27" s="634" t="s">
        <v>3197</v>
      </c>
      <c r="J27" s="435">
        <f>SUMIF(95:95,I27,96:96)-SUMIF(95:95,C27,96:96)+100</f>
        <v>100</v>
      </c>
      <c r="K27" s="673">
        <v>1</v>
      </c>
      <c r="L27" s="1143"/>
      <c r="M27" s="1134"/>
      <c r="N27" s="1134"/>
      <c r="O27" s="1142"/>
      <c r="P27" s="320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2"/>
      <c r="Z27" s="1817" t="str">
        <f t="shared" ref="Z27:Z40" si="13">Q27</f>
        <v>临街状况</v>
      </c>
      <c r="AA27" s="1814">
        <f t="shared" si="3"/>
        <v>1</v>
      </c>
      <c r="AB27" s="1814">
        <f t="shared" si="4"/>
        <v>1</v>
      </c>
      <c r="AC27" s="1814">
        <f t="shared" si="5"/>
        <v>1</v>
      </c>
    </row>
    <row r="28" spans="1:29" ht="28.5">
      <c r="A28" s="428"/>
      <c r="B28" s="633" t="s">
        <v>2690</v>
      </c>
      <c r="C28" s="2717" t="str">
        <f>估价对象房地状况!G22</f>
        <v>支路——未命名道路</v>
      </c>
      <c r="D28" s="450">
        <v>100</v>
      </c>
      <c r="E28" s="3002" t="s">
        <v>3381</v>
      </c>
      <c r="F28" s="450">
        <f>SUMIF(97:97,E29,98:98)-SUMIF(97:97,C29,98:98)+100</f>
        <v>100</v>
      </c>
      <c r="G28" s="3002" t="s">
        <v>3381</v>
      </c>
      <c r="H28" s="450">
        <f>SUMIF(97:97,G29,98:98)-SUMIF(97:97,C29,98:98)+100</f>
        <v>100</v>
      </c>
      <c r="I28" s="3002" t="s">
        <v>3381</v>
      </c>
      <c r="J28" s="450">
        <f>SUMIF(97:97,I29,98:98)-SUMIF(97:97,C29,98:98)+100</f>
        <v>100</v>
      </c>
      <c r="K28" s="673">
        <v>2</v>
      </c>
      <c r="L28" s="1143"/>
      <c r="M28" s="1134"/>
      <c r="N28" s="1134"/>
      <c r="O28" s="1142"/>
      <c r="P28" s="3202"/>
      <c r="Q28" s="1813" t="str">
        <f t="shared" si="8"/>
        <v>毗邻道路的类型与等级</v>
      </c>
      <c r="R28" s="774" t="s">
        <v>17</v>
      </c>
      <c r="S28" s="775">
        <f t="shared" si="10"/>
        <v>100</v>
      </c>
      <c r="T28" s="774" t="s">
        <v>17</v>
      </c>
      <c r="U28" s="775">
        <f t="shared" si="11"/>
        <v>100</v>
      </c>
      <c r="V28" s="774" t="s">
        <v>17</v>
      </c>
      <c r="W28" s="775">
        <f t="shared" si="12"/>
        <v>100</v>
      </c>
      <c r="X28" s="1816"/>
      <c r="Y28" s="3202"/>
      <c r="Z28" s="1817" t="str">
        <f t="shared" si="13"/>
        <v>毗邻道路的类型与等级</v>
      </c>
      <c r="AA28" s="1814">
        <f t="shared" si="3"/>
        <v>1</v>
      </c>
      <c r="AB28" s="1814">
        <f t="shared" si="4"/>
        <v>1</v>
      </c>
      <c r="AC28" s="1814">
        <f t="shared" si="5"/>
        <v>1</v>
      </c>
    </row>
    <row r="29" spans="1:29" ht="15">
      <c r="A29" s="428"/>
      <c r="B29" s="632"/>
      <c r="C29" s="447" t="s">
        <v>3367</v>
      </c>
      <c r="D29" s="448"/>
      <c r="E29" s="447" t="s">
        <v>3367</v>
      </c>
      <c r="F29" s="448"/>
      <c r="G29" s="447" t="s">
        <v>3367</v>
      </c>
      <c r="H29" s="448"/>
      <c r="I29" s="447" t="s">
        <v>3367</v>
      </c>
      <c r="J29" s="448"/>
      <c r="K29" s="613"/>
      <c r="L29" s="1143"/>
      <c r="M29" s="1134"/>
      <c r="N29" s="1134"/>
      <c r="O29" s="1142"/>
      <c r="P29" s="3202"/>
      <c r="Q29" s="1813"/>
      <c r="R29" s="774"/>
      <c r="S29" s="775"/>
      <c r="T29" s="774"/>
      <c r="U29" s="775"/>
      <c r="V29" s="774"/>
      <c r="W29" s="775"/>
      <c r="X29" s="1816"/>
      <c r="Y29" s="3202"/>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2"/>
      <c r="Q30" s="1813" t="str">
        <f t="shared" si="8"/>
        <v>土地级别</v>
      </c>
      <c r="R30" s="774" t="s">
        <v>17</v>
      </c>
      <c r="S30" s="775">
        <f t="shared" si="10"/>
        <v>100</v>
      </c>
      <c r="T30" s="774" t="s">
        <v>17</v>
      </c>
      <c r="U30" s="775">
        <f t="shared" si="11"/>
        <v>100</v>
      </c>
      <c r="V30" s="774" t="s">
        <v>17</v>
      </c>
      <c r="W30" s="775">
        <f t="shared" si="12"/>
        <v>100</v>
      </c>
      <c r="X30" s="1816"/>
      <c r="Y30" s="3202"/>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2"/>
      <c r="Q31" s="1813">
        <f t="shared" si="8"/>
        <v>111</v>
      </c>
      <c r="R31" s="774" t="s">
        <v>17</v>
      </c>
      <c r="S31" s="775">
        <f t="shared" si="10"/>
        <v>100</v>
      </c>
      <c r="T31" s="774" t="s">
        <v>17</v>
      </c>
      <c r="U31" s="775">
        <f t="shared" si="11"/>
        <v>100</v>
      </c>
      <c r="V31" s="774" t="s">
        <v>17</v>
      </c>
      <c r="W31" s="775">
        <f t="shared" si="12"/>
        <v>100</v>
      </c>
      <c r="X31" s="1816"/>
      <c r="Y31" s="3202"/>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03" t="s">
        <v>2564</v>
      </c>
      <c r="Q32" s="1813">
        <f t="shared" si="8"/>
        <v>111</v>
      </c>
      <c r="R32" s="774" t="s">
        <v>17</v>
      </c>
      <c r="S32" s="775">
        <f t="shared" si="10"/>
        <v>100</v>
      </c>
      <c r="T32" s="774" t="s">
        <v>17</v>
      </c>
      <c r="U32" s="775">
        <f t="shared" si="11"/>
        <v>100</v>
      </c>
      <c r="V32" s="774" t="s">
        <v>17</v>
      </c>
      <c r="W32" s="775">
        <f t="shared" si="12"/>
        <v>100</v>
      </c>
      <c r="X32" s="1816"/>
      <c r="Y32" s="3204" t="s">
        <v>2564</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4"/>
      <c r="Q33" s="1813">
        <f t="shared" si="8"/>
        <v>111</v>
      </c>
      <c r="R33" s="777" t="s">
        <v>17</v>
      </c>
      <c r="S33" s="778">
        <f t="shared" si="10"/>
        <v>100</v>
      </c>
      <c r="T33" s="777" t="s">
        <v>17</v>
      </c>
      <c r="U33" s="778">
        <f t="shared" si="11"/>
        <v>100</v>
      </c>
      <c r="V33" s="777" t="s">
        <v>17</v>
      </c>
      <c r="W33" s="778">
        <f t="shared" si="12"/>
        <v>100</v>
      </c>
      <c r="X33" s="779"/>
      <c r="Y33" s="3204"/>
      <c r="Z33" s="780">
        <f t="shared" si="13"/>
        <v>111</v>
      </c>
      <c r="AA33" s="1814">
        <f t="shared" si="3"/>
        <v>1</v>
      </c>
      <c r="AB33" s="1814">
        <f t="shared" si="4"/>
        <v>1</v>
      </c>
      <c r="AC33" s="1814">
        <f t="shared" si="5"/>
        <v>1</v>
      </c>
    </row>
    <row r="34" spans="1:29" ht="15">
      <c r="A34" s="440" t="s">
        <v>2562</v>
      </c>
      <c r="B34" s="456" t="s">
        <v>2750</v>
      </c>
      <c r="C34" s="679">
        <v>165383</v>
      </c>
      <c r="D34" s="467">
        <v>100</v>
      </c>
      <c r="E34" s="679">
        <f>土地案例!D2</f>
        <v>98406</v>
      </c>
      <c r="F34" s="467">
        <f>LOOKUP(E34,108:108,109:109)-LOOKUP(C34,108:108,109:109)+100</f>
        <v>98</v>
      </c>
      <c r="G34" s="679">
        <f>土地案例!D4</f>
        <v>10016</v>
      </c>
      <c r="H34" s="467">
        <f>LOOKUP(G34,108:108,109:109)-LOOKUP(C34,108:108,109:109)+100</f>
        <v>94</v>
      </c>
      <c r="I34" s="530">
        <f>土地案例!D5</f>
        <v>46693</v>
      </c>
      <c r="J34" s="467">
        <f>LOOKUP(I34,108:108,109:109)-LOOKUP(C34,108:108,109:109)+100</f>
        <v>96</v>
      </c>
      <c r="K34" s="613"/>
      <c r="L34" s="1143"/>
      <c r="M34" s="1134"/>
      <c r="N34" s="1134"/>
      <c r="O34" s="1142"/>
      <c r="P34" s="3204"/>
      <c r="Q34" s="1813" t="str">
        <f>B34</f>
        <v>宗地面积</v>
      </c>
      <c r="R34" s="774" t="s">
        <v>17</v>
      </c>
      <c r="S34" s="775">
        <f t="shared" si="10"/>
        <v>98</v>
      </c>
      <c r="T34" s="774" t="s">
        <v>17</v>
      </c>
      <c r="U34" s="775">
        <f t="shared" si="11"/>
        <v>94</v>
      </c>
      <c r="V34" s="774" t="s">
        <v>17</v>
      </c>
      <c r="W34" s="775">
        <f t="shared" si="12"/>
        <v>96</v>
      </c>
      <c r="X34" s="1816"/>
      <c r="Y34" s="3204"/>
      <c r="Z34" s="1817" t="str">
        <f t="shared" si="13"/>
        <v>宗地面积</v>
      </c>
      <c r="AA34" s="1814">
        <f t="shared" si="3"/>
        <v>1.0204081632653061</v>
      </c>
      <c r="AB34" s="1814">
        <f t="shared" si="4"/>
        <v>1.0638297872340425</v>
      </c>
      <c r="AC34" s="1814">
        <f t="shared" si="5"/>
        <v>1.0416666666666667</v>
      </c>
    </row>
    <row r="35" spans="1:29" ht="15">
      <c r="A35" s="472"/>
      <c r="B35" s="422" t="s">
        <v>2751</v>
      </c>
      <c r="C35" s="2617" t="s">
        <v>3354</v>
      </c>
      <c r="D35" s="435">
        <v>100</v>
      </c>
      <c r="E35" s="2617" t="s">
        <v>3354</v>
      </c>
      <c r="F35" s="435">
        <f>SUMIF(110:110,E35,111:111)-SUMIF(110:110,C35,111:111)+100</f>
        <v>100</v>
      </c>
      <c r="G35" s="2617" t="s">
        <v>3354</v>
      </c>
      <c r="H35" s="435">
        <f>SUMIF(110:110,G35,111:111)-SUMIF(110:110,C35,111:111)+100</f>
        <v>100</v>
      </c>
      <c r="I35" s="2617" t="s">
        <v>3354</v>
      </c>
      <c r="J35" s="435">
        <f>SUMIF(110:110,I35,111:111)-SUMIF(110:110,C35,111:111)+100</f>
        <v>100</v>
      </c>
      <c r="K35" s="612">
        <v>1</v>
      </c>
      <c r="L35" s="1143"/>
      <c r="M35" s="1134"/>
      <c r="N35" s="1134"/>
      <c r="O35" s="1142"/>
      <c r="P35" s="3204"/>
      <c r="Q35" s="1813" t="str">
        <f t="shared" ref="Q35:Q40" si="14">B35</f>
        <v>宗地形状</v>
      </c>
      <c r="R35" s="774" t="s">
        <v>17</v>
      </c>
      <c r="S35" s="775">
        <f t="shared" si="10"/>
        <v>100</v>
      </c>
      <c r="T35" s="774" t="s">
        <v>17</v>
      </c>
      <c r="U35" s="775">
        <f t="shared" si="11"/>
        <v>100</v>
      </c>
      <c r="V35" s="774" t="s">
        <v>17</v>
      </c>
      <c r="W35" s="775">
        <f t="shared" si="12"/>
        <v>100</v>
      </c>
      <c r="X35" s="1816"/>
      <c r="Y35" s="3204"/>
      <c r="Z35" s="1817" t="str">
        <f t="shared" si="13"/>
        <v>宗地形状</v>
      </c>
      <c r="AA35" s="1814">
        <f t="shared" si="3"/>
        <v>1</v>
      </c>
      <c r="AB35" s="1814">
        <f t="shared" si="4"/>
        <v>1</v>
      </c>
      <c r="AC35" s="1814">
        <f t="shared" si="5"/>
        <v>1</v>
      </c>
    </row>
    <row r="36" spans="1:29" s="117" customFormat="1" ht="15">
      <c r="A36" s="473"/>
      <c r="B36" s="422" t="s">
        <v>2753</v>
      </c>
      <c r="C36" s="2706" t="s">
        <v>3080</v>
      </c>
      <c r="D36" s="136">
        <v>100</v>
      </c>
      <c r="E36" s="2706" t="s">
        <v>3080</v>
      </c>
      <c r="F36" s="435">
        <f>SUMIF(112:112,E36,113:113)-SUMIF(112:112,C36,113:113)+100</f>
        <v>100</v>
      </c>
      <c r="G36" s="2706" t="s">
        <v>3080</v>
      </c>
      <c r="H36" s="435">
        <f>SUMIF(112:112,G36,113:113)-SUMIF(112:112,C36,113:113)+100</f>
        <v>100</v>
      </c>
      <c r="I36" s="2706" t="s">
        <v>3080</v>
      </c>
      <c r="J36" s="435">
        <f>SUMIF(112:112,I36,113:113)-SUMIF(112:112,C36,113:113)+100</f>
        <v>100</v>
      </c>
      <c r="K36" s="612">
        <v>1</v>
      </c>
      <c r="L36" s="1135"/>
      <c r="M36" s="1136"/>
      <c r="N36" s="1136"/>
      <c r="O36" s="1137"/>
      <c r="P36" s="3204"/>
      <c r="Q36" s="1813" t="str">
        <f t="shared" si="14"/>
        <v>宗地开发程度</v>
      </c>
      <c r="R36" s="770" t="s">
        <v>17</v>
      </c>
      <c r="S36" s="771">
        <f t="shared" si="10"/>
        <v>100</v>
      </c>
      <c r="T36" s="770" t="s">
        <v>17</v>
      </c>
      <c r="U36" s="771">
        <f t="shared" si="11"/>
        <v>100</v>
      </c>
      <c r="V36" s="770" t="s">
        <v>17</v>
      </c>
      <c r="W36" s="771">
        <f t="shared" si="12"/>
        <v>100</v>
      </c>
      <c r="X36" s="772"/>
      <c r="Y36" s="3204"/>
      <c r="Z36" s="55" t="str">
        <f t="shared" si="13"/>
        <v>宗地开发程度</v>
      </c>
      <c r="AA36" s="773">
        <f t="shared" si="3"/>
        <v>1</v>
      </c>
      <c r="AB36" s="773">
        <f t="shared" si="4"/>
        <v>1</v>
      </c>
      <c r="AC36" s="773">
        <f t="shared" si="5"/>
        <v>1</v>
      </c>
    </row>
    <row r="37" spans="1:29" ht="15">
      <c r="A37" s="472"/>
      <c r="B37" s="422" t="s">
        <v>2754</v>
      </c>
      <c r="C37" s="2617" t="s">
        <v>3066</v>
      </c>
      <c r="D37" s="435">
        <v>100</v>
      </c>
      <c r="E37" s="2617" t="s">
        <v>3066</v>
      </c>
      <c r="F37" s="435">
        <f>SUMIF(114:114,E37,115:115)-SUMIF(114:114,C37,115:115)+100</f>
        <v>100</v>
      </c>
      <c r="G37" s="2617" t="s">
        <v>3066</v>
      </c>
      <c r="H37" s="435">
        <f>SUMIF(114:114,G37,115:115)-SUMIF(114:114,C37,115:115)+100</f>
        <v>100</v>
      </c>
      <c r="I37" s="2617" t="s">
        <v>3066</v>
      </c>
      <c r="J37" s="435">
        <f>SUMIF(114:114,I37,115:115)-SUMIF(114:114,C37,115:115)+100</f>
        <v>100</v>
      </c>
      <c r="K37" s="612">
        <v>1</v>
      </c>
      <c r="L37" s="1143"/>
      <c r="M37" s="1134"/>
      <c r="N37" s="1134"/>
      <c r="O37" s="1142"/>
      <c r="P37" s="3204" t="s">
        <v>2564</v>
      </c>
      <c r="Q37" s="1813" t="str">
        <f t="shared" si="14"/>
        <v>工程地质条件</v>
      </c>
      <c r="R37" s="774" t="s">
        <v>17</v>
      </c>
      <c r="S37" s="775">
        <f t="shared" si="10"/>
        <v>100</v>
      </c>
      <c r="T37" s="774" t="s">
        <v>17</v>
      </c>
      <c r="U37" s="775">
        <f t="shared" si="11"/>
        <v>100</v>
      </c>
      <c r="V37" s="774" t="s">
        <v>17</v>
      </c>
      <c r="W37" s="775">
        <f t="shared" si="12"/>
        <v>100</v>
      </c>
      <c r="X37" s="1816"/>
      <c r="Y37" s="3204"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4"/>
      <c r="Q38" s="1813">
        <f t="shared" si="14"/>
        <v>111</v>
      </c>
      <c r="R38" s="774" t="s">
        <v>17</v>
      </c>
      <c r="S38" s="775">
        <f t="shared" si="10"/>
        <v>100</v>
      </c>
      <c r="T38" s="774" t="s">
        <v>17</v>
      </c>
      <c r="U38" s="775">
        <f t="shared" si="11"/>
        <v>100</v>
      </c>
      <c r="V38" s="774" t="s">
        <v>17</v>
      </c>
      <c r="W38" s="775">
        <f t="shared" si="12"/>
        <v>100</v>
      </c>
      <c r="X38" s="1816"/>
      <c r="Y38" s="320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4"/>
      <c r="Q39" s="1813">
        <f t="shared" si="14"/>
        <v>111</v>
      </c>
      <c r="R39" s="774" t="s">
        <v>17</v>
      </c>
      <c r="S39" s="775">
        <f t="shared" si="10"/>
        <v>100</v>
      </c>
      <c r="T39" s="774" t="s">
        <v>17</v>
      </c>
      <c r="U39" s="775">
        <f t="shared" si="11"/>
        <v>100</v>
      </c>
      <c r="V39" s="774" t="s">
        <v>17</v>
      </c>
      <c r="W39" s="775">
        <f t="shared" si="12"/>
        <v>100</v>
      </c>
      <c r="X39" s="1816"/>
      <c r="Y39" s="3204"/>
      <c r="Z39" s="1817">
        <f t="shared" si="13"/>
        <v>111</v>
      </c>
      <c r="AA39" s="1814">
        <f t="shared" si="3"/>
        <v>1</v>
      </c>
      <c r="AB39" s="1814">
        <f t="shared" si="4"/>
        <v>1</v>
      </c>
      <c r="AC39" s="1814">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4"/>
      <c r="Q40" s="1813">
        <f t="shared" si="14"/>
        <v>111</v>
      </c>
      <c r="R40" s="777" t="s">
        <v>17</v>
      </c>
      <c r="S40" s="778">
        <f t="shared" si="10"/>
        <v>100</v>
      </c>
      <c r="T40" s="777" t="s">
        <v>17</v>
      </c>
      <c r="U40" s="778">
        <f t="shared" si="11"/>
        <v>100</v>
      </c>
      <c r="V40" s="777" t="s">
        <v>17</v>
      </c>
      <c r="W40" s="778">
        <f t="shared" si="12"/>
        <v>100</v>
      </c>
      <c r="X40" s="779"/>
      <c r="Y40" s="3204"/>
      <c r="Z40" s="780">
        <f t="shared" si="13"/>
        <v>111</v>
      </c>
      <c r="AA40" s="1814">
        <f t="shared" si="3"/>
        <v>1</v>
      </c>
      <c r="AB40" s="1814">
        <f t="shared" si="4"/>
        <v>1</v>
      </c>
      <c r="AC40" s="1814">
        <f t="shared" si="5"/>
        <v>1</v>
      </c>
    </row>
    <row r="41" spans="1:29" ht="15">
      <c r="A41" s="479" t="s">
        <v>2719</v>
      </c>
      <c r="B41" s="2708" t="s">
        <v>3370</v>
      </c>
      <c r="C41" s="682" t="s">
        <v>1</v>
      </c>
      <c r="D41" s="481"/>
      <c r="E41" s="482">
        <f>土地案例!$K$2</f>
        <v>355</v>
      </c>
      <c r="F41" s="483"/>
      <c r="G41" s="484">
        <f>土地案例!$K$4</f>
        <v>301</v>
      </c>
      <c r="H41" s="485"/>
      <c r="I41" s="482">
        <f>土地案例!$K$5</f>
        <v>302</v>
      </c>
      <c r="J41" s="485"/>
      <c r="K41" s="783"/>
      <c r="L41" s="1146"/>
      <c r="M41" s="1134"/>
      <c r="N41" s="1134"/>
      <c r="O41" s="1147"/>
      <c r="P41" s="3198" t="str">
        <f>A41</f>
        <v>成交单价</v>
      </c>
      <c r="Q41" s="3198"/>
      <c r="R41" s="3200">
        <f>E41</f>
        <v>355</v>
      </c>
      <c r="S41" s="3200"/>
      <c r="T41" s="3200">
        <f>G41</f>
        <v>301</v>
      </c>
      <c r="U41" s="3200"/>
      <c r="V41" s="3200">
        <f>I41</f>
        <v>302</v>
      </c>
      <c r="W41" s="3200"/>
      <c r="X41" s="759"/>
      <c r="Y41" s="781"/>
      <c r="Z41" s="759"/>
      <c r="AA41" s="759"/>
      <c r="AB41" s="759"/>
      <c r="AC41" s="759"/>
    </row>
    <row r="42" spans="1:29" ht="15.75" thickBot="1">
      <c r="A42" s="486" t="s">
        <v>2668</v>
      </c>
      <c r="B42" s="683"/>
      <c r="C42" s="490">
        <f>R43</f>
        <v>317</v>
      </c>
      <c r="D42" s="489"/>
      <c r="E42" s="490">
        <f>R42</f>
        <v>345</v>
      </c>
      <c r="F42" s="491"/>
      <c r="G42" s="488">
        <f>T42</f>
        <v>305</v>
      </c>
      <c r="H42" s="489"/>
      <c r="I42" s="490">
        <f>V42</f>
        <v>300</v>
      </c>
      <c r="J42" s="489"/>
      <c r="K42" s="784"/>
      <c r="L42" s="1146"/>
      <c r="M42" s="1134"/>
      <c r="N42" s="1134"/>
      <c r="O42" s="1147"/>
      <c r="P42" s="3198" t="str">
        <f>A42</f>
        <v>比较价值（元/平方米）</v>
      </c>
      <c r="Q42" s="3198"/>
      <c r="R42" s="3199">
        <f>ROUND(PRODUCT(R41,AA7:AA40),0)</f>
        <v>345</v>
      </c>
      <c r="S42" s="3199"/>
      <c r="T42" s="3199">
        <f>ROUND(PRODUCT(T41,AB7:AB40),0)</f>
        <v>305</v>
      </c>
      <c r="U42" s="3199"/>
      <c r="V42" s="3199">
        <f>ROUND(PRODUCT(V41,AC7:AC40),0)</f>
        <v>300</v>
      </c>
      <c r="W42" s="3199"/>
      <c r="X42" s="759"/>
      <c r="Y42" s="759"/>
      <c r="Z42" s="759"/>
      <c r="AA42" s="759"/>
      <c r="AB42" s="759"/>
      <c r="AC42" s="759"/>
    </row>
    <row r="43" spans="1:29" ht="15.75" thickBot="1">
      <c r="A43" s="492" t="s">
        <v>2669</v>
      </c>
      <c r="B43" s="493"/>
      <c r="C43" s="494">
        <f>R43</f>
        <v>317</v>
      </c>
      <c r="D43" s="494"/>
      <c r="E43" s="494"/>
      <c r="F43" s="494"/>
      <c r="G43" s="494"/>
      <c r="H43" s="494"/>
      <c r="I43" s="494"/>
      <c r="J43" s="494"/>
      <c r="K43" s="785"/>
      <c r="L43" s="1146"/>
      <c r="M43" s="1134"/>
      <c r="N43" s="1134"/>
      <c r="O43" s="1147"/>
      <c r="P43" s="3195" t="str">
        <f>A43</f>
        <v>估价对象XX用房的比较价值（楼面单价，元/平方米）</v>
      </c>
      <c r="Q43" s="3196"/>
      <c r="R43" s="3197">
        <f>ROUND(AVERAGE(R42:V42),0)</f>
        <v>317</v>
      </c>
      <c r="S43" s="3197"/>
      <c r="T43" s="3197"/>
      <c r="U43" s="3197"/>
      <c r="V43" s="3197"/>
      <c r="W43" s="319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f>IF(E41&lt;E42,E42/E41-1,E41/E42-1)</f>
        <v>2.8985507246376718E-2</v>
      </c>
      <c r="F46" s="500" t="str">
        <f>IF(OR(E46&gt;=0.3,E46&lt;=-0.3),"超过30%","")</f>
        <v/>
      </c>
      <c r="G46" s="499">
        <f>IF(G41&lt;G42,G42/G41-1,G41/G42-1)</f>
        <v>1.3289036544850585E-2</v>
      </c>
      <c r="H46" s="500" t="str">
        <f>IF(OR(G46&gt;=0.3,G46&lt;=-0.3),"超过30%","")</f>
        <v/>
      </c>
      <c r="I46" s="499">
        <f>IF(I41&lt;I42,I42/I41-1,I41/I42-1)</f>
        <v>6.6666666666665986E-3</v>
      </c>
      <c r="J46" s="500" t="str">
        <f>IF(OR(I46&gt;=0.3,I46&lt;=-0.3),"超过30%","")</f>
        <v/>
      </c>
      <c r="K46" s="1108"/>
      <c r="L46" s="1109"/>
      <c r="M46" s="1134"/>
      <c r="N46" s="1134"/>
      <c r="O46" s="1147"/>
    </row>
    <row r="47" spans="1:29" ht="13.5" customHeight="1">
      <c r="A47" s="1147"/>
      <c r="B47" s="1147"/>
      <c r="C47" s="497" t="s">
        <v>2671</v>
      </c>
      <c r="D47" s="501"/>
      <c r="E47" s="499">
        <f>IF(E42&lt;G42,G42/E42-1,E42/G42-1)</f>
        <v>0.13114754098360648</v>
      </c>
      <c r="F47" s="500" t="str">
        <f>IF(OR(E47&gt;=0.2,E47&lt;=-0.2),"超过20%","")</f>
        <v/>
      </c>
      <c r="G47" s="499">
        <f>IF(G42&lt;I42,I42/G42-1,G42/I42-1)</f>
        <v>1.6666666666666607E-2</v>
      </c>
      <c r="H47" s="500" t="str">
        <f>IF(OR(G47&gt;=0.2,G47&lt;=-0.2),"超过20%","")</f>
        <v/>
      </c>
      <c r="I47" s="499">
        <f>IF(I42&lt;E42,E42/I42-1,I42/E42-1)</f>
        <v>0.14999999999999991</v>
      </c>
      <c r="J47" s="500" t="str">
        <f>IF(OR(I47&gt;=0.2,I47&lt;=-0.2),"超过20%","")</f>
        <v/>
      </c>
      <c r="K47" s="1108"/>
      <c r="L47" s="1109"/>
      <c r="M47" s="1147"/>
      <c r="N47" s="1147"/>
      <c r="O47" s="1147"/>
    </row>
    <row r="48" spans="1:29" s="502" customFormat="1" ht="13.5" customHeight="1">
      <c r="A48" s="1148"/>
      <c r="B48" s="1148"/>
      <c r="C48" s="497" t="s">
        <v>2672</v>
      </c>
      <c r="D48" s="501"/>
      <c r="E48" s="499">
        <f>IF(E41&lt;G41,G41/E41-1,E41/G41-1)</f>
        <v>0.17940199335548179</v>
      </c>
      <c r="F48" s="500" t="str">
        <f>IF(OR(E48&gt;=0.3,E48&lt;=-0.3),"超过30%","")</f>
        <v/>
      </c>
      <c r="G48" s="499">
        <f>IF(G41&lt;I41,I41/G41-1,G41/I41-1)</f>
        <v>3.3222591362125353E-3</v>
      </c>
      <c r="H48" s="500" t="str">
        <f>IF(OR(G48&gt;=0.3,G48&lt;=-0.3),"超过30%","")</f>
        <v/>
      </c>
      <c r="I48" s="499">
        <f>IF(I41&lt;E41,E41/I41-1,I41/E41-1)</f>
        <v>0.17549668874172175</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2757</v>
      </c>
      <c r="B50" s="685" t="s">
        <v>2758</v>
      </c>
      <c r="C50" s="2709" t="s">
        <v>2759</v>
      </c>
      <c r="D50" s="2710" t="s">
        <v>2760</v>
      </c>
      <c r="E50" s="686" t="s">
        <v>2761</v>
      </c>
      <c r="F50" s="687" t="s">
        <v>2762</v>
      </c>
      <c r="G50" s="3208" t="s">
        <v>2763</v>
      </c>
      <c r="H50" s="3222"/>
      <c r="I50" s="1817" t="s">
        <v>2799</v>
      </c>
      <c r="J50" s="1817">
        <f>项目基本情况!F35</f>
        <v>0</v>
      </c>
      <c r="K50" s="2712" t="s">
        <v>2765</v>
      </c>
      <c r="L50" s="1109"/>
      <c r="M50" s="1147"/>
      <c r="N50" s="1147"/>
      <c r="O50" s="1147"/>
    </row>
    <row r="51" spans="1:17" s="692" customFormat="1">
      <c r="A51" s="688" t="s">
        <v>2766</v>
      </c>
      <c r="B51" s="689">
        <f>C43</f>
        <v>317</v>
      </c>
      <c r="C51" s="690">
        <v>1</v>
      </c>
      <c r="D51" s="1166">
        <v>1</v>
      </c>
      <c r="E51" s="690">
        <f>'数据-汇总表'!E8+'数据-汇总表'!E9</f>
        <v>1611</v>
      </c>
      <c r="F51" s="691">
        <f t="shared" ref="F51:F60" si="15">ROUND(B51*E51/10000,0)</f>
        <v>51</v>
      </c>
      <c r="G51" s="3223"/>
      <c r="H51" s="3198"/>
      <c r="I51" s="945">
        <v>1</v>
      </c>
      <c r="J51" s="945">
        <v>1</v>
      </c>
      <c r="K51" s="1148"/>
      <c r="L51" s="944"/>
      <c r="M51" s="944"/>
      <c r="N51" s="944"/>
      <c r="O51" s="944"/>
    </row>
    <row r="52" spans="1:17" s="692" customFormat="1">
      <c r="A52" s="693" t="s">
        <v>2767</v>
      </c>
      <c r="B52" s="262">
        <f>ROUND($C$43*C52*D52,0)</f>
        <v>0</v>
      </c>
      <c r="C52" s="200">
        <f t="shared" ref="C52:C60" si="16">IF($C$50="北京市系数",I52,J52)</f>
        <v>0</v>
      </c>
      <c r="D52" s="1167">
        <v>0.25</v>
      </c>
      <c r="E52" s="694"/>
      <c r="F52" s="691">
        <f t="shared" si="15"/>
        <v>0</v>
      </c>
      <c r="G52" s="3224" t="s">
        <v>2768</v>
      </c>
      <c r="H52" s="1107">
        <f>项目基本情况!B37</f>
        <v>0</v>
      </c>
      <c r="I52" s="945">
        <f>SUMIF(修正!A45:A56,H52,修正!B45:B56)</f>
        <v>0</v>
      </c>
      <c r="J52" s="946"/>
      <c r="K52" s="1147"/>
      <c r="L52" s="944"/>
      <c r="M52" s="944"/>
      <c r="N52" s="944"/>
      <c r="O52" s="944"/>
    </row>
    <row r="53" spans="1:17" s="692" customFormat="1">
      <c r="A53" s="693" t="s">
        <v>2769</v>
      </c>
      <c r="B53" s="262">
        <f t="shared" ref="B53:B60" si="17">ROUND($C$43*C53*D53,0)</f>
        <v>0</v>
      </c>
      <c r="C53" s="200">
        <f t="shared" si="16"/>
        <v>0</v>
      </c>
      <c r="D53" s="1167">
        <v>0.25</v>
      </c>
      <c r="E53" s="694"/>
      <c r="F53" s="691">
        <f t="shared" si="15"/>
        <v>0</v>
      </c>
      <c r="G53" s="3224"/>
      <c r="H53" s="1107">
        <f>项目基本情况!B37</f>
        <v>0</v>
      </c>
      <c r="I53" s="945">
        <f>SUMIF(修正!A45:A56,H53,修正!C45:C56)</f>
        <v>0</v>
      </c>
      <c r="J53" s="946"/>
      <c r="K53" s="1148"/>
      <c r="L53" s="944"/>
      <c r="M53" s="944"/>
      <c r="N53" s="944"/>
      <c r="O53" s="944"/>
    </row>
    <row r="54" spans="1:17" s="692" customFormat="1">
      <c r="A54" s="693" t="s">
        <v>2770</v>
      </c>
      <c r="B54" s="262">
        <f t="shared" si="17"/>
        <v>0</v>
      </c>
      <c r="C54" s="200">
        <f t="shared" si="16"/>
        <v>0</v>
      </c>
      <c r="D54" s="1167">
        <v>0.25</v>
      </c>
      <c r="E54" s="694"/>
      <c r="F54" s="691">
        <f t="shared" si="15"/>
        <v>0</v>
      </c>
      <c r="G54" s="3224"/>
      <c r="H54" s="1107">
        <f>项目基本情况!B37</f>
        <v>0</v>
      </c>
      <c r="I54" s="945">
        <f>SUMIF(修正!A45:A56,H54,修正!D45:D56)</f>
        <v>0</v>
      </c>
      <c r="J54" s="946"/>
      <c r="K54" s="1147"/>
      <c r="L54" s="944"/>
      <c r="M54" s="944"/>
      <c r="N54" s="944"/>
      <c r="O54" s="944"/>
    </row>
    <row r="55" spans="1:17" s="692" customFormat="1">
      <c r="A55" s="693" t="s">
        <v>2771</v>
      </c>
      <c r="B55" s="262">
        <f t="shared" si="17"/>
        <v>0</v>
      </c>
      <c r="C55" s="200">
        <f t="shared" si="16"/>
        <v>0</v>
      </c>
      <c r="D55" s="1167">
        <v>0.25</v>
      </c>
      <c r="E55" s="694"/>
      <c r="F55" s="691">
        <f t="shared" si="15"/>
        <v>0</v>
      </c>
      <c r="G55" s="3224"/>
      <c r="H55" s="1107">
        <f>项目基本情况!B37</f>
        <v>0</v>
      </c>
      <c r="I55" s="945">
        <f>SUMIF(修正!A45:A56,H55,修正!E45:E56)</f>
        <v>0</v>
      </c>
      <c r="J55" s="946"/>
      <c r="K55" s="1148"/>
      <c r="L55" s="944"/>
      <c r="M55" s="944"/>
      <c r="N55" s="944"/>
      <c r="O55" s="944"/>
    </row>
    <row r="56" spans="1:17" s="692" customFormat="1">
      <c r="A56" s="693" t="s">
        <v>2772</v>
      </c>
      <c r="B56" s="262">
        <f t="shared" si="17"/>
        <v>0</v>
      </c>
      <c r="C56" s="200">
        <f t="shared" si="16"/>
        <v>0</v>
      </c>
      <c r="D56" s="1167">
        <v>0.25</v>
      </c>
      <c r="E56" s="261">
        <f>'数据-汇总表'!E11</f>
        <v>0</v>
      </c>
      <c r="F56" s="691">
        <f t="shared" si="15"/>
        <v>0</v>
      </c>
      <c r="G56" s="2713" t="s">
        <v>2773</v>
      </c>
      <c r="H56" s="1107">
        <f>项目基本情况!C37</f>
        <v>0</v>
      </c>
      <c r="I56" s="945">
        <f>SUMIF(修正!A45:A56,H56,修正!F45:F56)</f>
        <v>0</v>
      </c>
      <c r="J56" s="946"/>
      <c r="K56" s="1147"/>
      <c r="L56" s="944"/>
      <c r="M56" s="944"/>
      <c r="N56" s="944"/>
      <c r="O56" s="944"/>
    </row>
    <row r="57" spans="1:17" s="692" customFormat="1">
      <c r="A57" s="693" t="s">
        <v>2774</v>
      </c>
      <c r="B57" s="262">
        <f t="shared" si="17"/>
        <v>0</v>
      </c>
      <c r="C57" s="200">
        <f t="shared" si="16"/>
        <v>0</v>
      </c>
      <c r="D57" s="1167">
        <v>0.25</v>
      </c>
      <c r="E57" s="261">
        <f>'数据-汇总表'!E12</f>
        <v>0</v>
      </c>
      <c r="F57" s="691">
        <f t="shared" si="15"/>
        <v>0</v>
      </c>
      <c r="G57" s="1112" t="s">
        <v>2775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2776</v>
      </c>
      <c r="B58" s="262">
        <f t="shared" si="17"/>
        <v>0</v>
      </c>
      <c r="C58" s="200">
        <f t="shared" si="16"/>
        <v>0</v>
      </c>
      <c r="D58" s="1167">
        <v>0.25</v>
      </c>
      <c r="E58" s="261">
        <f>'数据-汇总表'!E13</f>
        <v>0</v>
      </c>
      <c r="F58" s="691">
        <f t="shared" si="15"/>
        <v>0</v>
      </c>
      <c r="G58" s="1112" t="s">
        <v>2777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2778</v>
      </c>
      <c r="B59" s="262">
        <f t="shared" si="17"/>
        <v>0</v>
      </c>
      <c r="C59" s="200">
        <f t="shared" si="16"/>
        <v>0</v>
      </c>
      <c r="D59" s="1167">
        <v>0.25</v>
      </c>
      <c r="E59" s="261">
        <f>'数据-汇总表'!E14</f>
        <v>0</v>
      </c>
      <c r="F59" s="691">
        <f t="shared" si="15"/>
        <v>0</v>
      </c>
      <c r="G59" s="2713" t="s">
        <v>2768</v>
      </c>
      <c r="H59" s="1107">
        <f>项目基本情况!B37</f>
        <v>0</v>
      </c>
      <c r="I59" s="945">
        <f>SUMIF(修正!A45:A56,H59,修正!H45:H56)</f>
        <v>0</v>
      </c>
      <c r="J59" s="946"/>
      <c r="K59" s="1148"/>
      <c r="L59" s="944"/>
      <c r="M59" s="944"/>
      <c r="N59" s="944"/>
      <c r="O59" s="944"/>
    </row>
    <row r="60" spans="1:17" s="692" customFormat="1" ht="15" thickBot="1">
      <c r="A60" s="693" t="s">
        <v>2779</v>
      </c>
      <c r="B60" s="262">
        <f t="shared" si="17"/>
        <v>0</v>
      </c>
      <c r="C60" s="200">
        <f t="shared" si="16"/>
        <v>0</v>
      </c>
      <c r="D60" s="1167">
        <v>0.25</v>
      </c>
      <c r="E60" s="261">
        <f>'数据-汇总表'!E15</f>
        <v>0</v>
      </c>
      <c r="F60" s="691">
        <f t="shared" si="15"/>
        <v>0</v>
      </c>
      <c r="G60" s="2714" t="s">
        <v>2773</v>
      </c>
      <c r="H60" s="1117">
        <f>项目基本情况!C37</f>
        <v>0</v>
      </c>
      <c r="I60" s="945">
        <f>SUMIF(修正!A45:A56,H60,修正!H45:H56)</f>
        <v>0</v>
      </c>
      <c r="J60" s="946"/>
      <c r="K60" s="1147"/>
      <c r="L60" s="944"/>
      <c r="M60" s="944"/>
      <c r="N60" s="944"/>
      <c r="O60" s="944"/>
    </row>
    <row r="61" spans="1:17" s="692" customFormat="1" ht="15" thickBot="1">
      <c r="A61" s="695" t="s">
        <v>2780</v>
      </c>
      <c r="B61" s="696" t="s">
        <v>28</v>
      </c>
      <c r="C61" s="696" t="s">
        <v>29</v>
      </c>
      <c r="D61" s="696" t="s">
        <v>1029</v>
      </c>
      <c r="E61" s="696">
        <f>IF(B41="楼面地价",SUM(E51:E60),'数据-汇总表'!D3)</f>
        <v>1611</v>
      </c>
      <c r="F61" s="697">
        <f>IF(B41="楼面地价",SUM(F51:F60),ROUND(C43*E61/10000,0))</f>
        <v>51</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5" t="s">
        <v>2781</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0" t="s">
        <v>2800</v>
      </c>
      <c r="B66" s="332" t="str">
        <f>"北京市平均增长率"&amp;TEXT(基准地价修正!P24,"0.00%")</f>
        <v>北京市平均增长率1.41%</v>
      </c>
      <c r="C66" s="603">
        <v>100</v>
      </c>
      <c r="D66" s="595">
        <v>99.5</v>
      </c>
      <c r="E66" s="595">
        <v>99</v>
      </c>
      <c r="F66" s="595">
        <v>89.5</v>
      </c>
      <c r="G66" s="595">
        <v>88</v>
      </c>
      <c r="H66" s="595"/>
      <c r="I66" s="595"/>
      <c r="J66" s="595"/>
      <c r="K66" s="595"/>
      <c r="L66" s="595"/>
      <c r="M66" s="1570"/>
      <c r="N66" s="1570"/>
      <c r="O66" s="1572"/>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2953" t="s">
        <v>3352</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0（含）-1</v>
      </c>
      <c r="D74" s="547" t="str">
        <f t="shared" ref="D74:L74" si="20">D75&amp;"（含）"&amp;"-"&amp;E75</f>
        <v>1（含）-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v>1</v>
      </c>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99</v>
      </c>
      <c r="E76" s="544">
        <f t="shared" ref="E76:M76" si="21">IF($B$41="单位面积地价",D76+$K11,D76-$K11)</f>
        <v>98</v>
      </c>
      <c r="F76" s="544">
        <f t="shared" si="21"/>
        <v>97</v>
      </c>
      <c r="G76" s="544">
        <f t="shared" si="21"/>
        <v>96</v>
      </c>
      <c r="H76" s="544">
        <f t="shared" si="21"/>
        <v>95</v>
      </c>
      <c r="I76" s="544">
        <f t="shared" si="21"/>
        <v>94</v>
      </c>
      <c r="J76" s="544">
        <f t="shared" si="21"/>
        <v>93</v>
      </c>
      <c r="K76" s="544">
        <f t="shared" si="21"/>
        <v>92</v>
      </c>
      <c r="L76" s="544">
        <f t="shared" si="21"/>
        <v>91</v>
      </c>
      <c r="M76" s="544">
        <f t="shared" si="21"/>
        <v>90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99</v>
      </c>
      <c r="E88" s="544">
        <f>D88-$K19</f>
        <v>98</v>
      </c>
      <c r="F88" s="544">
        <f>E88-$K19</f>
        <v>97</v>
      </c>
      <c r="G88" s="544">
        <f>F88-$K19</f>
        <v>96</v>
      </c>
      <c r="H88" s="544"/>
      <c r="I88" s="544"/>
      <c r="J88" s="544"/>
      <c r="K88" s="544"/>
      <c r="L88" s="544"/>
      <c r="M88" s="545"/>
      <c r="N88" s="1156"/>
      <c r="O88" s="1156"/>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6"/>
      <c r="O96" s="1156"/>
      <c r="P96" s="45"/>
      <c r="Q96" s="504"/>
    </row>
    <row r="97" spans="1:17" ht="27.75" thickTop="1">
      <c r="A97" s="534"/>
      <c r="B97" s="538" t="s">
        <v>2690</v>
      </c>
      <c r="C97" s="2954" t="s">
        <v>3365</v>
      </c>
      <c r="D97" s="2954" t="s">
        <v>3366</v>
      </c>
      <c r="E97" s="2954" t="s">
        <v>3368</v>
      </c>
      <c r="F97" s="554"/>
      <c r="G97" s="554"/>
      <c r="H97" s="583"/>
      <c r="I97" s="583"/>
      <c r="J97" s="583"/>
      <c r="K97" s="584"/>
      <c r="L97" s="585"/>
      <c r="M97" s="586"/>
      <c r="N97" s="1155"/>
      <c r="O97" s="1155"/>
      <c r="P97" s="45"/>
      <c r="Q97" s="504"/>
    </row>
    <row r="98" spans="1:17" ht="15.75" thickBot="1">
      <c r="A98" s="534"/>
      <c r="B98" s="543"/>
      <c r="C98" s="544">
        <v>100</v>
      </c>
      <c r="D98" s="544">
        <f t="shared" ref="D98:M98" si="23">C98-$K28</f>
        <v>98</v>
      </c>
      <c r="E98" s="544">
        <f t="shared" si="23"/>
        <v>96</v>
      </c>
      <c r="F98" s="544">
        <f t="shared" si="23"/>
        <v>94</v>
      </c>
      <c r="G98" s="544">
        <f t="shared" si="23"/>
        <v>92</v>
      </c>
      <c r="H98" s="544">
        <f t="shared" si="23"/>
        <v>90</v>
      </c>
      <c r="I98" s="544">
        <f t="shared" si="23"/>
        <v>88</v>
      </c>
      <c r="J98" s="544">
        <f t="shared" si="23"/>
        <v>86</v>
      </c>
      <c r="K98" s="544">
        <f t="shared" si="23"/>
        <v>84</v>
      </c>
      <c r="L98" s="544">
        <f t="shared" si="23"/>
        <v>82</v>
      </c>
      <c r="M98" s="544">
        <f t="shared" si="23"/>
        <v>80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2562</v>
      </c>
      <c r="B107" s="528" t="s">
        <v>2790</v>
      </c>
      <c r="C107" s="529" t="str">
        <f t="shared" ref="C107:L107" si="25">C108&amp;"(含)"&amp;"-"&amp;D108</f>
        <v>0(含)-20000</v>
      </c>
      <c r="D107" s="529" t="str">
        <f t="shared" si="25"/>
        <v>20000(含)-40000</v>
      </c>
      <c r="E107" s="529" t="str">
        <f t="shared" si="25"/>
        <v>40000(含)-60000</v>
      </c>
      <c r="F107" s="529" t="str">
        <f t="shared" si="25"/>
        <v>60000(含)-80000</v>
      </c>
      <c r="G107" s="529" t="str">
        <f t="shared" si="25"/>
        <v>80000(含)-100000</v>
      </c>
      <c r="H107" s="529" t="str">
        <f t="shared" si="25"/>
        <v>100000(含)-150000</v>
      </c>
      <c r="I107" s="529" t="str">
        <f t="shared" si="25"/>
        <v>150000(含)-200000</v>
      </c>
      <c r="J107" s="529" t="str">
        <f t="shared" si="25"/>
        <v>200000(含)-250000</v>
      </c>
      <c r="K107" s="1769" t="str">
        <f t="shared" si="25"/>
        <v>250000(含)-</v>
      </c>
      <c r="L107" s="1769" t="str">
        <f t="shared" si="25"/>
        <v>(含)-</v>
      </c>
      <c r="M107" s="1770" t="str">
        <f>M108&amp;"(含)"&amp;"-"&amp;P108</f>
        <v>(含)-</v>
      </c>
      <c r="N107" s="1155"/>
      <c r="O107" s="1155"/>
      <c r="P107" s="45"/>
      <c r="Q107" s="504"/>
    </row>
    <row r="108" spans="1:17" ht="15">
      <c r="A108" s="534"/>
      <c r="B108" s="546"/>
      <c r="C108" s="595">
        <v>0</v>
      </c>
      <c r="D108" s="595">
        <v>20000</v>
      </c>
      <c r="E108" s="595">
        <v>40000</v>
      </c>
      <c r="F108" s="595">
        <v>60000</v>
      </c>
      <c r="G108" s="595">
        <v>80000</v>
      </c>
      <c r="H108" s="595">
        <v>100000</v>
      </c>
      <c r="I108" s="595">
        <v>150000</v>
      </c>
      <c r="J108" s="596">
        <v>200000</v>
      </c>
      <c r="K108" s="596">
        <v>250000</v>
      </c>
      <c r="L108" s="597"/>
      <c r="M108" s="598"/>
      <c r="N108" s="1155"/>
      <c r="O108" s="1155"/>
      <c r="P108" s="45"/>
      <c r="Q108" s="504"/>
    </row>
    <row r="109" spans="1:17" ht="15.75" thickBot="1">
      <c r="A109" s="534"/>
      <c r="B109" s="543"/>
      <c r="C109" s="570">
        <v>100</v>
      </c>
      <c r="D109" s="591">
        <v>101</v>
      </c>
      <c r="E109" s="591">
        <v>102</v>
      </c>
      <c r="F109" s="591">
        <v>103</v>
      </c>
      <c r="G109" s="591">
        <v>104</v>
      </c>
      <c r="H109" s="591">
        <v>105</v>
      </c>
      <c r="I109" s="591">
        <v>106</v>
      </c>
      <c r="J109" s="591">
        <v>107</v>
      </c>
      <c r="K109" s="591">
        <v>108</v>
      </c>
      <c r="L109" s="591"/>
      <c r="M109" s="592"/>
      <c r="N109" s="1156"/>
      <c r="O109" s="1156"/>
      <c r="P109" s="45"/>
      <c r="Q109" s="504"/>
    </row>
    <row r="110" spans="1:17" ht="15" thickTop="1">
      <c r="A110" s="599"/>
      <c r="B110" s="538" t="s">
        <v>2791</v>
      </c>
      <c r="C110" s="2955" t="s">
        <v>3353</v>
      </c>
      <c r="D110" s="2955" t="s">
        <v>3355</v>
      </c>
      <c r="E110" s="2955" t="s">
        <v>3356</v>
      </c>
      <c r="F110" s="2955" t="s">
        <v>3357</v>
      </c>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6"/>
      <c r="O111" s="1156"/>
      <c r="P111" s="45"/>
      <c r="Q111" s="504"/>
    </row>
    <row r="112" spans="1:17" s="471" customFormat="1" ht="15" thickTop="1">
      <c r="A112" s="593"/>
      <c r="B112" s="538" t="s">
        <v>2793</v>
      </c>
      <c r="C112" s="2954" t="s">
        <v>3358</v>
      </c>
      <c r="D112" s="2954" t="s">
        <v>3359</v>
      </c>
      <c r="E112" s="2954" t="s">
        <v>3360</v>
      </c>
      <c r="F112" s="2954" t="s">
        <v>3361</v>
      </c>
      <c r="G112" s="2954" t="s">
        <v>3362</v>
      </c>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7"/>
      <c r="O113" s="1157"/>
      <c r="P113" s="558"/>
      <c r="Q113" s="559"/>
    </row>
    <row r="114" spans="1:17" ht="15" thickTop="1">
      <c r="A114" s="599"/>
      <c r="B114" s="538" t="s">
        <v>2794</v>
      </c>
      <c r="C114" s="2954" t="s">
        <v>3363</v>
      </c>
      <c r="D114" s="2954" t="s">
        <v>3364</v>
      </c>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42" priority="14" stopIfTrue="1" operator="containsText" text="超过">
      <formula>NOT(ISERROR(SEARCH("超过",F46)))</formula>
    </cfRule>
  </conditionalFormatting>
  <conditionalFormatting sqref="J48">
    <cfRule type="containsText" dxfId="141" priority="13" stopIfTrue="1" operator="containsText" text="超过">
      <formula>NOT(ISERROR(SEARCH("超过",J48)))</formula>
    </cfRule>
  </conditionalFormatting>
  <conditionalFormatting sqref="H48">
    <cfRule type="containsText" dxfId="140" priority="12" stopIfTrue="1" operator="containsText" text="超过">
      <formula>NOT(ISERROR(SEARCH("超过",H48)))</formula>
    </cfRule>
  </conditionalFormatting>
  <conditionalFormatting sqref="F48">
    <cfRule type="containsText" dxfId="139" priority="11" stopIfTrue="1" operator="containsText" text="超过">
      <formula>NOT(ISERROR(SEARCH("超过",F48)))</formula>
    </cfRule>
  </conditionalFormatting>
  <conditionalFormatting sqref="F47 H47 J47">
    <cfRule type="containsText" dxfId="138" priority="10" stopIfTrue="1" operator="containsText" text="超过">
      <formula>NOT(ISERROR(SEARCH("超过",F47)))</formula>
    </cfRule>
  </conditionalFormatting>
  <conditionalFormatting sqref="E46">
    <cfRule type="expression" dxfId="137" priority="9" stopIfTrue="1">
      <formula>$F$46="超过30%"</formula>
    </cfRule>
  </conditionalFormatting>
  <conditionalFormatting sqref="G48">
    <cfRule type="expression" dxfId="136" priority="8" stopIfTrue="1">
      <formula>$H$48="超过30%"</formula>
    </cfRule>
  </conditionalFormatting>
  <conditionalFormatting sqref="E48">
    <cfRule type="expression" dxfId="135" priority="6" stopIfTrue="1">
      <formula>$F$48="超过30%"</formula>
    </cfRule>
  </conditionalFormatting>
  <conditionalFormatting sqref="G46">
    <cfRule type="expression" dxfId="134" priority="5" stopIfTrue="1">
      <formula>$H$46="超过30%"</formula>
    </cfRule>
  </conditionalFormatting>
  <conditionalFormatting sqref="G47">
    <cfRule type="expression" dxfId="133" priority="4" stopIfTrue="1">
      <formula>$H$47="超过20%"</formula>
    </cfRule>
  </conditionalFormatting>
  <conditionalFormatting sqref="I46">
    <cfRule type="expression" dxfId="132" priority="3" stopIfTrue="1">
      <formula>$J$46="超过30%"</formula>
    </cfRule>
  </conditionalFormatting>
  <conditionalFormatting sqref="I47">
    <cfRule type="expression" dxfId="131" priority="2" stopIfTrue="1">
      <formula>$J$47="超过20%"</formula>
    </cfRule>
  </conditionalFormatting>
  <conditionalFormatting sqref="I48">
    <cfRule type="expression" dxfId="130" priority="1" stopIfTrue="1">
      <formula>$J$48="超过30%"</formula>
    </cfRule>
  </conditionalFormatting>
  <conditionalFormatting sqref="E47">
    <cfRule type="expression" dxfId="1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8" sqref="C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4"/>
      <c r="C1" s="1585" t="s">
        <v>3371</v>
      </c>
      <c r="D1" s="1583"/>
      <c r="E1" s="320"/>
      <c r="F1" s="320"/>
      <c r="G1" s="1584"/>
      <c r="H1" s="320"/>
      <c r="I1" s="320"/>
      <c r="J1" s="320"/>
      <c r="K1" s="320">
        <f>MATCH(C1,'数据-取费表'!A6:A16,0)+5</f>
        <v>6</v>
      </c>
    </row>
    <row r="2" spans="1:33" ht="18" customHeight="1">
      <c r="A2" s="245" t="s">
        <v>2329</v>
      </c>
      <c r="B2" s="248">
        <f ca="1">C32</f>
        <v>453</v>
      </c>
      <c r="C2" s="320" t="s">
        <v>2462</v>
      </c>
      <c r="D2" s="320"/>
      <c r="E2" s="320"/>
      <c r="F2" s="320"/>
      <c r="G2" s="320"/>
      <c r="H2" s="320"/>
      <c r="I2" s="320"/>
      <c r="J2" s="320"/>
      <c r="K2" s="320"/>
    </row>
    <row r="3" spans="1:33" ht="18" customHeight="1" thickBot="1">
      <c r="A3" s="247" t="s">
        <v>2331</v>
      </c>
      <c r="B3" s="248">
        <f ca="1">ROUND(B2*10000/IF(C1="",'数据-汇总表'!E3,INDIRECT("'数据-取费表'!K"&amp;$K$1)),0)</f>
        <v>2812</v>
      </c>
      <c r="C3" s="320" t="s">
        <v>2463</v>
      </c>
      <c r="D3" s="320"/>
      <c r="E3" s="320"/>
      <c r="F3" s="320"/>
      <c r="G3" s="320"/>
      <c r="H3" s="320"/>
      <c r="I3" s="320"/>
      <c r="J3" s="320"/>
      <c r="K3" s="320"/>
    </row>
    <row r="4" spans="1:33" s="959" customFormat="1" ht="16.5" customHeight="1">
      <c r="A4" s="956" t="s">
        <v>2464</v>
      </c>
      <c r="B4" s="957"/>
      <c r="C4" s="999">
        <f>SUM(C8:K8)</f>
        <v>531</v>
      </c>
      <c r="D4" s="957"/>
      <c r="E4" s="957"/>
      <c r="F4" s="957"/>
      <c r="G4" s="957"/>
      <c r="H4" s="957"/>
      <c r="I4" s="957"/>
      <c r="J4" s="957"/>
      <c r="K4" s="958"/>
    </row>
    <row r="5" spans="1:33" s="963" customFormat="1" ht="15">
      <c r="A5" s="960" t="s">
        <v>2465</v>
      </c>
      <c r="B5" s="961" t="s">
        <v>2466</v>
      </c>
      <c r="C5" s="2558" t="s">
        <v>3371</v>
      </c>
      <c r="D5" s="2558"/>
      <c r="E5" s="2558"/>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f>'比较法-工业'!C43</f>
        <v>3294</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1611</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2470</v>
      </c>
      <c r="B8" s="177" t="s">
        <v>2471</v>
      </c>
      <c r="C8" s="1000">
        <f>'比较法-工业'!B2</f>
        <v>531</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16</v>
      </c>
      <c r="D11" s="976"/>
      <c r="E11" s="375"/>
      <c r="F11" s="977">
        <f ca="1">1-IF('数据-取费表'!B24=0,1,IF(C1="",'数据-取费表'!N16,INDIRECT("'数据-取费表'!n"&amp;$K$1)))</f>
        <v>5.0000000000000044E-2</v>
      </c>
      <c r="G11" s="8"/>
      <c r="H11" s="971"/>
      <c r="I11" s="971"/>
      <c r="J11" s="971"/>
      <c r="K11" s="972"/>
    </row>
    <row r="12" spans="1:33" s="978" customFormat="1" ht="13.5" customHeight="1">
      <c r="A12" s="974" t="s">
        <v>1335</v>
      </c>
      <c r="B12" s="975" t="s">
        <v>2480</v>
      </c>
      <c r="C12" s="24">
        <f ca="1">ROUND(C11*F12,0)</f>
        <v>0</v>
      </c>
      <c r="D12" s="976"/>
      <c r="E12" s="375"/>
      <c r="F12" s="979">
        <f>'数据-取费表'!B33</f>
        <v>0.03</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1337</v>
      </c>
      <c r="B14" s="975" t="s">
        <v>2484</v>
      </c>
      <c r="C14" s="24">
        <f ca="1">ROUND(D14*E14*F11/10000,0)</f>
        <v>2</v>
      </c>
      <c r="D14" s="1036">
        <f ca="1">IF(C1="",'数据-汇总表'!E3,INDIRECT("'数据-取费表'!K"&amp;$K$1)+INDIRECT("'数据-取费表'!S"&amp;$K$1))</f>
        <v>1611</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18</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1611</v>
      </c>
      <c r="E17" s="24">
        <f>'数据-取费表'!B32</f>
        <v>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0</v>
      </c>
      <c r="D18" s="1036"/>
      <c r="E18" s="24"/>
      <c r="F18" s="979"/>
      <c r="G18" s="2560" t="s">
        <v>3373</v>
      </c>
      <c r="H18" s="1580"/>
      <c r="I18" s="2561"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134</v>
      </c>
      <c r="F19" s="979"/>
      <c r="G19" s="15"/>
      <c r="H19" s="1582"/>
      <c r="I19" s="984"/>
      <c r="J19" s="984"/>
      <c r="K19" s="985"/>
    </row>
    <row r="20" spans="1:33" s="978" customFormat="1" ht="13.5" customHeight="1">
      <c r="A20" s="974" t="s">
        <v>806</v>
      </c>
      <c r="B20" s="975" t="s">
        <v>2494</v>
      </c>
      <c r="C20" s="24">
        <f ca="1">ROUND(D20*E20/10000,0)</f>
        <v>10</v>
      </c>
      <c r="D20" s="1036">
        <f ca="1">IF(C1="",'数据-汇总表'!E6,IF(INDIRECT("'数据-取费表'!c"&amp;$K$1)="住宅",INDIRECT("'数据-取费表'!s"&amp;$K$1),INDIRECT("'数据-取费表'!k"&amp;$K$1)+INDIRECT("'数据-取费表'!s"&amp;$K$1)))</f>
        <v>1611</v>
      </c>
      <c r="E20" s="24">
        <f>'数据-取费表'!B28</f>
        <v>60</v>
      </c>
      <c r="F20" s="979"/>
      <c r="G20" s="15"/>
      <c r="H20" s="984"/>
      <c r="I20" s="984"/>
      <c r="J20" s="984"/>
      <c r="K20" s="985"/>
    </row>
    <row r="21" spans="1:33" s="978" customFormat="1" ht="13.5" customHeight="1">
      <c r="A21" s="964" t="s">
        <v>802</v>
      </c>
      <c r="B21" s="988" t="s">
        <v>2495</v>
      </c>
      <c r="C21" s="989">
        <f ca="1">C16+C17+C18</f>
        <v>18</v>
      </c>
      <c r="D21" s="990"/>
      <c r="E21" s="325"/>
      <c r="F21" s="325"/>
      <c r="G21" s="140" t="s">
        <v>2496</v>
      </c>
      <c r="H21" s="982"/>
      <c r="I21" s="982"/>
      <c r="J21" s="982"/>
      <c r="K21" s="983"/>
    </row>
    <row r="22" spans="1:33" s="978" customFormat="1" ht="13.5" customHeight="1">
      <c r="A22" s="964" t="s">
        <v>2468</v>
      </c>
      <c r="B22" s="988" t="s">
        <v>2497</v>
      </c>
      <c r="C22" s="989">
        <f ca="1">ROUND(C21*F22,0)</f>
        <v>1</v>
      </c>
      <c r="D22" s="325"/>
      <c r="E22" s="325"/>
      <c r="F22" s="991">
        <f>'数据-取费表'!B37</f>
        <v>0.03</v>
      </c>
      <c r="G22" s="8" t="s">
        <v>2498</v>
      </c>
      <c r="H22" s="971"/>
      <c r="I22" s="971"/>
      <c r="J22" s="971"/>
      <c r="K22" s="972"/>
    </row>
    <row r="23" spans="1:33" s="978" customFormat="1" ht="13.5" customHeight="1">
      <c r="A23" s="964" t="s">
        <v>2470</v>
      </c>
      <c r="B23" s="988" t="s">
        <v>2499</v>
      </c>
      <c r="C23" s="989">
        <f ca="1">ROUND(C4*F23*F11,0)</f>
        <v>1</v>
      </c>
      <c r="D23" s="325"/>
      <c r="E23" s="325"/>
      <c r="F23" s="991">
        <f>'数据-取费表'!B38</f>
        <v>0.03</v>
      </c>
      <c r="G23" s="8" t="s">
        <v>2500</v>
      </c>
      <c r="H23" s="971"/>
      <c r="I23" s="971"/>
      <c r="J23" s="971"/>
      <c r="K23" s="972"/>
    </row>
    <row r="24" spans="1:33" s="978" customFormat="1" ht="13.5" customHeight="1">
      <c r="A24" s="964" t="s">
        <v>2501</v>
      </c>
      <c r="B24" s="988" t="s">
        <v>2502</v>
      </c>
      <c r="C24" s="324">
        <f>ROUND(F24/(1+'数据-取费表'!C42),4)</f>
        <v>3.8600000000000002E-2</v>
      </c>
      <c r="D24" s="325" t="s">
        <v>15</v>
      </c>
      <c r="E24" s="325"/>
      <c r="F24" s="991">
        <f>'数据-取费表'!B48+'数据-取费表'!B49</f>
        <v>4.0500000000000001E-2</v>
      </c>
      <c r="G24" s="8" t="s">
        <v>2503</v>
      </c>
      <c r="H24" s="993"/>
      <c r="I24" s="993"/>
      <c r="J24" s="993"/>
      <c r="K24" s="994"/>
    </row>
    <row r="25" spans="1:33" s="978" customFormat="1" ht="13.5" customHeight="1">
      <c r="A25" s="964" t="s">
        <v>2504</v>
      </c>
      <c r="B25" s="990" t="s">
        <v>2505</v>
      </c>
      <c r="C25" s="1359">
        <f ca="1">C27</f>
        <v>0</v>
      </c>
      <c r="D25" s="324">
        <f ca="1">C26</f>
        <v>4.4999999999999997E-3</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4.4999999999999997E-3</v>
      </c>
      <c r="D26" s="328"/>
      <c r="E26" s="329"/>
      <c r="F26" s="330"/>
      <c r="G26" s="2562"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62" t="str">
        <f>IF('数据-取费表'!B22&lt;=1,"（1）-（3）项×年利率×建设期÷2","（1）-（3）项×((1+年利率)^(建设期÷2)-1)")</f>
        <v>（1）-（3）项×年利率×建设期÷2</v>
      </c>
      <c r="H27" s="982"/>
      <c r="I27" s="982"/>
      <c r="J27" s="982"/>
      <c r="K27" s="983"/>
    </row>
    <row r="28" spans="1:33" s="333" customFormat="1" ht="13.5" customHeight="1">
      <c r="A28" s="964" t="s">
        <v>2508</v>
      </c>
      <c r="B28" s="2563" t="s">
        <v>2509</v>
      </c>
      <c r="C28" s="331">
        <f ca="1">C30</f>
        <v>3</v>
      </c>
      <c r="D28" s="324">
        <f ca="1">C29</f>
        <v>1.5599999999999999E-2</v>
      </c>
      <c r="E28" s="326" t="s">
        <v>15</v>
      </c>
      <c r="F28" s="332">
        <f ca="1">IF(C1="",'数据-取费表'!Q16,INDIRECT("'数据-取费表'!q"&amp;$K$1))</f>
        <v>0.15</v>
      </c>
      <c r="G28" s="992"/>
      <c r="H28" s="993"/>
      <c r="I28" s="993"/>
      <c r="J28" s="993"/>
      <c r="K28" s="994"/>
    </row>
    <row r="29" spans="1:33" s="335" customFormat="1" ht="13.5" customHeight="1">
      <c r="A29" s="974" t="s">
        <v>803</v>
      </c>
      <c r="B29" s="997" t="s">
        <v>2510</v>
      </c>
      <c r="C29" s="328">
        <f ca="1">ROUND((1+C24)*F28*'数据-取费表'!B24/'数据-取费表'!B20,4)</f>
        <v>1.5599999999999999E-2</v>
      </c>
      <c r="D29" s="328"/>
      <c r="E29" s="329"/>
      <c r="F29" s="334"/>
      <c r="G29" s="140" t="s">
        <v>2511</v>
      </c>
      <c r="H29" s="982"/>
      <c r="I29" s="982"/>
      <c r="J29" s="982"/>
      <c r="K29" s="983"/>
    </row>
    <row r="30" spans="1:33" s="335" customFormat="1" ht="13.5" customHeight="1">
      <c r="A30" s="974" t="s">
        <v>804</v>
      </c>
      <c r="B30" s="997" t="s">
        <v>2512</v>
      </c>
      <c r="C30" s="336">
        <f ca="1">ROUND((C21+C22+C23)*F28,0)</f>
        <v>3</v>
      </c>
      <c r="D30" s="328"/>
      <c r="E30" s="329"/>
      <c r="F30" s="334"/>
      <c r="G30" s="140"/>
      <c r="H30" s="982"/>
      <c r="I30" s="982"/>
      <c r="J30" s="982"/>
      <c r="K30" s="983"/>
    </row>
    <row r="31" spans="1:33" s="978" customFormat="1" ht="13.5" customHeight="1" thickBot="1">
      <c r="A31" s="2564" t="s">
        <v>2513</v>
      </c>
      <c r="B31" s="1008" t="s">
        <v>2514</v>
      </c>
      <c r="C31" s="1009">
        <f>ROUND(C4*F31/(1+'数据-取费表'!C42),0)</f>
        <v>28</v>
      </c>
      <c r="D31" s="1010"/>
      <c r="E31" s="1011"/>
      <c r="F31" s="1012">
        <f>'数据-取费表'!B41</f>
        <v>5.5000000000000007E-2</v>
      </c>
      <c r="G31" s="1013" t="s">
        <v>2515</v>
      </c>
      <c r="H31" s="1014"/>
      <c r="I31" s="1014"/>
      <c r="J31" s="1014"/>
      <c r="K31" s="1015"/>
    </row>
    <row r="32" spans="1:33" s="973" customFormat="1" ht="13.5" customHeight="1" thickBot="1">
      <c r="A32" s="1003" t="s">
        <v>2516</v>
      </c>
      <c r="B32" s="1004"/>
      <c r="C32" s="1005">
        <f ca="1">ROUND((C4-C21-C22-C23-C25-C28-C31)/(1+C24+D25+D28),0)</f>
        <v>453</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#DIV/0!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240" t="s">
        <v>1403</v>
      </c>
      <c r="C6" s="1299">
        <f ca="1">ROUND(F6*F8*F7*(1-F9)/10000,0)</f>
        <v>0</v>
      </c>
      <c r="D6" s="164" t="s">
        <v>3028</v>
      </c>
      <c r="E6" s="347" t="s">
        <v>1405</v>
      </c>
      <c r="F6" s="348">
        <f ca="1">INDIRECT("'数据-取费表'!u"&amp;$G$1)</f>
        <v>0</v>
      </c>
      <c r="G6" s="1854"/>
      <c r="H6" s="1294" t="s">
        <v>1035</v>
      </c>
      <c r="I6" s="3240" t="s">
        <v>1403</v>
      </c>
      <c r="J6" s="346">
        <f ca="1">ROUND(M6*M8*M7*(1-M9)/10000,0)</f>
        <v>0</v>
      </c>
      <c r="K6" s="164" t="s">
        <v>3027</v>
      </c>
      <c r="L6" s="347" t="s">
        <v>1405</v>
      </c>
      <c r="M6" s="348">
        <f ca="1">INDIRECT("'数据-取费表'!z"&amp;$G$1)</f>
        <v>0</v>
      </c>
    </row>
    <row r="7" spans="1:37" ht="18" customHeight="1">
      <c r="A7" s="1298"/>
      <c r="B7" s="3241"/>
      <c r="C7" s="1300"/>
      <c r="D7" s="352"/>
      <c r="E7" s="1301" t="s">
        <v>1406</v>
      </c>
      <c r="F7" s="348">
        <f ca="1">IF(INDIRECT("'数据-取费表'!ah"&amp;$G$1)="",INDIRECT("'数据-取费表'!k"&amp;$G$1),INDIRECT("'数据-取费表'!ah"&amp;$G$1))</f>
        <v>0</v>
      </c>
      <c r="G7" s="1854"/>
      <c r="H7" s="349"/>
      <c r="I7" s="3241"/>
      <c r="J7" s="351"/>
      <c r="K7" s="352"/>
      <c r="L7" s="347" t="s">
        <v>1406</v>
      </c>
      <c r="M7" s="348">
        <f ca="1">F7</f>
        <v>0</v>
      </c>
    </row>
    <row r="8" spans="1:37" ht="18" customHeight="1">
      <c r="A8" s="349"/>
      <c r="B8" s="3241"/>
      <c r="C8" s="351"/>
      <c r="D8" s="352"/>
      <c r="E8" s="347" t="s">
        <v>1407</v>
      </c>
      <c r="F8" s="348">
        <f ca="1">INDIRECT("'数据-取费表'!ai"&amp;$G$1)</f>
        <v>0</v>
      </c>
      <c r="G8" s="1854"/>
      <c r="H8" s="349"/>
      <c r="I8" s="3241"/>
      <c r="J8" s="351"/>
      <c r="K8" s="352"/>
      <c r="L8" s="347" t="s">
        <v>1407</v>
      </c>
      <c r="M8" s="348">
        <f ca="1">INDIRECT("'数据-取费表'!ai"&amp;$G$1)</f>
        <v>0</v>
      </c>
    </row>
    <row r="9" spans="1:37" ht="18" customHeight="1">
      <c r="A9" s="349"/>
      <c r="B9" s="3242"/>
      <c r="C9" s="351"/>
      <c r="D9" s="352"/>
      <c r="E9" s="347" t="s">
        <v>1408</v>
      </c>
      <c r="F9" s="357">
        <f ca="1">INDIRECT("'数据-取费表'!w"&amp;$G$1)</f>
        <v>0</v>
      </c>
      <c r="G9" s="1854"/>
      <c r="H9" s="349"/>
      <c r="I9" s="3242"/>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3037</v>
      </c>
      <c r="E10" s="358" t="s">
        <v>1410</v>
      </c>
      <c r="F10" s="1369"/>
      <c r="G10" s="1854"/>
      <c r="H10" s="1294" t="s">
        <v>1039</v>
      </c>
      <c r="I10" s="1826" t="s">
        <v>1409</v>
      </c>
      <c r="J10" s="346">
        <f ca="1">ROUND(IF(M10="押一",J6/12*M11,IF(M10="押二",J6/12*2*M11,IF(M10="押三",J6/12*3*M11,J11*M11))),0)</f>
        <v>0</v>
      </c>
      <c r="K10" s="1827" t="s">
        <v>3036</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ROUND(F17*(F43+INDIRECT("'数据-取费表'!S"&amp;$G$1))/10000,0)</f>
        <v>0</v>
      </c>
      <c r="D17" s="347" t="s">
        <v>1427</v>
      </c>
      <c r="E17" s="347" t="s">
        <v>1428</v>
      </c>
      <c r="F17" s="26">
        <f>'数据-取费表'!B35</f>
        <v>200</v>
      </c>
      <c r="G17" s="1857"/>
      <c r="H17" s="1204" t="s">
        <v>1035</v>
      </c>
      <c r="I17" s="347" t="s">
        <v>1429</v>
      </c>
      <c r="J17" s="24">
        <f ca="1">ROUND(IF(项目基本情况!B11="自然人",J5*M17,J18+J19+J20),1)</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IF(K19="按租金收入计税",ROUND(J5*M19,2),ROUND(C29*M19*0.7,2))</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0.03</v>
      </c>
      <c r="G20" s="1857"/>
      <c r="H20" s="1204" t="s">
        <v>1389</v>
      </c>
      <c r="I20" s="164" t="s">
        <v>1441</v>
      </c>
      <c r="J20" s="25">
        <f ca="1">ROUND(M20*M21/10000,2)</f>
        <v>0</v>
      </c>
      <c r="K20" s="370" t="s">
        <v>1442</v>
      </c>
      <c r="L20" s="347" t="s">
        <v>1443</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ROUND(C13*F37,1)</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#DIV/0!</v>
      </c>
      <c r="D46" s="1875" t="str">
        <f>C2</f>
        <v>万元</v>
      </c>
      <c r="E46" s="1869"/>
      <c r="F46" s="1869"/>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ROUND(F49*F51*F50*(1-F52)/10000,0)</f>
        <v>0</v>
      </c>
      <c r="D49" s="1279" t="s">
        <v>3029</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371"/>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24.75" thickBot="1">
      <c r="A53" s="1408" t="s">
        <v>1137</v>
      </c>
      <c r="B53" s="1834" t="s">
        <v>1409</v>
      </c>
      <c r="C53" s="361">
        <f ca="1">ROUND(IF(F53="押一",C49/12*F11,IF(F53="押二",C49/12*2*F11,IF(F53="押三",C49/12*3*F11,C54*F11))),0)</f>
        <v>0</v>
      </c>
      <c r="D53" s="1827" t="s">
        <v>3036</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38" t="s">
        <v>1548</v>
      </c>
      <c r="L53" s="3239"/>
      <c r="O53" s="1887" t="s">
        <v>1046</v>
      </c>
      <c r="P53" s="1888" t="s">
        <v>1549</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0</v>
      </c>
      <c r="D56" s="1917"/>
      <c r="E56" s="1918"/>
      <c r="F56" s="1910"/>
      <c r="I56" s="1919" t="s">
        <v>1554</v>
      </c>
      <c r="J56" s="1920"/>
      <c r="K56" s="1890" t="s">
        <v>1555</v>
      </c>
      <c r="L56" s="1893">
        <f ca="1">IF(L48&lt;J51,"——",L48-J53)</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1557</v>
      </c>
      <c r="L57" s="1893">
        <f ca="1">IF(L48&lt;J51,"——",IF(L55="比较法",L49,IF(L55="基准地价",L50,L51)))</f>
        <v>0</v>
      </c>
      <c r="O57" s="1887" t="s">
        <v>1041</v>
      </c>
      <c r="P57" s="1888" t="s">
        <v>1558</v>
      </c>
      <c r="Q57" s="1889" t="e">
        <f ca="1">L60</f>
        <v>#DIV/0!</v>
      </c>
      <c r="R57" s="1889" t="s">
        <v>1559</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0</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c r="O70" s="1897" t="s">
        <v>1049</v>
      </c>
      <c r="P70" s="1937" t="s">
        <v>1585</v>
      </c>
      <c r="Q70" s="1889">
        <f ca="1">C13</f>
        <v>0</v>
      </c>
      <c r="R70" s="1889" t="s">
        <v>1529</v>
      </c>
    </row>
    <row r="71" spans="1:18" s="1845" customFormat="1" ht="13.5" thickBot="1">
      <c r="A71" s="1193" t="s">
        <v>1033</v>
      </c>
      <c r="B71" s="1194" t="s">
        <v>1487</v>
      </c>
      <c r="C71" s="382" t="e">
        <f ca="1">ROUND(C68*10000/F71,0)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6" zoomScale="90" zoomScaleNormal="90" workbookViewId="0">
      <selection activeCell="C16" sqref="C1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3" t="s">
        <v>2701</v>
      </c>
      <c r="C1" s="1623" t="s">
        <v>2529</v>
      </c>
      <c r="D1" s="1624" t="s">
        <v>3371</v>
      </c>
      <c r="E1" s="1633"/>
      <c r="F1" s="2588" t="s">
        <v>3088</v>
      </c>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f>IF(C2="——",ROUND(C43*D3/10000,0),ROUND(C43*D3/10000,0)-D2)</f>
        <v>531</v>
      </c>
      <c r="C2" s="2590" t="s">
        <v>70</v>
      </c>
      <c r="D2" s="1127" t="e">
        <f ca="1">SUMIF(INDIRECT("'"&amp;F2&amp;"'"&amp;"!A:A"),"承租人权益价值",INDIRECT("'"&amp;F2&amp;"'"&amp;"!c:c"))</f>
        <v>#REF!</v>
      </c>
      <c r="E2" s="2591" t="s">
        <v>2330</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f>IF(C2="——",C43,ROUND(B2*10000/D3,0))</f>
        <v>3294</v>
      </c>
      <c r="C3" s="400" t="s">
        <v>2643</v>
      </c>
      <c r="D3" s="399">
        <f>IF(D1="",'数据-汇总表'!E3,SUMIF('数据-汇总表'!$C19:$C33,D1,'数据-汇总表'!$E19:$E33))</f>
        <v>1611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08" t="s">
        <v>2645</v>
      </c>
      <c r="D4" s="3209"/>
      <c r="E4" s="3210" t="s">
        <v>2646</v>
      </c>
      <c r="F4" s="3211"/>
      <c r="G4" s="3208" t="s">
        <v>2647</v>
      </c>
      <c r="H4" s="3209"/>
      <c r="I4" s="3208" t="s">
        <v>2648</v>
      </c>
      <c r="J4" s="3209"/>
      <c r="K4" s="610" t="s">
        <v>2649</v>
      </c>
      <c r="L4" s="1133"/>
      <c r="M4" s="1134"/>
      <c r="N4" s="1134"/>
      <c r="O4" s="1134"/>
      <c r="P4" s="3212" t="s">
        <v>2650</v>
      </c>
      <c r="Q4" s="3213"/>
      <c r="R4" s="3225" t="s">
        <v>2646</v>
      </c>
      <c r="S4" s="3226"/>
      <c r="T4" s="3225" t="s">
        <v>2647</v>
      </c>
      <c r="U4" s="3226"/>
      <c r="V4" s="3200" t="s">
        <v>2648</v>
      </c>
      <c r="W4" s="3200"/>
      <c r="X4" s="1816"/>
      <c r="Y4" s="3225" t="s">
        <v>2650</v>
      </c>
      <c r="Z4" s="3226"/>
      <c r="AA4" s="3205" t="s">
        <v>2646</v>
      </c>
      <c r="AB4" s="3206" t="s">
        <v>2647</v>
      </c>
      <c r="AC4" s="3205" t="s">
        <v>2648</v>
      </c>
    </row>
    <row r="5" spans="1:29" ht="15">
      <c r="A5" s="404"/>
      <c r="B5" s="405"/>
      <c r="C5" s="3229" t="s">
        <v>2541</v>
      </c>
      <c r="D5" s="3230"/>
      <c r="E5" s="3243" t="s">
        <v>3053</v>
      </c>
      <c r="F5" s="3219"/>
      <c r="G5" s="3246" t="s">
        <v>3057</v>
      </c>
      <c r="H5" s="3230"/>
      <c r="I5" s="3246" t="s">
        <v>3058</v>
      </c>
      <c r="J5" s="3230"/>
      <c r="K5" s="610"/>
      <c r="L5" s="1133"/>
      <c r="M5" s="1134"/>
      <c r="N5" s="1134"/>
      <c r="O5" s="1134"/>
      <c r="P5" s="3214"/>
      <c r="Q5" s="3215"/>
      <c r="R5" s="3227"/>
      <c r="S5" s="3228"/>
      <c r="T5" s="3227"/>
      <c r="U5" s="3228"/>
      <c r="V5" s="3200"/>
      <c r="W5" s="3200"/>
      <c r="X5" s="1816"/>
      <c r="Y5" s="3227"/>
      <c r="Z5" s="3228"/>
      <c r="AA5" s="3206"/>
      <c r="AB5" s="3206"/>
      <c r="AC5" s="3206"/>
    </row>
    <row r="6" spans="1:29" ht="15.75" thickBot="1">
      <c r="A6" s="406"/>
      <c r="B6" s="407"/>
      <c r="C6" s="3244" t="s">
        <v>2545</v>
      </c>
      <c r="D6" s="3245"/>
      <c r="E6" s="3247" t="s">
        <v>2545</v>
      </c>
      <c r="F6" s="3248"/>
      <c r="G6" s="3244" t="s">
        <v>2545</v>
      </c>
      <c r="H6" s="3245"/>
      <c r="I6" s="3244" t="s">
        <v>2545</v>
      </c>
      <c r="J6" s="3245"/>
      <c r="K6" s="610" t="s">
        <v>2546</v>
      </c>
      <c r="L6" s="1133"/>
      <c r="M6" s="1134"/>
      <c r="N6" s="1134"/>
      <c r="O6" s="1134"/>
      <c r="P6" s="3216"/>
      <c r="Q6" s="3217"/>
      <c r="R6" s="3227"/>
      <c r="S6" s="3228"/>
      <c r="T6" s="3236"/>
      <c r="U6" s="3237"/>
      <c r="V6" s="3200"/>
      <c r="W6" s="3200"/>
      <c r="X6" s="1816"/>
      <c r="Y6" s="3236"/>
      <c r="Z6" s="3237"/>
      <c r="AA6" s="3207"/>
      <c r="AB6" s="3207"/>
      <c r="AC6" s="3207"/>
    </row>
    <row r="7" spans="1:29" s="117" customFormat="1" ht="15.75" thickBot="1">
      <c r="A7" s="408" t="s">
        <v>2547</v>
      </c>
      <c r="B7" s="409"/>
      <c r="C7" s="410">
        <f>'数据-取费表'!B2</f>
        <v>43307</v>
      </c>
      <c r="D7" s="411">
        <v>100</v>
      </c>
      <c r="E7" s="412">
        <v>43143</v>
      </c>
      <c r="F7" s="413">
        <f>SUMIF(52:52,YEAR(E7)&amp;"-"&amp;MONTH(E7),53:53)</f>
        <v>99</v>
      </c>
      <c r="G7" s="412">
        <v>43143</v>
      </c>
      <c r="H7" s="411">
        <f>SUMIF(52:52,YEAR(G7)&amp;"-"&amp;MONTH(G7),53:53)</f>
        <v>99</v>
      </c>
      <c r="I7" s="412">
        <v>42986</v>
      </c>
      <c r="J7" s="411">
        <f>SUMIF(52:52,YEAR(I7)&amp;"-"&amp;MONTH(I7),53:53)</f>
        <v>98</v>
      </c>
      <c r="K7" s="611"/>
      <c r="L7" s="1135"/>
      <c r="M7" s="1136"/>
      <c r="N7" s="1136"/>
      <c r="O7" s="1136"/>
      <c r="P7" s="3220" t="s">
        <v>2548</v>
      </c>
      <c r="Q7" s="3233"/>
      <c r="R7" s="770" t="s">
        <v>17</v>
      </c>
      <c r="S7" s="771">
        <f t="shared" ref="S7:S15" si="0">F7</f>
        <v>99</v>
      </c>
      <c r="T7" s="770" t="s">
        <v>17</v>
      </c>
      <c r="U7" s="771">
        <f t="shared" ref="U7:U15" si="1">H7</f>
        <v>99</v>
      </c>
      <c r="V7" s="770" t="s">
        <v>17</v>
      </c>
      <c r="W7" s="771">
        <f t="shared" ref="W7:W15" si="2">J7</f>
        <v>98</v>
      </c>
      <c r="X7" s="772"/>
      <c r="Y7" s="3220" t="s">
        <v>2548</v>
      </c>
      <c r="Z7" s="3221"/>
      <c r="AA7" s="773">
        <f>D7/F7</f>
        <v>1.0101010101010102</v>
      </c>
      <c r="AB7" s="773">
        <f>D7/H7</f>
        <v>1.0101010101010102</v>
      </c>
      <c r="AC7" s="773">
        <f>D7/J7</f>
        <v>1.0204081632653061</v>
      </c>
    </row>
    <row r="8" spans="1:29" s="117" customFormat="1" ht="15.75" thickBot="1">
      <c r="A8" s="408" t="s">
        <v>2549</v>
      </c>
      <c r="B8" s="409"/>
      <c r="C8" s="414" t="s">
        <v>2550</v>
      </c>
      <c r="D8" s="411">
        <v>100</v>
      </c>
      <c r="E8" s="414" t="s">
        <v>2550</v>
      </c>
      <c r="F8" s="413">
        <f>SUMIF(55:55,E8,56:56)-SUMIF(55:55,C8,56:56)+100</f>
        <v>100</v>
      </c>
      <c r="G8" s="414" t="s">
        <v>2550</v>
      </c>
      <c r="H8" s="411">
        <f>SUMIF(55:55,G8,56:56)-SUMIF(55:55,C8,56:56)+100</f>
        <v>100</v>
      </c>
      <c r="I8" s="414" t="s">
        <v>2550</v>
      </c>
      <c r="J8" s="411">
        <f>SUMIF(55:55,I8,56:56)-SUMIF(55:55,C8,56:56)+100</f>
        <v>100</v>
      </c>
      <c r="K8" s="611"/>
      <c r="L8" s="1135"/>
      <c r="M8" s="1136"/>
      <c r="N8" s="1136"/>
      <c r="O8" s="1136"/>
      <c r="P8" s="3220" t="s">
        <v>2551</v>
      </c>
      <c r="Q8" s="3221"/>
      <c r="R8" s="770" t="s">
        <v>17</v>
      </c>
      <c r="S8" s="771">
        <f t="shared" si="0"/>
        <v>100</v>
      </c>
      <c r="T8" s="770" t="s">
        <v>17</v>
      </c>
      <c r="U8" s="771">
        <f t="shared" si="1"/>
        <v>100</v>
      </c>
      <c r="V8" s="770" t="s">
        <v>17</v>
      </c>
      <c r="W8" s="771">
        <f t="shared" si="2"/>
        <v>100</v>
      </c>
      <c r="X8" s="772"/>
      <c r="Y8" s="3220" t="s">
        <v>2551</v>
      </c>
      <c r="Z8" s="3221"/>
      <c r="AA8" s="773">
        <f t="shared" ref="AA8:AA40" si="3">D8/F8</f>
        <v>1</v>
      </c>
      <c r="AB8" s="773">
        <f t="shared" ref="AB8:AB40" si="4">D8/H8</f>
        <v>1</v>
      </c>
      <c r="AC8" s="773">
        <f t="shared" ref="AC8:AC40" si="5">D8/J8</f>
        <v>1</v>
      </c>
    </row>
    <row r="9" spans="1:29" s="117" customFormat="1">
      <c r="A9" s="415" t="s">
        <v>2552</v>
      </c>
      <c r="B9" s="71" t="s">
        <v>2553</v>
      </c>
      <c r="C9" s="2951" t="s">
        <v>3060</v>
      </c>
      <c r="D9" s="135">
        <v>100</v>
      </c>
      <c r="E9" s="2951" t="s">
        <v>3060</v>
      </c>
      <c r="F9" s="135">
        <f>SUMIF(57:57,E9,58:58)-SUMIF(57:57,C9,58:58)+100</f>
        <v>100</v>
      </c>
      <c r="G9" s="2951" t="s">
        <v>3060</v>
      </c>
      <c r="H9" s="135">
        <f>SUMIF(57:57,G9,58:58)-SUMIF(57:57,C9,58:58)+100</f>
        <v>100</v>
      </c>
      <c r="I9" s="2951" t="s">
        <v>3060</v>
      </c>
      <c r="J9" s="135">
        <f>SUMIF(57:57,I9,58:58)-SUMIF(57:57,C9,58:58)+100</f>
        <v>100</v>
      </c>
      <c r="K9" s="611"/>
      <c r="L9" s="1135"/>
      <c r="M9" s="1136"/>
      <c r="N9" s="1136"/>
      <c r="O9" s="1137"/>
      <c r="P9" s="3198" t="s">
        <v>2554</v>
      </c>
      <c r="Q9" s="1798" t="str">
        <f t="shared" ref="Q9:Q15" si="6">B9</f>
        <v>用途</v>
      </c>
      <c r="R9" s="770" t="s">
        <v>17</v>
      </c>
      <c r="S9" s="771">
        <f t="shared" si="0"/>
        <v>100</v>
      </c>
      <c r="T9" s="770" t="s">
        <v>17</v>
      </c>
      <c r="U9" s="771">
        <f t="shared" si="1"/>
        <v>100</v>
      </c>
      <c r="V9" s="770" t="s">
        <v>17</v>
      </c>
      <c r="W9" s="771">
        <f t="shared" si="2"/>
        <v>100</v>
      </c>
      <c r="X9" s="772"/>
      <c r="Y9" s="3072" t="s">
        <v>2555</v>
      </c>
      <c r="Z9" s="55" t="str">
        <f t="shared" ref="Z9:Z15" si="7">Q9</f>
        <v>用途</v>
      </c>
      <c r="AA9" s="773">
        <f t="shared" si="3"/>
        <v>1</v>
      </c>
      <c r="AB9" s="773">
        <f t="shared" si="4"/>
        <v>1</v>
      </c>
      <c r="AC9" s="773">
        <f t="shared" si="5"/>
        <v>1</v>
      </c>
    </row>
    <row r="10" spans="1:29" s="427" customFormat="1" ht="27">
      <c r="A10" s="421"/>
      <c r="B10" s="422" t="s">
        <v>2556</v>
      </c>
      <c r="C10" s="423" t="s">
        <v>3061</v>
      </c>
      <c r="D10" s="136">
        <v>100</v>
      </c>
      <c r="E10" s="423" t="s">
        <v>3061</v>
      </c>
      <c r="F10" s="136">
        <f>SUMIF(59:59,E10,60:60)-SUMIF(59:59,C10,60:60)+100</f>
        <v>100</v>
      </c>
      <c r="G10" s="423" t="s">
        <v>3061</v>
      </c>
      <c r="H10" s="136">
        <f>SUMIF(59:59,G10,60:60)-SUMIF(59:59,C10,60:60)+100</f>
        <v>100</v>
      </c>
      <c r="I10" s="423" t="s">
        <v>3061</v>
      </c>
      <c r="J10" s="136">
        <f>SUMIF(59:59,I10,60:60)-SUMIF(59:59,C10,60:60)+100</f>
        <v>100</v>
      </c>
      <c r="K10" s="612">
        <v>1</v>
      </c>
      <c r="L10" s="1138"/>
      <c r="M10" s="1139"/>
      <c r="N10" s="1139"/>
      <c r="O10" s="1140"/>
      <c r="P10" s="3198"/>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2557</v>
      </c>
      <c r="C11" s="429"/>
      <c r="D11" s="136">
        <v>100</v>
      </c>
      <c r="E11" s="429"/>
      <c r="F11" s="136">
        <f>LOOKUP(E11,62:62,63:63)-LOOKUP(C11,62:62,63:63)+100</f>
        <v>100</v>
      </c>
      <c r="G11" s="430"/>
      <c r="H11" s="136">
        <f>LOOKUP(G11,62:62,63:63)-LOOKUP(C11,62:62,63:63)+100</f>
        <v>100</v>
      </c>
      <c r="I11" s="429"/>
      <c r="J11" s="136">
        <f>LOOKUP(I11,62:62,63:63)-LOOKUP(C11,62:62,63:63)+100</f>
        <v>100</v>
      </c>
      <c r="K11" s="612">
        <v>1</v>
      </c>
      <c r="L11" s="1141"/>
      <c r="M11" s="1134"/>
      <c r="N11" s="1134"/>
      <c r="O11" s="1142"/>
      <c r="P11" s="3198"/>
      <c r="Q11" s="1798" t="str">
        <f t="shared" si="6"/>
        <v>容积率</v>
      </c>
      <c r="R11" s="770" t="s">
        <v>17</v>
      </c>
      <c r="S11" s="771">
        <f t="shared" si="0"/>
        <v>100</v>
      </c>
      <c r="T11" s="770" t="s">
        <v>17</v>
      </c>
      <c r="U11" s="771">
        <f t="shared" si="1"/>
        <v>100</v>
      </c>
      <c r="V11" s="770" t="s">
        <v>17</v>
      </c>
      <c r="W11" s="771">
        <f t="shared" si="2"/>
        <v>100</v>
      </c>
      <c r="X11" s="772"/>
      <c r="Y11" s="3072"/>
      <c r="Z11" s="55" t="str">
        <f t="shared" si="7"/>
        <v>容积率</v>
      </c>
      <c r="AA11" s="773">
        <f t="shared" si="3"/>
        <v>1</v>
      </c>
      <c r="AB11" s="773">
        <f t="shared" si="4"/>
        <v>1</v>
      </c>
      <c r="AC11" s="773">
        <f t="shared" si="5"/>
        <v>1</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198"/>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198"/>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198"/>
      <c r="Q14" s="1798">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71.25">
      <c r="A15" s="440" t="s">
        <v>2558</v>
      </c>
      <c r="B15" s="69" t="s">
        <v>2702</v>
      </c>
      <c r="C15" s="2697" t="str">
        <f>估价对象房地状况!G3</f>
        <v>估价对象位于沈北新区，园区建设成熟度较好，产业集聚程度较好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v>2</v>
      </c>
      <c r="L15" s="1143"/>
      <c r="M15" s="1134"/>
      <c r="N15" s="1134"/>
      <c r="O15" s="1142"/>
      <c r="P15" s="3201" t="s">
        <v>2559</v>
      </c>
      <c r="Q15" s="1813" t="str">
        <f t="shared" si="6"/>
        <v>产业集聚程度</v>
      </c>
      <c r="R15" s="774" t="s">
        <v>17</v>
      </c>
      <c r="S15" s="775">
        <f t="shared" si="0"/>
        <v>100</v>
      </c>
      <c r="T15" s="774" t="s">
        <v>17</v>
      </c>
      <c r="U15" s="775">
        <f t="shared" si="1"/>
        <v>100</v>
      </c>
      <c r="V15" s="774" t="s">
        <v>17</v>
      </c>
      <c r="W15" s="775">
        <f t="shared" si="2"/>
        <v>100</v>
      </c>
      <c r="X15" s="1816"/>
      <c r="Y15" s="3201" t="s">
        <v>2559</v>
      </c>
      <c r="Z15" s="1817" t="str">
        <f t="shared" si="7"/>
        <v>产业集聚程度</v>
      </c>
      <c r="AA15" s="1814">
        <f t="shared" si="3"/>
        <v>1</v>
      </c>
      <c r="AB15" s="1814">
        <f t="shared" si="4"/>
        <v>1</v>
      </c>
      <c r="AC15" s="1814">
        <f t="shared" si="5"/>
        <v>1</v>
      </c>
    </row>
    <row r="16" spans="1:29" ht="15">
      <c r="A16" s="428"/>
      <c r="B16" s="446"/>
      <c r="C16" s="447" t="s">
        <v>3066</v>
      </c>
      <c r="D16" s="448"/>
      <c r="E16" s="447" t="s">
        <v>3066</v>
      </c>
      <c r="F16" s="449"/>
      <c r="G16" s="447" t="s">
        <v>3066</v>
      </c>
      <c r="H16" s="450"/>
      <c r="I16" s="447" t="s">
        <v>3066</v>
      </c>
      <c r="J16" s="448"/>
      <c r="K16" s="615"/>
      <c r="L16" s="1143"/>
      <c r="M16" s="1134"/>
      <c r="N16" s="1134"/>
      <c r="O16" s="1142"/>
      <c r="P16" s="3202"/>
      <c r="Q16" s="1813"/>
      <c r="R16" s="774"/>
      <c r="S16" s="775"/>
      <c r="T16" s="774"/>
      <c r="U16" s="775"/>
      <c r="V16" s="774"/>
      <c r="W16" s="775"/>
      <c r="X16" s="1816"/>
      <c r="Y16" s="3202"/>
      <c r="Z16" s="1817"/>
      <c r="AA16" s="1814">
        <v>1</v>
      </c>
      <c r="AB16" s="1814">
        <v>1</v>
      </c>
      <c r="AC16" s="1814">
        <v>1</v>
      </c>
    </row>
    <row r="17" spans="1:29" ht="99.75">
      <c r="A17" s="428"/>
      <c r="B17" s="451" t="s">
        <v>2100</v>
      </c>
      <c r="C17" s="2611" t="str">
        <f>估价对象房地状况!G4</f>
        <v>估价对象周边道路通达状况较好、公共交通通达情况一般、停车较便捷，综合评价交通便捷度一般</v>
      </c>
      <c r="D17" s="450">
        <v>100</v>
      </c>
      <c r="E17" s="452"/>
      <c r="F17" s="453">
        <f>SUMIF(72:72,E18,73:73)-SUMIF(72:72,C18,73:73)+100</f>
        <v>100</v>
      </c>
      <c r="G17" s="454"/>
      <c r="H17" s="455">
        <f>SUMIF(72:72,G18,73:73)-SUMIF(72:72,C18,73:73)+100</f>
        <v>100</v>
      </c>
      <c r="I17" s="452"/>
      <c r="J17" s="455">
        <f>SUMIF(72:72,I18,73:73)-SUMIF(72:72,C18,73:73)+100</f>
        <v>100</v>
      </c>
      <c r="K17" s="614">
        <v>2</v>
      </c>
      <c r="L17" s="1143"/>
      <c r="M17" s="1134"/>
      <c r="N17" s="1134"/>
      <c r="O17" s="1142"/>
      <c r="P17" s="3202"/>
      <c r="Q17" s="1813" t="str">
        <f>B17</f>
        <v>交通便捷度</v>
      </c>
      <c r="R17" s="774" t="s">
        <v>17</v>
      </c>
      <c r="S17" s="775">
        <f>F17</f>
        <v>100</v>
      </c>
      <c r="T17" s="774" t="s">
        <v>17</v>
      </c>
      <c r="U17" s="775">
        <f>H17</f>
        <v>100</v>
      </c>
      <c r="V17" s="774" t="s">
        <v>17</v>
      </c>
      <c r="W17" s="775">
        <f>J17</f>
        <v>100</v>
      </c>
      <c r="X17" s="1816"/>
      <c r="Y17" s="3202"/>
      <c r="Z17" s="1817" t="str">
        <f>Q17</f>
        <v>交通便捷度</v>
      </c>
      <c r="AA17" s="1814">
        <f t="shared" si="3"/>
        <v>1</v>
      </c>
      <c r="AB17" s="1814">
        <f t="shared" si="4"/>
        <v>1</v>
      </c>
      <c r="AC17" s="1814">
        <f t="shared" si="5"/>
        <v>1</v>
      </c>
    </row>
    <row r="18" spans="1:29" ht="15">
      <c r="A18" s="428"/>
      <c r="B18" s="456"/>
      <c r="C18" s="2612" t="s">
        <v>3067</v>
      </c>
      <c r="D18" s="450"/>
      <c r="E18" s="2612" t="s">
        <v>3067</v>
      </c>
      <c r="F18" s="453"/>
      <c r="G18" s="2612" t="s">
        <v>3067</v>
      </c>
      <c r="H18" s="448"/>
      <c r="I18" s="2612" t="s">
        <v>3067</v>
      </c>
      <c r="J18" s="448"/>
      <c r="K18" s="615"/>
      <c r="L18" s="1143"/>
      <c r="M18" s="1134"/>
      <c r="N18" s="1134"/>
      <c r="O18" s="1142"/>
      <c r="P18" s="3202"/>
      <c r="Q18" s="1813"/>
      <c r="R18" s="774"/>
      <c r="S18" s="775"/>
      <c r="T18" s="774"/>
      <c r="U18" s="775"/>
      <c r="V18" s="774"/>
      <c r="W18" s="775"/>
      <c r="X18" s="1816"/>
      <c r="Y18" s="3202"/>
      <c r="Z18" s="1817"/>
      <c r="AA18" s="1814">
        <v>1</v>
      </c>
      <c r="AB18" s="1814">
        <v>1</v>
      </c>
      <c r="AC18" s="1814">
        <v>1</v>
      </c>
    </row>
    <row r="19" spans="1:29" ht="42.75">
      <c r="A19" s="428"/>
      <c r="B19" s="451" t="s">
        <v>2687</v>
      </c>
      <c r="C19" s="2611"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v>2</v>
      </c>
      <c r="L19" s="1143"/>
      <c r="M19" s="1134"/>
      <c r="N19" s="1134"/>
      <c r="O19" s="1142"/>
      <c r="P19" s="3202"/>
      <c r="Q19" s="1813" t="str">
        <f>B19</f>
        <v>公共配套设施</v>
      </c>
      <c r="R19" s="774" t="s">
        <v>17</v>
      </c>
      <c r="S19" s="775">
        <f>F19</f>
        <v>100</v>
      </c>
      <c r="T19" s="774" t="s">
        <v>17</v>
      </c>
      <c r="U19" s="775">
        <f>H19</f>
        <v>100</v>
      </c>
      <c r="V19" s="774" t="s">
        <v>17</v>
      </c>
      <c r="W19" s="775">
        <f>J19</f>
        <v>100</v>
      </c>
      <c r="X19" s="1816"/>
      <c r="Y19" s="3202"/>
      <c r="Z19" s="1817" t="str">
        <f>Q19</f>
        <v>公共配套设施</v>
      </c>
      <c r="AA19" s="1814">
        <f t="shared" si="3"/>
        <v>1</v>
      </c>
      <c r="AB19" s="1814">
        <f t="shared" si="4"/>
        <v>1</v>
      </c>
      <c r="AC19" s="1814">
        <f t="shared" si="5"/>
        <v>1</v>
      </c>
    </row>
    <row r="20" spans="1:29" ht="15">
      <c r="A20" s="428"/>
      <c r="B20" s="456"/>
      <c r="C20" s="447" t="s">
        <v>3067</v>
      </c>
      <c r="D20" s="448"/>
      <c r="E20" s="447" t="s">
        <v>3067</v>
      </c>
      <c r="F20" s="449"/>
      <c r="G20" s="447" t="s">
        <v>3067</v>
      </c>
      <c r="H20" s="448"/>
      <c r="I20" s="447" t="s">
        <v>3067</v>
      </c>
      <c r="J20" s="448"/>
      <c r="K20" s="615"/>
      <c r="L20" s="1143"/>
      <c r="M20" s="1134"/>
      <c r="N20" s="1134"/>
      <c r="O20" s="1142"/>
      <c r="P20" s="3202"/>
      <c r="Q20" s="1813"/>
      <c r="R20" s="774"/>
      <c r="S20" s="775"/>
      <c r="T20" s="774"/>
      <c r="U20" s="775"/>
      <c r="V20" s="774"/>
      <c r="W20" s="775"/>
      <c r="X20" s="1816"/>
      <c r="Y20" s="3202"/>
      <c r="Z20" s="1817"/>
      <c r="AA20" s="1814">
        <v>1</v>
      </c>
      <c r="AB20" s="1814">
        <v>1</v>
      </c>
      <c r="AC20" s="1814">
        <v>1</v>
      </c>
    </row>
    <row r="21" spans="1:29" ht="42.75">
      <c r="A21" s="428"/>
      <c r="B21" s="1387" t="s">
        <v>2688</v>
      </c>
      <c r="C21" s="2611" t="str">
        <f>估价对象房地状况!G6</f>
        <v>估价对象所在区域基础设施水平达五通</v>
      </c>
      <c r="D21" s="450">
        <v>100</v>
      </c>
      <c r="E21" s="457"/>
      <c r="F21" s="458">
        <f>SUMIF(76:76,E22,77:77)-SUMIF(76:76,C22,77:77)+100</f>
        <v>100</v>
      </c>
      <c r="G21" s="459"/>
      <c r="H21" s="450">
        <f>SUMIF(76:76,G22,77:77)-SUMIF(76:76,C22,77:77)+100</f>
        <v>100</v>
      </c>
      <c r="I21" s="457"/>
      <c r="J21" s="450">
        <f>SUMIF(76:76,I22,77:77)-SUMIF(76:76,C22,77:77)+100</f>
        <v>100</v>
      </c>
      <c r="K21" s="614">
        <v>1</v>
      </c>
      <c r="L21" s="1143"/>
      <c r="M21" s="1134"/>
      <c r="N21" s="1134"/>
      <c r="O21" s="1142"/>
      <c r="P21" s="3202"/>
      <c r="Q21" s="1813" t="str">
        <f>B21</f>
        <v>基础设施水平</v>
      </c>
      <c r="R21" s="774" t="s">
        <v>17</v>
      </c>
      <c r="S21" s="775">
        <f>F21</f>
        <v>100</v>
      </c>
      <c r="T21" s="774" t="s">
        <v>17</v>
      </c>
      <c r="U21" s="775">
        <f>H21</f>
        <v>100</v>
      </c>
      <c r="V21" s="774" t="s">
        <v>17</v>
      </c>
      <c r="W21" s="775">
        <f>J21</f>
        <v>100</v>
      </c>
      <c r="X21" s="1816"/>
      <c r="Y21" s="3202"/>
      <c r="Z21" s="1817" t="str">
        <f>Q21</f>
        <v>基础设施水平</v>
      </c>
      <c r="AA21" s="1814">
        <f t="shared" ref="AA21" si="8">D21/F21</f>
        <v>1</v>
      </c>
      <c r="AB21" s="1814">
        <f t="shared" ref="AB21" si="9">D21/H21</f>
        <v>1</v>
      </c>
      <c r="AC21" s="1814">
        <f t="shared" ref="AC21" si="10">D21/J21</f>
        <v>1</v>
      </c>
    </row>
    <row r="22" spans="1:29" ht="15">
      <c r="A22" s="428"/>
      <c r="B22" s="1387"/>
      <c r="C22" s="447" t="s">
        <v>3067</v>
      </c>
      <c r="D22" s="448"/>
      <c r="E22" s="447" t="s">
        <v>3067</v>
      </c>
      <c r="F22" s="449"/>
      <c r="G22" s="447" t="s">
        <v>3067</v>
      </c>
      <c r="H22" s="448"/>
      <c r="I22" s="447" t="s">
        <v>3067</v>
      </c>
      <c r="J22" s="448"/>
      <c r="K22" s="1386"/>
      <c r="L22" s="1143"/>
      <c r="M22" s="1134"/>
      <c r="N22" s="1134"/>
      <c r="O22" s="1142"/>
      <c r="P22" s="3202"/>
      <c r="Q22" s="1813"/>
      <c r="R22" s="774"/>
      <c r="S22" s="775"/>
      <c r="T22" s="774"/>
      <c r="U22" s="775"/>
      <c r="V22" s="774"/>
      <c r="W22" s="775"/>
      <c r="X22" s="1816"/>
      <c r="Y22" s="3202"/>
      <c r="Z22" s="1817"/>
      <c r="AA22" s="1814">
        <v>1</v>
      </c>
      <c r="AB22" s="1814">
        <v>1</v>
      </c>
      <c r="AC22" s="1814">
        <v>1</v>
      </c>
    </row>
    <row r="23" spans="1:29" ht="71.25">
      <c r="A23" s="428"/>
      <c r="B23" s="451" t="s">
        <v>2689</v>
      </c>
      <c r="C23" s="2611" t="str">
        <f>估价对象房地状况!G7</f>
        <v>该园区内无污染型企业，绿化情况一般，卫生条件一般，整体环境状况一般</v>
      </c>
      <c r="D23" s="450">
        <v>100</v>
      </c>
      <c r="E23" s="452"/>
      <c r="F23" s="453">
        <f>SUMIF(78:78,E24,79:79)-SUMIF(78:78,C24,79:79)+100</f>
        <v>100</v>
      </c>
      <c r="G23" s="454"/>
      <c r="H23" s="450">
        <f>SUMIF(78:78,G24,79:79)-SUMIF(78:78,C24,79:79)+100</f>
        <v>100</v>
      </c>
      <c r="I23" s="452"/>
      <c r="J23" s="450">
        <f>SUMIF(78:78,I24,79:79)-SUMIF(78:78,C24,79:79)+100</f>
        <v>100</v>
      </c>
      <c r="K23" s="614">
        <v>2</v>
      </c>
      <c r="L23" s="1143"/>
      <c r="M23" s="1134"/>
      <c r="N23" s="1134"/>
      <c r="O23" s="1142"/>
      <c r="P23" s="3202"/>
      <c r="Q23" s="1813" t="str">
        <f>B23</f>
        <v>环境质量</v>
      </c>
      <c r="R23" s="774" t="s">
        <v>17</v>
      </c>
      <c r="S23" s="775">
        <f>F23</f>
        <v>100</v>
      </c>
      <c r="T23" s="774" t="s">
        <v>17</v>
      </c>
      <c r="U23" s="775">
        <f>H23</f>
        <v>100</v>
      </c>
      <c r="V23" s="774" t="s">
        <v>17</v>
      </c>
      <c r="W23" s="775">
        <f>J23</f>
        <v>100</v>
      </c>
      <c r="X23" s="1816"/>
      <c r="Y23" s="3202"/>
      <c r="Z23" s="1817" t="str">
        <f>Q23</f>
        <v>环境质量</v>
      </c>
      <c r="AA23" s="1814">
        <f t="shared" si="3"/>
        <v>1</v>
      </c>
      <c r="AB23" s="1814">
        <f t="shared" si="4"/>
        <v>1</v>
      </c>
      <c r="AC23" s="1814">
        <f t="shared" si="5"/>
        <v>1</v>
      </c>
    </row>
    <row r="24" spans="1:29" ht="15">
      <c r="A24" s="428"/>
      <c r="B24" s="1387"/>
      <c r="C24" s="447" t="s">
        <v>3067</v>
      </c>
      <c r="D24" s="448"/>
      <c r="E24" s="447" t="s">
        <v>3067</v>
      </c>
      <c r="F24" s="449"/>
      <c r="G24" s="447" t="s">
        <v>3067</v>
      </c>
      <c r="H24" s="448"/>
      <c r="I24" s="447" t="s">
        <v>3067</v>
      </c>
      <c r="J24" s="448"/>
      <c r="K24" s="615"/>
      <c r="L24" s="1143"/>
      <c r="M24" s="1134"/>
      <c r="N24" s="1134"/>
      <c r="O24" s="1142"/>
      <c r="P24" s="3202"/>
      <c r="Q24" s="1813"/>
      <c r="R24" s="774"/>
      <c r="S24" s="775"/>
      <c r="T24" s="774"/>
      <c r="U24" s="775"/>
      <c r="V24" s="774"/>
      <c r="W24" s="775"/>
      <c r="X24" s="1816"/>
      <c r="Y24" s="3202"/>
      <c r="Z24" s="1817"/>
      <c r="AA24" s="1814">
        <v>1</v>
      </c>
      <c r="AB24" s="1814">
        <v>1</v>
      </c>
      <c r="AC24" s="1814">
        <v>1</v>
      </c>
    </row>
    <row r="25" spans="1:29" ht="15">
      <c r="A25" s="404"/>
      <c r="B25" s="2949" t="s">
        <v>3054</v>
      </c>
      <c r="C25" s="434" t="s">
        <v>3189</v>
      </c>
      <c r="D25" s="435">
        <v>100</v>
      </c>
      <c r="E25" s="434" t="s">
        <v>3055</v>
      </c>
      <c r="F25" s="461">
        <f>SUMIF(80:80,E25,81:81)-SUMIF(80:80,C25,81:81)+100</f>
        <v>100</v>
      </c>
      <c r="G25" s="434" t="s">
        <v>3055</v>
      </c>
      <c r="H25" s="435">
        <f>SUMIF(80:80,G25,81:81)-SUMIF(80:80,C25,81:81)+100</f>
        <v>100</v>
      </c>
      <c r="I25" s="434" t="s">
        <v>3055</v>
      </c>
      <c r="J25" s="435">
        <f>SUMIF(80:80,I25,81:81)-SUMIF(80:80,C25,81:81)+100</f>
        <v>100</v>
      </c>
      <c r="K25" s="613"/>
      <c r="L25" s="1143"/>
      <c r="M25" s="1134"/>
      <c r="N25" s="1134"/>
      <c r="O25" s="1142"/>
      <c r="P25" s="3202"/>
      <c r="Q25" s="1813" t="str">
        <f>B25</f>
        <v>楼层</v>
      </c>
      <c r="R25" s="774" t="s">
        <v>17</v>
      </c>
      <c r="S25" s="775">
        <f>F25</f>
        <v>100</v>
      </c>
      <c r="T25" s="774" t="s">
        <v>17</v>
      </c>
      <c r="U25" s="775">
        <f>H25</f>
        <v>100</v>
      </c>
      <c r="V25" s="774" t="s">
        <v>17</v>
      </c>
      <c r="W25" s="775">
        <f>J25</f>
        <v>100</v>
      </c>
      <c r="X25" s="1816"/>
      <c r="Y25" s="3202"/>
      <c r="Z25" s="1817" t="str">
        <f>Q25</f>
        <v>楼层</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2"/>
      <c r="Q26" s="1813">
        <f t="shared" ref="Q26:Q40" si="11">B26</f>
        <v>111</v>
      </c>
      <c r="R26" s="774" t="s">
        <v>17</v>
      </c>
      <c r="S26" s="775">
        <f>F26</f>
        <v>100</v>
      </c>
      <c r="T26" s="774" t="s">
        <v>17</v>
      </c>
      <c r="U26" s="775">
        <f>H26</f>
        <v>100</v>
      </c>
      <c r="V26" s="774" t="s">
        <v>17</v>
      </c>
      <c r="W26" s="775">
        <f>J26</f>
        <v>100</v>
      </c>
      <c r="X26" s="1816"/>
      <c r="Y26" s="320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2"/>
      <c r="Q27" s="1798">
        <f t="shared" si="11"/>
        <v>111</v>
      </c>
      <c r="R27" s="770" t="s">
        <v>17</v>
      </c>
      <c r="S27" s="771">
        <f>F27</f>
        <v>100</v>
      </c>
      <c r="T27" s="770" t="s">
        <v>17</v>
      </c>
      <c r="U27" s="771">
        <f>H27</f>
        <v>100</v>
      </c>
      <c r="V27" s="770" t="s">
        <v>17</v>
      </c>
      <c r="W27" s="771">
        <f>J27</f>
        <v>100</v>
      </c>
      <c r="X27" s="772"/>
      <c r="Y27" s="3202"/>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2"/>
      <c r="Q28" s="1813">
        <f t="shared" si="11"/>
        <v>111</v>
      </c>
      <c r="R28" s="774" t="s">
        <v>17</v>
      </c>
      <c r="S28" s="775">
        <f t="shared" ref="S28:S40" si="12">F28</f>
        <v>100</v>
      </c>
      <c r="T28" s="774" t="s">
        <v>17</v>
      </c>
      <c r="U28" s="775">
        <f t="shared" ref="U28:U40" si="13">H28</f>
        <v>100</v>
      </c>
      <c r="V28" s="774" t="s">
        <v>17</v>
      </c>
      <c r="W28" s="775">
        <f t="shared" ref="W28:W40" si="14">J28</f>
        <v>100</v>
      </c>
      <c r="X28" s="1816"/>
      <c r="Y28" s="3202"/>
      <c r="Z28" s="1817">
        <f t="shared" ref="Z28:Z40" si="15">Q28</f>
        <v>111</v>
      </c>
      <c r="AA28" s="1814">
        <f t="shared" si="3"/>
        <v>1</v>
      </c>
      <c r="AB28" s="1814">
        <f t="shared" si="4"/>
        <v>1</v>
      </c>
      <c r="AC28" s="1814">
        <f t="shared" si="5"/>
        <v>1</v>
      </c>
    </row>
    <row r="29" spans="1:29" ht="15">
      <c r="A29" s="466" t="s">
        <v>2562</v>
      </c>
      <c r="B29" s="71" t="s">
        <v>2692</v>
      </c>
      <c r="C29" s="2683" t="s">
        <v>3068</v>
      </c>
      <c r="D29" s="467">
        <v>100</v>
      </c>
      <c r="E29" s="2683" t="s">
        <v>3068</v>
      </c>
      <c r="F29" s="461">
        <f>SUMIF(88:88,E29,89:89)-SUMIF(88:88,C29,89:89)+100</f>
        <v>100</v>
      </c>
      <c r="G29" s="2683" t="s">
        <v>3068</v>
      </c>
      <c r="H29" s="435">
        <f>SUMIF(88:88,G29,89:89)-SUMIF(88:88,C29,89:89)+100</f>
        <v>100</v>
      </c>
      <c r="I29" s="2683" t="s">
        <v>3068</v>
      </c>
      <c r="J29" s="467">
        <f>SUMIF(88:88,I29,89:89)-SUMIF(88:88,C29,89:89)+100</f>
        <v>100</v>
      </c>
      <c r="K29" s="612">
        <v>1</v>
      </c>
      <c r="L29" s="1143"/>
      <c r="M29" s="1134"/>
      <c r="N29" s="1134"/>
      <c r="O29" s="1142"/>
      <c r="P29" s="3203" t="s">
        <v>2564</v>
      </c>
      <c r="Q29" s="1813" t="str">
        <f t="shared" si="11"/>
        <v>建筑类型</v>
      </c>
      <c r="R29" s="774" t="s">
        <v>17</v>
      </c>
      <c r="S29" s="775">
        <f t="shared" si="12"/>
        <v>100</v>
      </c>
      <c r="T29" s="774" t="s">
        <v>17</v>
      </c>
      <c r="U29" s="775">
        <f t="shared" si="13"/>
        <v>100</v>
      </c>
      <c r="V29" s="774" t="s">
        <v>17</v>
      </c>
      <c r="W29" s="775">
        <f t="shared" si="14"/>
        <v>100</v>
      </c>
      <c r="X29" s="1816"/>
      <c r="Y29" s="3204" t="s">
        <v>2564</v>
      </c>
      <c r="Z29" s="1817" t="str">
        <f t="shared" si="15"/>
        <v>建筑类型</v>
      </c>
      <c r="AA29" s="1814">
        <f t="shared" si="3"/>
        <v>1</v>
      </c>
      <c r="AB29" s="1814">
        <f t="shared" si="4"/>
        <v>1</v>
      </c>
      <c r="AC29" s="1814">
        <f t="shared" si="5"/>
        <v>1</v>
      </c>
    </row>
    <row r="30" spans="1:29" s="471" customFormat="1" ht="15">
      <c r="A30" s="468"/>
      <c r="B30" s="422" t="s">
        <v>2565</v>
      </c>
      <c r="C30" s="469">
        <f>'数据-汇总表'!F19</f>
        <v>1611</v>
      </c>
      <c r="D30" s="136">
        <v>100</v>
      </c>
      <c r="E30" s="430">
        <v>1179.3699999999999</v>
      </c>
      <c r="F30" s="425">
        <f>LOOKUP(E30,91:91,92:92)-LOOKUP(C30,91:91,92:92)+100</f>
        <v>99</v>
      </c>
      <c r="G30" s="429">
        <v>1179.3699999999999</v>
      </c>
      <c r="H30" s="136">
        <f>LOOKUP(G30,91:91,92:92)-LOOKUP(C30,91:91,92:92)+100</f>
        <v>99</v>
      </c>
      <c r="I30" s="429">
        <v>821.75</v>
      </c>
      <c r="J30" s="136">
        <f>LOOKUP(I30,91:91,92:92)-LOOKUP(C30,91:91,92:92)+100</f>
        <v>98</v>
      </c>
      <c r="K30" s="613"/>
      <c r="L30" s="1141"/>
      <c r="M30" s="1144"/>
      <c r="N30" s="1144"/>
      <c r="O30" s="1145"/>
      <c r="P30" s="3204"/>
      <c r="Q30" s="776" t="str">
        <f t="shared" si="11"/>
        <v>项目建筑规模</v>
      </c>
      <c r="R30" s="777" t="s">
        <v>17</v>
      </c>
      <c r="S30" s="778">
        <f t="shared" si="12"/>
        <v>99</v>
      </c>
      <c r="T30" s="777" t="s">
        <v>17</v>
      </c>
      <c r="U30" s="778">
        <f t="shared" si="13"/>
        <v>99</v>
      </c>
      <c r="V30" s="777" t="s">
        <v>17</v>
      </c>
      <c r="W30" s="778">
        <f t="shared" si="14"/>
        <v>98</v>
      </c>
      <c r="X30" s="779"/>
      <c r="Y30" s="3204"/>
      <c r="Z30" s="780" t="str">
        <f t="shared" si="15"/>
        <v>项目建筑规模</v>
      </c>
      <c r="AA30" s="1814">
        <f t="shared" si="3"/>
        <v>1.0101010101010102</v>
      </c>
      <c r="AB30" s="1814">
        <f t="shared" si="4"/>
        <v>1.0101010101010102</v>
      </c>
      <c r="AC30" s="1814">
        <f t="shared" si="5"/>
        <v>1.0204081632653061</v>
      </c>
    </row>
    <row r="31" spans="1:29" ht="15">
      <c r="A31" s="472"/>
      <c r="B31" s="422" t="s">
        <v>2566</v>
      </c>
      <c r="C31" s="460" t="s">
        <v>3070</v>
      </c>
      <c r="D31" s="435">
        <v>100</v>
      </c>
      <c r="E31" s="460" t="s">
        <v>3070</v>
      </c>
      <c r="F31" s="461">
        <f>SUMIF(93:93,E31,94:94)-SUMIF(93:93,C31,94:94)+100</f>
        <v>100</v>
      </c>
      <c r="G31" s="460" t="s">
        <v>3070</v>
      </c>
      <c r="H31" s="435">
        <f>SUMIF(93:93,G31,94:94)-SUMIF(93:93,C31,94:94)+100</f>
        <v>100</v>
      </c>
      <c r="I31" s="460" t="s">
        <v>3070</v>
      </c>
      <c r="J31" s="435">
        <f>SUMIF(93:93,I31,94:94)-SUMIF(93:93,C31,94:94)+100</f>
        <v>100</v>
      </c>
      <c r="K31" s="612">
        <v>1</v>
      </c>
      <c r="L31" s="1143"/>
      <c r="M31" s="1134"/>
      <c r="N31" s="1134"/>
      <c r="O31" s="1142"/>
      <c r="P31" s="3204"/>
      <c r="Q31" s="1813" t="str">
        <f t="shared" si="11"/>
        <v>建筑结构</v>
      </c>
      <c r="R31" s="774" t="s">
        <v>17</v>
      </c>
      <c r="S31" s="775">
        <f t="shared" si="12"/>
        <v>100</v>
      </c>
      <c r="T31" s="774" t="s">
        <v>17</v>
      </c>
      <c r="U31" s="775">
        <f t="shared" si="13"/>
        <v>100</v>
      </c>
      <c r="V31" s="774" t="s">
        <v>17</v>
      </c>
      <c r="W31" s="775">
        <f t="shared" si="14"/>
        <v>100</v>
      </c>
      <c r="X31" s="1816"/>
      <c r="Y31" s="3204"/>
      <c r="Z31" s="1817" t="str">
        <f t="shared" si="15"/>
        <v>建筑结构</v>
      </c>
      <c r="AA31" s="1814">
        <f t="shared" si="3"/>
        <v>1</v>
      </c>
      <c r="AB31" s="1814">
        <f t="shared" si="4"/>
        <v>1</v>
      </c>
      <c r="AC31" s="1814">
        <f t="shared" si="5"/>
        <v>1</v>
      </c>
    </row>
    <row r="32" spans="1:29" ht="15">
      <c r="A32" s="472"/>
      <c r="B32" s="422" t="s">
        <v>2660</v>
      </c>
      <c r="C32" s="460" t="s">
        <v>3074</v>
      </c>
      <c r="D32" s="435">
        <v>100</v>
      </c>
      <c r="E32" s="460" t="s">
        <v>3074</v>
      </c>
      <c r="F32" s="461">
        <f>SUMIF(95:95,E32,96:96)-SUMIF(95:95,C32,96:96)+100</f>
        <v>100</v>
      </c>
      <c r="G32" s="460" t="s">
        <v>3074</v>
      </c>
      <c r="H32" s="435">
        <f>SUMIF(95:95,G32,96:96)-SUMIF(95:95,C32,96:96)+100</f>
        <v>100</v>
      </c>
      <c r="I32" s="460" t="s">
        <v>3074</v>
      </c>
      <c r="J32" s="435">
        <f>SUMIF(95:95,I32,96:96)-SUMIF(95:95,C32,96:96)+100</f>
        <v>100</v>
      </c>
      <c r="K32" s="612">
        <v>1</v>
      </c>
      <c r="L32" s="1143"/>
      <c r="M32" s="1134"/>
      <c r="N32" s="1134"/>
      <c r="O32" s="1142"/>
      <c r="P32" s="3204"/>
      <c r="Q32" s="1813" t="str">
        <f t="shared" si="11"/>
        <v>公共部分装修</v>
      </c>
      <c r="R32" s="774" t="s">
        <v>17</v>
      </c>
      <c r="S32" s="775">
        <f t="shared" si="12"/>
        <v>100</v>
      </c>
      <c r="T32" s="774" t="s">
        <v>17</v>
      </c>
      <c r="U32" s="775">
        <f t="shared" si="13"/>
        <v>100</v>
      </c>
      <c r="V32" s="774" t="s">
        <v>17</v>
      </c>
      <c r="W32" s="775">
        <f t="shared" si="14"/>
        <v>100</v>
      </c>
      <c r="X32" s="1816"/>
      <c r="Y32" s="3204"/>
      <c r="Z32" s="1817" t="str">
        <f t="shared" si="15"/>
        <v>公共部分装修</v>
      </c>
      <c r="AA32" s="1814">
        <f t="shared" si="3"/>
        <v>1</v>
      </c>
      <c r="AB32" s="1814">
        <f t="shared" si="4"/>
        <v>1</v>
      </c>
      <c r="AC32" s="1814">
        <f t="shared" si="5"/>
        <v>1</v>
      </c>
    </row>
    <row r="33" spans="1:29" ht="15">
      <c r="A33" s="472"/>
      <c r="B33" s="422" t="s">
        <v>2661</v>
      </c>
      <c r="C33" s="474">
        <v>0.9</v>
      </c>
      <c r="D33" s="435">
        <v>100</v>
      </c>
      <c r="E33" s="474">
        <v>1</v>
      </c>
      <c r="F33" s="461">
        <f>LOOKUP(E33,98:98,99:99)-LOOKUP(C33,98:98,99:99)+100</f>
        <v>100</v>
      </c>
      <c r="G33" s="474">
        <v>1</v>
      </c>
      <c r="H33" s="461">
        <f>LOOKUP(G33,98:98,99:99)-LOOKUP(C33,98:98,99:99)+100</f>
        <v>100</v>
      </c>
      <c r="I33" s="474">
        <v>1</v>
      </c>
      <c r="J33" s="435">
        <f>LOOKUP(I33,98:98,99:99)-LOOKUP(C33,98:98,99:99)+100</f>
        <v>100</v>
      </c>
      <c r="K33" s="612">
        <v>1</v>
      </c>
      <c r="L33" s="1143"/>
      <c r="M33" s="1134"/>
      <c r="N33" s="1134"/>
      <c r="O33" s="1142"/>
      <c r="P33" s="3204"/>
      <c r="Q33" s="1813" t="str">
        <f t="shared" si="11"/>
        <v>成新度</v>
      </c>
      <c r="R33" s="774" t="s">
        <v>17</v>
      </c>
      <c r="S33" s="775">
        <f t="shared" si="12"/>
        <v>100</v>
      </c>
      <c r="T33" s="774" t="s">
        <v>17</v>
      </c>
      <c r="U33" s="775">
        <f t="shared" si="13"/>
        <v>100</v>
      </c>
      <c r="V33" s="774" t="s">
        <v>17</v>
      </c>
      <c r="W33" s="775">
        <f t="shared" si="14"/>
        <v>100</v>
      </c>
      <c r="X33" s="1816"/>
      <c r="Y33" s="3204"/>
      <c r="Z33" s="1817" t="str">
        <f t="shared" si="15"/>
        <v>成新度</v>
      </c>
      <c r="AA33" s="1814">
        <f t="shared" si="3"/>
        <v>1</v>
      </c>
      <c r="AB33" s="1814">
        <f t="shared" si="4"/>
        <v>1</v>
      </c>
      <c r="AC33" s="1814">
        <f t="shared" si="5"/>
        <v>1</v>
      </c>
    </row>
    <row r="34" spans="1:29" s="117" customFormat="1" ht="15">
      <c r="A34" s="473"/>
      <c r="B34" s="422" t="s">
        <v>2694</v>
      </c>
      <c r="C34" s="460" t="s">
        <v>3078</v>
      </c>
      <c r="D34" s="136">
        <v>100</v>
      </c>
      <c r="E34" s="460" t="s">
        <v>3078</v>
      </c>
      <c r="F34" s="461">
        <f>SUMIF(100:100,E34,101:101)-SUMIF(100:100,C34,101:101)+100</f>
        <v>100</v>
      </c>
      <c r="G34" s="460" t="s">
        <v>3078</v>
      </c>
      <c r="H34" s="435">
        <f>SUMIF(100:100,G34,101:101)-SUMIF(100:100,C34,101:101)+100</f>
        <v>100</v>
      </c>
      <c r="I34" s="460" t="s">
        <v>3078</v>
      </c>
      <c r="J34" s="435">
        <f>SUMIF(100:100,I34,101:101)-SUMIF(100:100,C34,101:101)+100</f>
        <v>100</v>
      </c>
      <c r="K34" s="612">
        <v>1</v>
      </c>
      <c r="L34" s="1135"/>
      <c r="M34" s="1136"/>
      <c r="N34" s="1136"/>
      <c r="O34" s="1137"/>
      <c r="P34" s="3204"/>
      <c r="Q34" s="1798" t="str">
        <f t="shared" si="11"/>
        <v>物业管理</v>
      </c>
      <c r="R34" s="770" t="s">
        <v>17</v>
      </c>
      <c r="S34" s="771">
        <f t="shared" si="12"/>
        <v>100</v>
      </c>
      <c r="T34" s="770" t="s">
        <v>17</v>
      </c>
      <c r="U34" s="771">
        <f t="shared" si="13"/>
        <v>100</v>
      </c>
      <c r="V34" s="770" t="s">
        <v>17</v>
      </c>
      <c r="W34" s="771">
        <f t="shared" si="14"/>
        <v>100</v>
      </c>
      <c r="X34" s="772"/>
      <c r="Y34" s="3204"/>
      <c r="Z34" s="55" t="str">
        <f t="shared" si="15"/>
        <v>物业管理</v>
      </c>
      <c r="AA34" s="773">
        <f t="shared" si="3"/>
        <v>1</v>
      </c>
      <c r="AB34" s="773">
        <f t="shared" si="4"/>
        <v>1</v>
      </c>
      <c r="AC34" s="773">
        <f t="shared" si="5"/>
        <v>1</v>
      </c>
    </row>
    <row r="35" spans="1:29" ht="15">
      <c r="A35" s="472"/>
      <c r="B35" s="422" t="s">
        <v>2662</v>
      </c>
      <c r="C35" s="460" t="s">
        <v>3080</v>
      </c>
      <c r="D35" s="435">
        <v>100</v>
      </c>
      <c r="E35" s="460" t="s">
        <v>3080</v>
      </c>
      <c r="F35" s="461">
        <f>SUMIF(102:102,E35,103:103)-SUMIF(102:102,C35,103:103)+100</f>
        <v>100</v>
      </c>
      <c r="G35" s="460" t="s">
        <v>3080</v>
      </c>
      <c r="H35" s="435">
        <f>SUMIF(102:102,G35,103:103)-SUMIF(102:102,C35,103:103)+100</f>
        <v>100</v>
      </c>
      <c r="I35" s="460" t="s">
        <v>3080</v>
      </c>
      <c r="J35" s="435">
        <f>SUMIF(102:102,I35,103:103)-SUMIF(102:102,C35,103:103)+100</f>
        <v>100</v>
      </c>
      <c r="K35" s="612">
        <v>1</v>
      </c>
      <c r="L35" s="1143"/>
      <c r="M35" s="1134"/>
      <c r="N35" s="1134"/>
      <c r="O35" s="1142"/>
      <c r="P35" s="3204" t="s">
        <v>2564</v>
      </c>
      <c r="Q35" s="1813" t="str">
        <f t="shared" si="11"/>
        <v>市政基础设施</v>
      </c>
      <c r="R35" s="774" t="s">
        <v>17</v>
      </c>
      <c r="S35" s="775">
        <f t="shared" si="12"/>
        <v>100</v>
      </c>
      <c r="T35" s="774" t="s">
        <v>17</v>
      </c>
      <c r="U35" s="775">
        <f t="shared" si="13"/>
        <v>100</v>
      </c>
      <c r="V35" s="774" t="s">
        <v>17</v>
      </c>
      <c r="W35" s="775">
        <f t="shared" si="14"/>
        <v>100</v>
      </c>
      <c r="X35" s="1816"/>
      <c r="Y35" s="3204" t="s">
        <v>2564</v>
      </c>
      <c r="Z35" s="1817" t="str">
        <f t="shared" si="15"/>
        <v>市政基础设施</v>
      </c>
      <c r="AA35" s="1814">
        <f t="shared" si="3"/>
        <v>1</v>
      </c>
      <c r="AB35" s="1814">
        <f t="shared" si="4"/>
        <v>1</v>
      </c>
      <c r="AC35" s="1814">
        <f t="shared" si="5"/>
        <v>1</v>
      </c>
    </row>
    <row r="36" spans="1:29" ht="15">
      <c r="A36" s="472"/>
      <c r="B36" s="422" t="s">
        <v>2667</v>
      </c>
      <c r="C36" s="460" t="s">
        <v>3076</v>
      </c>
      <c r="D36" s="435">
        <v>100</v>
      </c>
      <c r="E36" s="460" t="s">
        <v>3076</v>
      </c>
      <c r="F36" s="461">
        <f>SUMIF(104:104,E36,105:105)-SUMIF(104:104,C36,105:105)+100</f>
        <v>100</v>
      </c>
      <c r="G36" s="460" t="s">
        <v>3076</v>
      </c>
      <c r="H36" s="435">
        <f>SUMIF(104:104,G36,105:105)-SUMIF(104:104,C36,105:105)+100</f>
        <v>100</v>
      </c>
      <c r="I36" s="460" t="s">
        <v>3076</v>
      </c>
      <c r="J36" s="435">
        <f>SUMIF(104:104,I36,105:105)-SUMIF(104:104,C36,105:105)+100</f>
        <v>100</v>
      </c>
      <c r="K36" s="612">
        <v>2</v>
      </c>
      <c r="L36" s="1143"/>
      <c r="M36" s="1134"/>
      <c r="N36" s="1134"/>
      <c r="O36" s="1142"/>
      <c r="P36" s="3204"/>
      <c r="Q36" s="1813" t="str">
        <f t="shared" si="11"/>
        <v>内部装修</v>
      </c>
      <c r="R36" s="774" t="s">
        <v>17</v>
      </c>
      <c r="S36" s="775">
        <f t="shared" si="12"/>
        <v>100</v>
      </c>
      <c r="T36" s="774" t="s">
        <v>17</v>
      </c>
      <c r="U36" s="775">
        <f t="shared" si="13"/>
        <v>100</v>
      </c>
      <c r="V36" s="774" t="s">
        <v>17</v>
      </c>
      <c r="W36" s="775">
        <f t="shared" si="14"/>
        <v>100</v>
      </c>
      <c r="X36" s="1816"/>
      <c r="Y36" s="3204"/>
      <c r="Z36" s="1817" t="str">
        <f t="shared" si="15"/>
        <v>内部装修</v>
      </c>
      <c r="AA36" s="1814">
        <f t="shared" si="3"/>
        <v>1</v>
      </c>
      <c r="AB36" s="1814">
        <f t="shared" si="4"/>
        <v>1</v>
      </c>
      <c r="AC36" s="1814">
        <f t="shared" si="5"/>
        <v>1</v>
      </c>
    </row>
    <row r="37" spans="1:29" ht="15">
      <c r="A37" s="472"/>
      <c r="B37" s="422" t="s">
        <v>2703</v>
      </c>
      <c r="C37" s="616" t="s">
        <v>3066</v>
      </c>
      <c r="D37" s="435">
        <v>100</v>
      </c>
      <c r="E37" s="616" t="s">
        <v>3087</v>
      </c>
      <c r="F37" s="461">
        <f>SUMIF(106:106,E37,107:107)-SUMIF(106:106,C37,107:107)+100</f>
        <v>101</v>
      </c>
      <c r="G37" s="616" t="s">
        <v>3087</v>
      </c>
      <c r="H37" s="435">
        <f>SUMIF(106:106,G37,107:107)-SUMIF(106:106,C37,107:107)+100</f>
        <v>101</v>
      </c>
      <c r="I37" s="616" t="s">
        <v>3087</v>
      </c>
      <c r="J37" s="435">
        <f>SUMIF(106:106,I37,107:107)-SUMIF(106:106,C37,107:107)+100</f>
        <v>101</v>
      </c>
      <c r="K37" s="612">
        <v>1</v>
      </c>
      <c r="L37" s="1143"/>
      <c r="M37" s="1134"/>
      <c r="N37" s="1134"/>
      <c r="O37" s="1142"/>
      <c r="P37" s="3204"/>
      <c r="Q37" s="1813" t="str">
        <f t="shared" si="11"/>
        <v>内部装修状况</v>
      </c>
      <c r="R37" s="774" t="s">
        <v>17</v>
      </c>
      <c r="S37" s="775">
        <f t="shared" si="12"/>
        <v>101</v>
      </c>
      <c r="T37" s="774" t="s">
        <v>17</v>
      </c>
      <c r="U37" s="775">
        <f t="shared" si="13"/>
        <v>101</v>
      </c>
      <c r="V37" s="774" t="s">
        <v>17</v>
      </c>
      <c r="W37" s="775">
        <f t="shared" si="14"/>
        <v>101</v>
      </c>
      <c r="X37" s="1816"/>
      <c r="Y37" s="3204"/>
      <c r="Z37" s="1817" t="str">
        <f t="shared" si="15"/>
        <v>内部装修状况</v>
      </c>
      <c r="AA37" s="1814">
        <f t="shared" si="3"/>
        <v>0.99009900990099009</v>
      </c>
      <c r="AB37" s="1814">
        <f t="shared" si="4"/>
        <v>0.99009900990099009</v>
      </c>
      <c r="AC37" s="1814">
        <f t="shared" si="5"/>
        <v>0.99009900990099009</v>
      </c>
    </row>
    <row r="38" spans="1:29" s="471" customFormat="1" ht="15">
      <c r="A38" s="468"/>
      <c r="B38" s="2949" t="s">
        <v>3056</v>
      </c>
      <c r="C38" s="469" t="s">
        <v>3086</v>
      </c>
      <c r="D38" s="435">
        <v>100</v>
      </c>
      <c r="E38" s="2950" t="s">
        <v>3059</v>
      </c>
      <c r="F38" s="461">
        <f>SUMIF(108:108,E38,109:109)-SUMIF(108:108,C38,109:109)+100</f>
        <v>100</v>
      </c>
      <c r="G38" s="2950" t="s">
        <v>3059</v>
      </c>
      <c r="H38" s="435">
        <f>SUMIF(108:108,G38,109:109)-SUMIF(108:108,C38,109:109)+100</f>
        <v>100</v>
      </c>
      <c r="I38" s="2950" t="s">
        <v>3059</v>
      </c>
      <c r="J38" s="435">
        <f>SUMIF(108:108,I38,109:1038)-SUMIF(108:108,C38,109:109)+100</f>
        <v>100</v>
      </c>
      <c r="K38" s="613"/>
      <c r="L38" s="1141"/>
      <c r="M38" s="1144"/>
      <c r="N38" s="1144"/>
      <c r="O38" s="1145"/>
      <c r="P38" s="3204"/>
      <c r="Q38" s="776" t="str">
        <f t="shared" si="11"/>
        <v>层高</v>
      </c>
      <c r="R38" s="777" t="s">
        <v>17</v>
      </c>
      <c r="S38" s="778">
        <f t="shared" si="12"/>
        <v>100</v>
      </c>
      <c r="T38" s="777" t="s">
        <v>17</v>
      </c>
      <c r="U38" s="778">
        <f t="shared" si="13"/>
        <v>100</v>
      </c>
      <c r="V38" s="777" t="s">
        <v>17</v>
      </c>
      <c r="W38" s="778">
        <f t="shared" si="14"/>
        <v>100</v>
      </c>
      <c r="X38" s="779"/>
      <c r="Y38" s="3204"/>
      <c r="Z38" s="780" t="str">
        <f t="shared" si="15"/>
        <v>层高</v>
      </c>
      <c r="AA38" s="1814">
        <f t="shared" si="3"/>
        <v>1</v>
      </c>
      <c r="AB38" s="1814">
        <f t="shared" si="4"/>
        <v>1</v>
      </c>
      <c r="AC38" s="1814">
        <f t="shared" si="5"/>
        <v>1</v>
      </c>
    </row>
    <row r="39" spans="1:29" ht="15">
      <c r="A39" s="472"/>
      <c r="B39" s="2949" t="s">
        <v>3084</v>
      </c>
      <c r="C39" s="2952" t="s">
        <v>3063</v>
      </c>
      <c r="D39" s="435">
        <v>100</v>
      </c>
      <c r="E39" s="2950" t="s">
        <v>3064</v>
      </c>
      <c r="F39" s="461">
        <f>SUMIF(110:110,E39,111:111)-SUMIF(110:110,C39,111:111)+100</f>
        <v>98</v>
      </c>
      <c r="G39" s="2952" t="s">
        <v>3065</v>
      </c>
      <c r="H39" s="435">
        <f>SUMIF(110:110,G39,111:111)-SUMIF(110:110,C39,111:111)+100</f>
        <v>98</v>
      </c>
      <c r="I39" s="2952" t="s">
        <v>3065</v>
      </c>
      <c r="J39" s="435">
        <f>SUMIF(110:110,I39,111:111)-SUMIF(110:110,C39,111:111)+100</f>
        <v>98</v>
      </c>
      <c r="K39" s="613"/>
      <c r="L39" s="1143"/>
      <c r="M39" s="1134"/>
      <c r="N39" s="1134"/>
      <c r="O39" s="1142"/>
      <c r="P39" s="3204"/>
      <c r="Q39" s="1813" t="str">
        <f t="shared" si="11"/>
        <v>状态</v>
      </c>
      <c r="R39" s="774" t="s">
        <v>17</v>
      </c>
      <c r="S39" s="775">
        <f t="shared" si="12"/>
        <v>98</v>
      </c>
      <c r="T39" s="774" t="s">
        <v>17</v>
      </c>
      <c r="U39" s="775">
        <f t="shared" si="13"/>
        <v>98</v>
      </c>
      <c r="V39" s="774" t="s">
        <v>17</v>
      </c>
      <c r="W39" s="775">
        <f t="shared" si="14"/>
        <v>98</v>
      </c>
      <c r="X39" s="1816"/>
      <c r="Y39" s="3204"/>
      <c r="Z39" s="1817" t="str">
        <f t="shared" si="15"/>
        <v>状态</v>
      </c>
      <c r="AA39" s="1814">
        <f t="shared" si="3"/>
        <v>1.0204081632653061</v>
      </c>
      <c r="AB39" s="1814">
        <f t="shared" si="4"/>
        <v>1.0204081632653061</v>
      </c>
      <c r="AC39" s="1814">
        <f t="shared" si="5"/>
        <v>1.0204081632653061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9"/>
      <c r="Q40" s="1813">
        <f t="shared" si="11"/>
        <v>111</v>
      </c>
      <c r="R40" s="774" t="s">
        <v>17</v>
      </c>
      <c r="S40" s="775">
        <f t="shared" si="12"/>
        <v>100</v>
      </c>
      <c r="T40" s="774" t="s">
        <v>17</v>
      </c>
      <c r="U40" s="775">
        <f t="shared" si="13"/>
        <v>100</v>
      </c>
      <c r="V40" s="774" t="s">
        <v>17</v>
      </c>
      <c r="W40" s="775">
        <f t="shared" si="14"/>
        <v>100</v>
      </c>
      <c r="X40" s="1816"/>
      <c r="Y40" s="3249"/>
      <c r="Z40" s="1817">
        <f t="shared" si="15"/>
        <v>111</v>
      </c>
      <c r="AA40" s="1814">
        <f t="shared" si="3"/>
        <v>1</v>
      </c>
      <c r="AB40" s="1814">
        <f t="shared" si="4"/>
        <v>1</v>
      </c>
      <c r="AC40" s="1814">
        <f t="shared" si="5"/>
        <v>1</v>
      </c>
    </row>
    <row r="41" spans="1:29" ht="15">
      <c r="A41" s="479" t="s">
        <v>2576</v>
      </c>
      <c r="B41" s="480"/>
      <c r="C41" s="1410" t="s">
        <v>1</v>
      </c>
      <c r="D41" s="1411"/>
      <c r="E41" s="1412">
        <v>3200</v>
      </c>
      <c r="F41" s="1413"/>
      <c r="G41" s="1414">
        <v>3070</v>
      </c>
      <c r="H41" s="1415"/>
      <c r="I41" s="1412">
        <v>3250</v>
      </c>
      <c r="J41" s="1415"/>
      <c r="K41" s="783"/>
      <c r="L41" s="1146"/>
      <c r="M41" s="1147"/>
      <c r="N41" s="1134"/>
      <c r="O41" s="1147"/>
      <c r="P41" s="3198" t="str">
        <f>A41</f>
        <v>成交单价（元/平方米）</v>
      </c>
      <c r="Q41" s="3198"/>
      <c r="R41" s="3250">
        <f>E41</f>
        <v>3200</v>
      </c>
      <c r="S41" s="3250"/>
      <c r="T41" s="3250">
        <f>G41</f>
        <v>3070</v>
      </c>
      <c r="U41" s="3250"/>
      <c r="V41" s="3250">
        <f>I41</f>
        <v>3250</v>
      </c>
      <c r="W41" s="3250"/>
      <c r="X41" s="759"/>
      <c r="Y41" s="781"/>
      <c r="Z41" s="759"/>
      <c r="AA41" s="759"/>
      <c r="AB41" s="759"/>
      <c r="AC41" s="759"/>
    </row>
    <row r="42" spans="1:29" ht="15.75" thickBot="1">
      <c r="A42" s="486" t="s">
        <v>2668</v>
      </c>
      <c r="B42" s="487"/>
      <c r="C42" s="1416">
        <f>R43</f>
        <v>3294</v>
      </c>
      <c r="D42" s="1417"/>
      <c r="E42" s="1418">
        <f>R42</f>
        <v>3299</v>
      </c>
      <c r="F42" s="1418"/>
      <c r="G42" s="1416">
        <f>T42</f>
        <v>3165</v>
      </c>
      <c r="H42" s="1417"/>
      <c r="I42" s="1418">
        <f>V42</f>
        <v>3419</v>
      </c>
      <c r="J42" s="1417"/>
      <c r="K42" s="784"/>
      <c r="L42" s="1146"/>
      <c r="M42" s="1147"/>
      <c r="N42" s="1134"/>
      <c r="O42" s="1147"/>
      <c r="P42" s="3198" t="str">
        <f>A42</f>
        <v>比较价值（元/平方米）</v>
      </c>
      <c r="Q42" s="3198"/>
      <c r="R42" s="3250">
        <f>IF(F1="售价",ROUND(PRODUCT(R41,AA7:AA40),0),ROUND(PRODUCT(R41,AA7:AA40),1))</f>
        <v>3299</v>
      </c>
      <c r="S42" s="3250"/>
      <c r="T42" s="3250">
        <f>IF(F1="售价",ROUND(PRODUCT(T41,AB7:AB40),0),ROUND(PRODUCT(T41,AB7:AB40),1))</f>
        <v>3165</v>
      </c>
      <c r="U42" s="3250"/>
      <c r="V42" s="3250">
        <f>IF(F1="售价",ROUND(PRODUCT(V41,AC7:AC40),0),ROUND(PRODUCT(V41,AC7:AC40),1))</f>
        <v>3419</v>
      </c>
      <c r="W42" s="3250"/>
      <c r="X42" s="759"/>
      <c r="Y42" s="759"/>
      <c r="Z42" s="759"/>
      <c r="AA42" s="759"/>
      <c r="AB42" s="759"/>
      <c r="AC42" s="759"/>
    </row>
    <row r="43" spans="1:29" ht="15.75" thickBot="1">
      <c r="A43" s="492" t="s">
        <v>2669</v>
      </c>
      <c r="B43" s="493"/>
      <c r="C43" s="1420">
        <f>R43</f>
        <v>3294</v>
      </c>
      <c r="D43" s="1420"/>
      <c r="E43" s="1420"/>
      <c r="F43" s="1420"/>
      <c r="G43" s="1420"/>
      <c r="H43" s="1420"/>
      <c r="I43" s="1420"/>
      <c r="J43" s="1420"/>
      <c r="K43" s="785"/>
      <c r="L43" s="1146"/>
      <c r="M43" s="1147"/>
      <c r="N43" s="1147"/>
      <c r="O43" s="1147"/>
      <c r="P43" s="3195" t="str">
        <f>A43</f>
        <v>估价对象XX用房的比较价值（楼面单价，元/平方米）</v>
      </c>
      <c r="Q43" s="3196"/>
      <c r="R43" s="3251">
        <f>IF(F1="售价",ROUND(AVERAGE(R42:V42),0),ROUND(AVERAGE(R42:V42),1))</f>
        <v>3294</v>
      </c>
      <c r="S43" s="3251"/>
      <c r="T43" s="3251"/>
      <c r="U43" s="3251"/>
      <c r="V43" s="3251"/>
      <c r="W43" s="325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f>IF(E41&lt;E42,E42/E41-1,E41/E42-1)</f>
        <v>3.0937500000000062E-2</v>
      </c>
      <c r="F46" s="500" t="str">
        <f>IF(OR(E46&gt;=0.3,E46&lt;=-0.3),"超过30%","")</f>
        <v/>
      </c>
      <c r="G46" s="499">
        <f>IF(G41&lt;G42,G42/G41-1,G41/G42-1)</f>
        <v>3.0944625407166138E-2</v>
      </c>
      <c r="H46" s="500" t="str">
        <f>IF(OR(G46&gt;=0.3,G46&lt;=-0.3),"超过30%","")</f>
        <v/>
      </c>
      <c r="I46" s="499">
        <f>IF(I41&lt;I42,I42/I41-1,I41/I42-1)</f>
        <v>5.2000000000000046E-2</v>
      </c>
      <c r="J46" s="500" t="str">
        <f>IF(OR(I46&gt;=0.3,I46&lt;=-0.3),"超过30%","")</f>
        <v/>
      </c>
      <c r="K46" s="1108"/>
      <c r="L46" s="1109"/>
      <c r="M46" s="1147"/>
      <c r="N46" s="1147"/>
      <c r="O46" s="1147"/>
    </row>
    <row r="47" spans="1:29" ht="13.5" customHeight="1">
      <c r="A47" s="1147"/>
      <c r="B47" s="1147"/>
      <c r="C47" s="497" t="s">
        <v>2671</v>
      </c>
      <c r="D47" s="501"/>
      <c r="E47" s="499">
        <f>IF(E42&lt;G42,G42/E42-1,E42/G42-1)</f>
        <v>4.2338072669826143E-2</v>
      </c>
      <c r="F47" s="500" t="str">
        <f>IF(OR(E47&gt;=0.2,E47&lt;=-0.2),"超过20%","")</f>
        <v/>
      </c>
      <c r="G47" s="499">
        <f>IF(G42&lt;I42,I42/G42-1,G42/I42-1)</f>
        <v>8.0252764612954275E-2</v>
      </c>
      <c r="H47" s="500" t="str">
        <f>IF(OR(G47&gt;=0.2,G47&lt;=-0.2),"超过20%","")</f>
        <v/>
      </c>
      <c r="I47" s="499">
        <f>IF(I42&lt;E42,E42/I42-1,I42/E42-1)</f>
        <v>3.6374658987571973E-2</v>
      </c>
      <c r="J47" s="500" t="str">
        <f>IF(OR(I47&gt;=0.2,I47&lt;=-0.2),"超过20%","")</f>
        <v/>
      </c>
      <c r="K47" s="1108"/>
      <c r="L47" s="1109"/>
      <c r="M47" s="1147"/>
      <c r="N47" s="1147"/>
      <c r="O47" s="1147"/>
    </row>
    <row r="48" spans="1:29" s="502" customFormat="1" ht="13.5" customHeight="1">
      <c r="A48" s="1148"/>
      <c r="B48" s="1148"/>
      <c r="C48" s="497" t="s">
        <v>2672</v>
      </c>
      <c r="D48" s="501"/>
      <c r="E48" s="499">
        <f>IF(E41&lt;G41,G41/E41-1,E41/G41-1)</f>
        <v>4.2345276872964188E-2</v>
      </c>
      <c r="F48" s="500" t="str">
        <f>IF(OR(E48&gt;=0.3,E48&lt;=-0.3),"超过30%","")</f>
        <v/>
      </c>
      <c r="G48" s="499">
        <f>IF(G41&lt;I41,I41/G41-1,G41/I41-1)</f>
        <v>5.8631921824104261E-2</v>
      </c>
      <c r="H48" s="500" t="str">
        <f>IF(OR(G48&gt;=0.3,G48&lt;=-0.3),"超过30%","")</f>
        <v/>
      </c>
      <c r="I48" s="499">
        <f>IF(I41&lt;E41,E41/I41-1,I41/E41-1)</f>
        <v>1.5625E-2</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7" t="str">
        <f>YEAR(C7)&amp;"-"&amp;MONTH(C7)</f>
        <v>2018-7</v>
      </c>
      <c r="D52" s="1578">
        <f>EDATE(C52,-1)</f>
        <v>43252</v>
      </c>
      <c r="E52" s="1578">
        <f t="shared" ref="E52:O52" si="16">EDATE(D52,-1)</f>
        <v>43221</v>
      </c>
      <c r="F52" s="1578">
        <f t="shared" si="16"/>
        <v>43191</v>
      </c>
      <c r="G52" s="1578">
        <f t="shared" si="16"/>
        <v>43160</v>
      </c>
      <c r="H52" s="1578">
        <f t="shared" si="16"/>
        <v>43132</v>
      </c>
      <c r="I52" s="1578">
        <f t="shared" si="16"/>
        <v>43101</v>
      </c>
      <c r="J52" s="1578">
        <f t="shared" si="16"/>
        <v>43070</v>
      </c>
      <c r="K52" s="1578">
        <f t="shared" si="16"/>
        <v>43040</v>
      </c>
      <c r="L52" s="1578">
        <f t="shared" si="16"/>
        <v>43009</v>
      </c>
      <c r="M52" s="1578">
        <f t="shared" si="16"/>
        <v>42979</v>
      </c>
      <c r="N52" s="1578">
        <f t="shared" si="16"/>
        <v>42948</v>
      </c>
      <c r="O52" s="1578">
        <f t="shared" si="16"/>
        <v>42917</v>
      </c>
      <c r="P52" s="507"/>
    </row>
    <row r="53" spans="1:17" s="117" customFormat="1" ht="15">
      <c r="A53" s="509"/>
      <c r="B53" s="510"/>
      <c r="C53" s="1576">
        <v>100</v>
      </c>
      <c r="D53" s="512">
        <v>99.5</v>
      </c>
      <c r="E53" s="512">
        <v>99.5</v>
      </c>
      <c r="F53" s="512">
        <v>99.5</v>
      </c>
      <c r="G53" s="512">
        <v>99</v>
      </c>
      <c r="H53" s="512">
        <v>99</v>
      </c>
      <c r="I53" s="512">
        <v>99</v>
      </c>
      <c r="J53" s="512">
        <v>98.5</v>
      </c>
      <c r="K53" s="512">
        <v>98.5</v>
      </c>
      <c r="L53" s="512">
        <v>98.5</v>
      </c>
      <c r="M53" s="513">
        <v>98</v>
      </c>
      <c r="N53" s="512">
        <v>98</v>
      </c>
      <c r="O53" s="514">
        <v>98</v>
      </c>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t="str">
        <f>C9</f>
        <v>工业</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99</v>
      </c>
      <c r="G60" s="544">
        <f>F60-$K10</f>
        <v>98</v>
      </c>
      <c r="H60" s="544">
        <f>G60-$K10</f>
        <v>97</v>
      </c>
      <c r="I60" s="544">
        <f>H60-$K10</f>
        <v>96</v>
      </c>
      <c r="J60" s="544"/>
      <c r="K60" s="544"/>
      <c r="L60" s="544"/>
      <c r="M60" s="545"/>
      <c r="N60" s="1156"/>
      <c r="O60" s="1156"/>
      <c r="P60" s="45"/>
      <c r="Q60" s="504"/>
    </row>
    <row r="61" spans="1:17" ht="15.75" thickTop="1">
      <c r="A61" s="534"/>
      <c r="B61" s="546" t="s">
        <v>2557</v>
      </c>
      <c r="C61" s="547" t="str">
        <f>C62&amp;"（含）"&amp;"-"&amp;D62</f>
        <v>0（含）-1</v>
      </c>
      <c r="D61" s="547" t="str">
        <f t="shared" ref="D61:L61" si="17">D62&amp;"（含）"&amp;"-"&amp;E62</f>
        <v>1（含）-2</v>
      </c>
      <c r="E61" s="547" t="str">
        <f t="shared" si="17"/>
        <v>2（含）-3</v>
      </c>
      <c r="F61" s="547" t="str">
        <f t="shared" si="17"/>
        <v>3（含）-4</v>
      </c>
      <c r="G61" s="547" t="str">
        <f t="shared" si="17"/>
        <v>4（含）-5</v>
      </c>
      <c r="H61" s="547" t="str">
        <f t="shared" si="17"/>
        <v>5（含）-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v>0</v>
      </c>
      <c r="D62" s="549">
        <v>1</v>
      </c>
      <c r="E62" s="549">
        <v>2</v>
      </c>
      <c r="F62" s="549">
        <v>3</v>
      </c>
      <c r="G62" s="549">
        <v>4</v>
      </c>
      <c r="H62" s="549">
        <v>5</v>
      </c>
      <c r="I62" s="549"/>
      <c r="J62" s="549"/>
      <c r="K62" s="550"/>
      <c r="L62" s="551"/>
      <c r="M62" s="552"/>
      <c r="N62" s="1155"/>
      <c r="O62" s="1155"/>
      <c r="P62" s="45"/>
      <c r="Q62" s="504"/>
    </row>
    <row r="63" spans="1:17" ht="15.75" thickBot="1">
      <c r="A63" s="534"/>
      <c r="B63" s="535"/>
      <c r="C63" s="544">
        <v>100</v>
      </c>
      <c r="D63" s="544">
        <f t="shared" ref="D63:M63" si="18">C63-$K11</f>
        <v>99</v>
      </c>
      <c r="E63" s="544">
        <f t="shared" si="18"/>
        <v>98</v>
      </c>
      <c r="F63" s="544">
        <f t="shared" si="18"/>
        <v>97</v>
      </c>
      <c r="G63" s="544">
        <f t="shared" si="18"/>
        <v>96</v>
      </c>
      <c r="H63" s="544">
        <f t="shared" si="18"/>
        <v>95</v>
      </c>
      <c r="I63" s="544">
        <f t="shared" si="18"/>
        <v>94</v>
      </c>
      <c r="J63" s="544">
        <f t="shared" si="18"/>
        <v>93</v>
      </c>
      <c r="K63" s="544">
        <f t="shared" si="18"/>
        <v>92</v>
      </c>
      <c r="L63" s="544">
        <f t="shared" si="18"/>
        <v>91</v>
      </c>
      <c r="M63" s="545">
        <f t="shared" si="18"/>
        <v>90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6"/>
      <c r="O79" s="1156"/>
      <c r="P79" s="45"/>
      <c r="Q79" s="504"/>
    </row>
    <row r="80" spans="1:17" s="117" customFormat="1" ht="15.75" thickTop="1">
      <c r="A80" s="579"/>
      <c r="B80" s="538" t="str">
        <f>B25</f>
        <v>楼层</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2562</v>
      </c>
      <c r="B88" s="528" t="s">
        <v>2611</v>
      </c>
      <c r="C88" s="2953" t="s">
        <v>3069</v>
      </c>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99</v>
      </c>
      <c r="E89" s="544">
        <f t="shared" si="19"/>
        <v>98</v>
      </c>
      <c r="F89" s="544">
        <f t="shared" si="19"/>
        <v>97</v>
      </c>
      <c r="G89" s="544">
        <f t="shared" si="19"/>
        <v>96</v>
      </c>
      <c r="H89" s="544">
        <f t="shared" si="19"/>
        <v>95</v>
      </c>
      <c r="I89" s="544">
        <f t="shared" si="19"/>
        <v>94</v>
      </c>
      <c r="J89" s="544">
        <f t="shared" si="19"/>
        <v>93</v>
      </c>
      <c r="K89" s="544">
        <f t="shared" si="19"/>
        <v>92</v>
      </c>
      <c r="L89" s="544">
        <f t="shared" si="19"/>
        <v>91</v>
      </c>
      <c r="M89" s="545">
        <f t="shared" si="19"/>
        <v>90</v>
      </c>
      <c r="N89" s="1156"/>
      <c r="O89" s="1156"/>
      <c r="P89" s="45"/>
      <c r="Q89" s="504"/>
    </row>
    <row r="90" spans="1:17" ht="29.25" thickTop="1">
      <c r="A90" s="534"/>
      <c r="B90" s="538" t="s">
        <v>2612</v>
      </c>
      <c r="C90" s="578" t="str">
        <f>C91&amp;"(含)"&amp;"-"&amp;D91</f>
        <v>0(含)-500</v>
      </c>
      <c r="D90" s="578" t="str">
        <f t="shared" ref="D90:L90" si="20">D91&amp;"(含)"&amp;"-"&amp;E91</f>
        <v>500(含)-1000</v>
      </c>
      <c r="E90" s="578" t="str">
        <f t="shared" si="20"/>
        <v>1000(含)-1500</v>
      </c>
      <c r="F90" s="578" t="str">
        <f t="shared" si="20"/>
        <v>1500(含)-2000</v>
      </c>
      <c r="G90" s="578" t="str">
        <f t="shared" si="20"/>
        <v>2000(含)-3000</v>
      </c>
      <c r="H90" s="578" t="str">
        <f t="shared" si="20"/>
        <v>3000(含)-4000</v>
      </c>
      <c r="I90" s="578" t="str">
        <f t="shared" si="20"/>
        <v>4000(含)-5000</v>
      </c>
      <c r="J90" s="578" t="str">
        <f t="shared" si="20"/>
        <v>5000(含)-</v>
      </c>
      <c r="K90" s="578" t="str">
        <f t="shared" si="20"/>
        <v>(含)-</v>
      </c>
      <c r="L90" s="578" t="str">
        <f t="shared" si="20"/>
        <v>(含)-</v>
      </c>
      <c r="M90" s="622" t="str">
        <f>M91&amp;"(含)"&amp;"-"&amp;P91</f>
        <v>(含)-</v>
      </c>
      <c r="N90" s="1154"/>
      <c r="O90" s="1154"/>
      <c r="P90" s="45"/>
      <c r="Q90" s="504"/>
    </row>
    <row r="91" spans="1:17" s="471" customFormat="1">
      <c r="A91" s="593"/>
      <c r="B91" s="594"/>
      <c r="C91" s="595">
        <v>0</v>
      </c>
      <c r="D91" s="595">
        <v>500</v>
      </c>
      <c r="E91" s="595">
        <v>1000</v>
      </c>
      <c r="F91" s="595">
        <v>1500</v>
      </c>
      <c r="G91" s="595">
        <v>2000</v>
      </c>
      <c r="H91" s="595">
        <v>3000</v>
      </c>
      <c r="I91" s="595">
        <v>4000</v>
      </c>
      <c r="J91" s="596">
        <v>5000</v>
      </c>
      <c r="K91" s="596"/>
      <c r="L91" s="597"/>
      <c r="M91" s="598"/>
      <c r="N91" s="1157"/>
      <c r="O91" s="1157"/>
      <c r="P91" s="558"/>
      <c r="Q91" s="559"/>
    </row>
    <row r="92" spans="1:17" s="471" customFormat="1" ht="15.75" thickBot="1">
      <c r="A92" s="553"/>
      <c r="B92" s="543"/>
      <c r="C92" s="560">
        <v>99</v>
      </c>
      <c r="D92" s="536">
        <v>100</v>
      </c>
      <c r="E92" s="536">
        <v>101</v>
      </c>
      <c r="F92" s="536">
        <v>102</v>
      </c>
      <c r="G92" s="536">
        <v>103</v>
      </c>
      <c r="H92" s="536">
        <v>104</v>
      </c>
      <c r="I92" s="536">
        <v>105</v>
      </c>
      <c r="J92" s="536">
        <v>106</v>
      </c>
      <c r="K92" s="536"/>
      <c r="L92" s="536"/>
      <c r="M92" s="537"/>
      <c r="N92" s="1156"/>
      <c r="O92" s="1156"/>
      <c r="P92" s="558"/>
      <c r="Q92" s="559"/>
    </row>
    <row r="93" spans="1:17" ht="15" thickTop="1">
      <c r="A93" s="599"/>
      <c r="B93" s="538" t="s">
        <v>2613</v>
      </c>
      <c r="C93" s="2954" t="s">
        <v>3071</v>
      </c>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99</v>
      </c>
      <c r="E94" s="544">
        <f t="shared" si="21"/>
        <v>98</v>
      </c>
      <c r="F94" s="544">
        <f t="shared" si="21"/>
        <v>97</v>
      </c>
      <c r="G94" s="544">
        <f t="shared" si="21"/>
        <v>96</v>
      </c>
      <c r="H94" s="544">
        <f t="shared" si="21"/>
        <v>95</v>
      </c>
      <c r="I94" s="544">
        <f t="shared" si="21"/>
        <v>94</v>
      </c>
      <c r="J94" s="544">
        <f t="shared" si="21"/>
        <v>93</v>
      </c>
      <c r="K94" s="544">
        <f t="shared" si="21"/>
        <v>92</v>
      </c>
      <c r="L94" s="544">
        <f t="shared" si="21"/>
        <v>91</v>
      </c>
      <c r="M94" s="545">
        <f t="shared" si="21"/>
        <v>90</v>
      </c>
      <c r="N94" s="1156"/>
      <c r="O94" s="1156"/>
      <c r="P94" s="45"/>
      <c r="Q94" s="504"/>
    </row>
    <row r="95" spans="1:17" ht="15" thickTop="1">
      <c r="A95" s="599"/>
      <c r="B95" s="538" t="s">
        <v>2615</v>
      </c>
      <c r="C95" s="2954" t="s">
        <v>3072</v>
      </c>
      <c r="D95" s="2954" t="s">
        <v>3073</v>
      </c>
      <c r="E95" s="2954" t="s">
        <v>3075</v>
      </c>
      <c r="F95" s="2955" t="s">
        <v>3077</v>
      </c>
      <c r="G95" s="583"/>
      <c r="H95" s="583"/>
      <c r="I95" s="583"/>
      <c r="J95" s="583"/>
      <c r="K95" s="584"/>
      <c r="L95" s="585"/>
      <c r="M95" s="586"/>
      <c r="N95" s="1155"/>
      <c r="O95" s="1155"/>
      <c r="P95" s="45"/>
      <c r="Q95" s="504"/>
    </row>
    <row r="96" spans="1:17" ht="15.75" thickBot="1">
      <c r="A96" s="534"/>
      <c r="B96" s="543"/>
      <c r="C96" s="544">
        <v>100</v>
      </c>
      <c r="D96" s="544">
        <f t="shared" ref="D96:M96" si="22">C96-$K32</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5">
        <f t="shared" si="22"/>
        <v>90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101</v>
      </c>
      <c r="E99" s="544">
        <f t="shared" ref="E99:M99" si="23">D99+$K33</f>
        <v>102</v>
      </c>
      <c r="F99" s="544">
        <f t="shared" si="23"/>
        <v>103</v>
      </c>
      <c r="G99" s="544">
        <f t="shared" si="23"/>
        <v>104</v>
      </c>
      <c r="H99" s="544">
        <f t="shared" si="23"/>
        <v>105</v>
      </c>
      <c r="I99" s="544">
        <f t="shared" si="23"/>
        <v>106</v>
      </c>
      <c r="J99" s="544">
        <f t="shared" si="23"/>
        <v>107</v>
      </c>
      <c r="K99" s="544">
        <f t="shared" si="23"/>
        <v>108</v>
      </c>
      <c r="L99" s="544">
        <f t="shared" si="23"/>
        <v>109</v>
      </c>
      <c r="M99" s="544">
        <f t="shared" si="23"/>
        <v>110</v>
      </c>
      <c r="N99" s="1156"/>
      <c r="O99" s="1156"/>
      <c r="P99" s="45"/>
      <c r="Q99" s="504"/>
    </row>
    <row r="100" spans="1:17" s="471" customFormat="1" ht="15" thickTop="1">
      <c r="A100" s="593"/>
      <c r="B100" s="538" t="s">
        <v>2616</v>
      </c>
      <c r="C100" s="2954" t="s">
        <v>3079</v>
      </c>
      <c r="D100" s="2954" t="s">
        <v>3082</v>
      </c>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99</v>
      </c>
      <c r="E101" s="544">
        <f t="shared" ref="E101:M101" si="24">D101-$K34</f>
        <v>98</v>
      </c>
      <c r="F101" s="544">
        <f t="shared" si="24"/>
        <v>97</v>
      </c>
      <c r="G101" s="544">
        <f t="shared" si="24"/>
        <v>96</v>
      </c>
      <c r="H101" s="544">
        <f t="shared" si="24"/>
        <v>95</v>
      </c>
      <c r="I101" s="544">
        <f t="shared" si="24"/>
        <v>94</v>
      </c>
      <c r="J101" s="544">
        <f t="shared" si="24"/>
        <v>93</v>
      </c>
      <c r="K101" s="544">
        <f t="shared" si="24"/>
        <v>92</v>
      </c>
      <c r="L101" s="544">
        <f t="shared" si="24"/>
        <v>91</v>
      </c>
      <c r="M101" s="544">
        <f t="shared" si="24"/>
        <v>90</v>
      </c>
      <c r="N101" s="1157"/>
      <c r="O101" s="1157"/>
      <c r="P101" s="558"/>
      <c r="Q101" s="559"/>
    </row>
    <row r="102" spans="1:17" ht="15" thickTop="1">
      <c r="A102" s="599"/>
      <c r="B102" s="538" t="s">
        <v>2617</v>
      </c>
      <c r="C102" s="2954" t="s">
        <v>3081</v>
      </c>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99</v>
      </c>
      <c r="E103" s="544">
        <f t="shared" si="25"/>
        <v>98</v>
      </c>
      <c r="F103" s="544">
        <f t="shared" si="25"/>
        <v>97</v>
      </c>
      <c r="G103" s="544">
        <f t="shared" si="25"/>
        <v>96</v>
      </c>
      <c r="H103" s="544">
        <f t="shared" si="25"/>
        <v>95</v>
      </c>
      <c r="I103" s="544">
        <f t="shared" si="25"/>
        <v>94</v>
      </c>
      <c r="J103" s="544">
        <f t="shared" si="25"/>
        <v>93</v>
      </c>
      <c r="K103" s="544">
        <f t="shared" si="25"/>
        <v>92</v>
      </c>
      <c r="L103" s="544">
        <f t="shared" si="25"/>
        <v>91</v>
      </c>
      <c r="M103" s="545">
        <f t="shared" si="25"/>
        <v>90</v>
      </c>
      <c r="N103" s="1156"/>
      <c r="O103" s="1156"/>
      <c r="P103" s="45"/>
      <c r="Q103" s="504"/>
    </row>
    <row r="104" spans="1:17" ht="15" thickTop="1">
      <c r="A104" s="599"/>
      <c r="B104" s="538" t="s">
        <v>2619</v>
      </c>
      <c r="C104" s="2954" t="s">
        <v>3077</v>
      </c>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99</v>
      </c>
      <c r="E107" s="544">
        <f t="shared" si="26"/>
        <v>98</v>
      </c>
      <c r="F107" s="544">
        <f t="shared" si="26"/>
        <v>97</v>
      </c>
      <c r="G107" s="544">
        <f t="shared" si="26"/>
        <v>96</v>
      </c>
      <c r="H107" s="544">
        <f t="shared" si="26"/>
        <v>95</v>
      </c>
      <c r="I107" s="544">
        <f t="shared" si="26"/>
        <v>94</v>
      </c>
      <c r="J107" s="544">
        <f t="shared" si="26"/>
        <v>93</v>
      </c>
      <c r="K107" s="544">
        <f t="shared" si="26"/>
        <v>92</v>
      </c>
      <c r="L107" s="544">
        <f t="shared" si="26"/>
        <v>91</v>
      </c>
      <c r="M107" s="544">
        <f t="shared" si="26"/>
        <v>90</v>
      </c>
      <c r="N107" s="1156"/>
      <c r="O107" s="1156"/>
      <c r="P107" s="45"/>
      <c r="Q107" s="504"/>
    </row>
    <row r="108" spans="1:17" s="471" customFormat="1" ht="15" thickTop="1">
      <c r="A108" s="593"/>
      <c r="B108" s="538" t="str">
        <f>B38</f>
        <v>层高</v>
      </c>
      <c r="C108" s="2954" t="s">
        <v>3083</v>
      </c>
      <c r="D108" s="2954" t="s">
        <v>3085</v>
      </c>
      <c r="E108" s="554"/>
      <c r="F108" s="554"/>
      <c r="G108" s="554"/>
      <c r="H108" s="555"/>
      <c r="I108" s="555"/>
      <c r="J108" s="555"/>
      <c r="K108" s="555"/>
      <c r="L108" s="556"/>
      <c r="M108" s="557"/>
      <c r="N108" s="1157"/>
      <c r="O108" s="1157"/>
      <c r="P108" s="558"/>
      <c r="Q108" s="559"/>
    </row>
    <row r="109" spans="1:17" s="471" customFormat="1" ht="15.75" thickBot="1">
      <c r="A109" s="553"/>
      <c r="B109" s="535"/>
      <c r="C109" s="560">
        <v>100</v>
      </c>
      <c r="D109" s="536">
        <v>98</v>
      </c>
      <c r="E109" s="536"/>
      <c r="F109" s="536"/>
      <c r="G109" s="560"/>
      <c r="H109" s="562"/>
      <c r="I109" s="562"/>
      <c r="J109" s="562"/>
      <c r="K109" s="562"/>
      <c r="L109" s="562"/>
      <c r="M109" s="563"/>
      <c r="N109" s="1157"/>
      <c r="O109" s="1157"/>
      <c r="P109" s="558"/>
      <c r="Q109" s="559"/>
    </row>
    <row r="110" spans="1:17" ht="15" thickTop="1">
      <c r="A110" s="599"/>
      <c r="B110" s="538" t="str">
        <f>B39</f>
        <v>状态</v>
      </c>
      <c r="C110" s="2954" t="s">
        <v>3063</v>
      </c>
      <c r="D110" s="2954" t="s">
        <v>3065</v>
      </c>
      <c r="E110" s="554"/>
      <c r="F110" s="554"/>
      <c r="G110" s="554"/>
      <c r="H110" s="555"/>
      <c r="I110" s="555"/>
      <c r="J110" s="555"/>
      <c r="K110" s="555"/>
      <c r="L110" s="556"/>
      <c r="M110" s="557"/>
      <c r="N110" s="1155"/>
      <c r="O110" s="1155"/>
      <c r="P110" s="45"/>
      <c r="Q110" s="504"/>
    </row>
    <row r="111" spans="1:17" ht="15.75" thickBot="1">
      <c r="A111" s="534"/>
      <c r="B111" s="543"/>
      <c r="C111" s="560">
        <v>100</v>
      </c>
      <c r="D111" s="536">
        <v>98</v>
      </c>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3" priority="16" stopIfTrue="1" operator="containsText" text="超过">
      <formula>NOT(ISERROR(SEARCH("超过",F46)))</formula>
    </cfRule>
  </conditionalFormatting>
  <conditionalFormatting sqref="H48">
    <cfRule type="containsText" dxfId="122" priority="15" stopIfTrue="1" operator="containsText" text="超过">
      <formula>NOT(ISERROR(SEARCH("超过",H48)))</formula>
    </cfRule>
  </conditionalFormatting>
  <conditionalFormatting sqref="F48">
    <cfRule type="containsText" dxfId="121" priority="14" stopIfTrue="1" operator="containsText" text="超过">
      <formula>NOT(ISERROR(SEARCH("超过",F48)))</formula>
    </cfRule>
  </conditionalFormatting>
  <conditionalFormatting sqref="F47 H47">
    <cfRule type="containsText" dxfId="120" priority="13" stopIfTrue="1" operator="containsText" text="超过">
      <formula>NOT(ISERROR(SEARCH("超过",F47)))</formula>
    </cfRule>
  </conditionalFormatting>
  <conditionalFormatting sqref="E46">
    <cfRule type="expression" dxfId="119" priority="12" stopIfTrue="1">
      <formula>$F$46="超过30%"</formula>
    </cfRule>
  </conditionalFormatting>
  <conditionalFormatting sqref="E47">
    <cfRule type="expression" dxfId="118" priority="11" stopIfTrue="1">
      <formula>$F$47="超过20%"</formula>
    </cfRule>
  </conditionalFormatting>
  <conditionalFormatting sqref="E48">
    <cfRule type="expression" dxfId="117" priority="10" stopIfTrue="1">
      <formula>$F$48="超过30%"</formula>
    </cfRule>
  </conditionalFormatting>
  <conditionalFormatting sqref="G48">
    <cfRule type="expression" dxfId="116" priority="9" stopIfTrue="1">
      <formula>$H$48="超过30%"</formula>
    </cfRule>
  </conditionalFormatting>
  <conditionalFormatting sqref="G46">
    <cfRule type="expression" dxfId="115" priority="8" stopIfTrue="1">
      <formula>$H$46="超过30%"</formula>
    </cfRule>
  </conditionalFormatting>
  <conditionalFormatting sqref="G47">
    <cfRule type="expression" dxfId="114" priority="7" stopIfTrue="1">
      <formula>$H$47="超过20%"</formula>
    </cfRule>
  </conditionalFormatting>
  <conditionalFormatting sqref="J46">
    <cfRule type="containsText" dxfId="113" priority="6" stopIfTrue="1" operator="containsText" text="超过">
      <formula>NOT(ISERROR(SEARCH("超过",J46)))</formula>
    </cfRule>
  </conditionalFormatting>
  <conditionalFormatting sqref="J48">
    <cfRule type="containsText" dxfId="112" priority="5" stopIfTrue="1" operator="containsText" text="超过">
      <formula>NOT(ISERROR(SEARCH("超过",J48)))</formula>
    </cfRule>
  </conditionalFormatting>
  <conditionalFormatting sqref="J47">
    <cfRule type="containsText" dxfId="111" priority="4" stopIfTrue="1" operator="containsText" text="超过">
      <formula>NOT(ISERROR(SEARCH("超过",J47)))</formula>
    </cfRule>
  </conditionalFormatting>
  <conditionalFormatting sqref="I46">
    <cfRule type="expression" dxfId="110" priority="3" stopIfTrue="1">
      <formula>$J$46="超过30%"</formula>
    </cfRule>
  </conditionalFormatting>
  <conditionalFormatting sqref="I47">
    <cfRule type="expression" dxfId="109" priority="2" stopIfTrue="1">
      <formula>$J$47="超过20%"</formula>
    </cfRule>
  </conditionalFormatting>
  <conditionalFormatting sqref="I48">
    <cfRule type="expression" dxfId="10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37" zoomScaleNormal="10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3371</v>
      </c>
      <c r="D1" s="1823" t="s">
        <v>70</v>
      </c>
      <c r="E1" s="1824" t="s">
        <v>1387</v>
      </c>
      <c r="F1" s="1286">
        <f ca="1">J53</f>
        <v>42.69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f ca="1">ROUND(D2/10000,0)</f>
        <v>-135</v>
      </c>
      <c r="C2" s="1848" t="s">
        <v>1591</v>
      </c>
      <c r="D2" s="1941">
        <f ca="1">C40+J29+L46</f>
        <v>-1347681</v>
      </c>
      <c r="E2" s="1849" t="s">
        <v>1592</v>
      </c>
      <c r="F2" s="1850"/>
      <c r="G2" s="1851"/>
      <c r="H2" s="1843"/>
      <c r="I2" s="1843"/>
      <c r="J2" s="1843"/>
      <c r="K2" s="1844"/>
      <c r="L2" s="1843"/>
      <c r="M2" s="1843"/>
    </row>
    <row r="3" spans="1:37" ht="18" customHeight="1" thickBot="1">
      <c r="A3" s="1852" t="s">
        <v>1593</v>
      </c>
      <c r="B3" s="1853">
        <f ca="1">IF(ISERROR(D2/F43),0,ROUND(D2/F43,0))</f>
        <v>-837</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40" t="s">
        <v>1403</v>
      </c>
      <c r="C6" s="1299">
        <f ca="1">ROUND(F6*F8*F7*(1-F9),0)</f>
        <v>0</v>
      </c>
      <c r="D6" s="164" t="s">
        <v>3025</v>
      </c>
      <c r="E6" s="347" t="s">
        <v>1405</v>
      </c>
      <c r="F6" s="348">
        <f ca="1">INDIRECT("'数据-取费表'!u"&amp;$G$1)</f>
        <v>0</v>
      </c>
      <c r="G6" s="1854"/>
      <c r="H6" s="1294" t="s">
        <v>1035</v>
      </c>
      <c r="I6" s="3240" t="s">
        <v>1403</v>
      </c>
      <c r="J6" s="346">
        <f ca="1">ROUND(M6*M8*M7*(1-M9),0)</f>
        <v>0</v>
      </c>
      <c r="K6" s="1837" t="s">
        <v>3026</v>
      </c>
      <c r="L6" s="347" t="s">
        <v>1405</v>
      </c>
      <c r="M6" s="348">
        <f ca="1">INDIRECT("'数据-取费表'!z"&amp;$G$1)</f>
        <v>0</v>
      </c>
    </row>
    <row r="7" spans="1:37" ht="18" customHeight="1">
      <c r="A7" s="1298"/>
      <c r="B7" s="3241"/>
      <c r="C7" s="1300"/>
      <c r="D7" s="352"/>
      <c r="E7" s="1301" t="s">
        <v>1406</v>
      </c>
      <c r="F7" s="348">
        <f ca="1">IF(INDIRECT("'数据-取费表'!ah"&amp;$G$1)="",INDIRECT("'数据-取费表'!k"&amp;$G$1),INDIRECT("'数据-取费表'!ah"&amp;$G$1))</f>
        <v>1611</v>
      </c>
      <c r="G7" s="1854"/>
      <c r="H7" s="349"/>
      <c r="I7" s="3241"/>
      <c r="J7" s="351"/>
      <c r="K7" s="352"/>
      <c r="L7" s="347" t="s">
        <v>1406</v>
      </c>
      <c r="M7" s="348">
        <f ca="1">F7</f>
        <v>1611</v>
      </c>
    </row>
    <row r="8" spans="1:37" ht="18" customHeight="1">
      <c r="A8" s="349"/>
      <c r="B8" s="3241"/>
      <c r="C8" s="351"/>
      <c r="D8" s="352"/>
      <c r="E8" s="347" t="s">
        <v>1407</v>
      </c>
      <c r="F8" s="348">
        <f ca="1">INDIRECT("'数据-取费表'!ai"&amp;$G$1)</f>
        <v>365</v>
      </c>
      <c r="G8" s="1854"/>
      <c r="H8" s="349"/>
      <c r="I8" s="3241"/>
      <c r="J8" s="351"/>
      <c r="K8" s="352"/>
      <c r="L8" s="347" t="s">
        <v>1407</v>
      </c>
      <c r="M8" s="348">
        <f ca="1">INDIRECT("'数据-取费表'!ai"&amp;$G$1)</f>
        <v>365</v>
      </c>
    </row>
    <row r="9" spans="1:37" ht="18" customHeight="1">
      <c r="A9" s="349"/>
      <c r="B9" s="3242"/>
      <c r="C9" s="351"/>
      <c r="D9" s="352"/>
      <c r="E9" s="347" t="s">
        <v>1408</v>
      </c>
      <c r="F9" s="357">
        <f ca="1">INDIRECT("'数据-取费表'!w"&amp;$G$1)</f>
        <v>0</v>
      </c>
      <c r="G9" s="1854"/>
      <c r="H9" s="349"/>
      <c r="I9" s="3242"/>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3036</v>
      </c>
      <c r="E10" s="358" t="s">
        <v>1410</v>
      </c>
      <c r="F10" s="1369" t="s">
        <v>3093</v>
      </c>
      <c r="G10" s="1854"/>
      <c r="H10" s="1294" t="s">
        <v>1039</v>
      </c>
      <c r="I10" s="1826" t="s">
        <v>1409</v>
      </c>
      <c r="J10" s="346">
        <f ca="1">ROUND(IF(M10="押一",J6/12*M11,IF(M10="押二",J6/12*2*M11,IF(M10="押三",J6/12*3*M11,J11*M11))),0)</f>
        <v>0</v>
      </c>
      <c r="K10" s="1838" t="s">
        <v>3038</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4391981</v>
      </c>
      <c r="D13" s="1334" t="s">
        <v>1415</v>
      </c>
      <c r="E13" s="1334" t="s">
        <v>1416</v>
      </c>
      <c r="F13" s="1335">
        <f ca="1">INDIRECT("'数据-取费表'!y"&amp;$G$1)</f>
        <v>0.9</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3222000</v>
      </c>
      <c r="D14" s="1803" t="s">
        <v>1418</v>
      </c>
      <c r="E14" s="1797"/>
      <c r="F14" s="364"/>
      <c r="G14" s="1854"/>
      <c r="H14" s="1204" t="s">
        <v>1035</v>
      </c>
      <c r="I14" s="347" t="s">
        <v>1419</v>
      </c>
      <c r="J14" s="24">
        <f ca="1">C29</f>
        <v>4879979</v>
      </c>
      <c r="K14" s="15"/>
      <c r="L14" s="982"/>
      <c r="M14" s="983"/>
    </row>
    <row r="15" spans="1:37" s="1861" customFormat="1" ht="18" customHeight="1" thickBot="1">
      <c r="A15" s="1204" t="s">
        <v>1036</v>
      </c>
      <c r="B15" s="347" t="s">
        <v>1420</v>
      </c>
      <c r="C15" s="24">
        <f ca="1">ROUND(C14*F15,0)</f>
        <v>96660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114192</v>
      </c>
      <c r="K16" s="1340" t="s">
        <v>1425</v>
      </c>
      <c r="L16" s="1341"/>
      <c r="M16" s="1297"/>
    </row>
    <row r="17" spans="1:37" s="1861" customFormat="1" ht="18" customHeight="1">
      <c r="A17" s="1204" t="s">
        <v>1390</v>
      </c>
      <c r="B17" s="347" t="s">
        <v>1426</v>
      </c>
      <c r="C17" s="24">
        <f ca="1">ROUND(F17*(F43+INDIRECT("'数据-取费表'!S"&amp;$G$1)),0)</f>
        <v>322200</v>
      </c>
      <c r="D17" s="347" t="s">
        <v>1427</v>
      </c>
      <c r="E17" s="347" t="s">
        <v>1428</v>
      </c>
      <c r="F17" s="26">
        <f>'数据-取费表'!B35</f>
        <v>200</v>
      </c>
      <c r="G17" s="1857"/>
      <c r="H17" s="1204" t="s">
        <v>1035</v>
      </c>
      <c r="I17" s="347" t="s">
        <v>1429</v>
      </c>
      <c r="J17" s="24">
        <f ca="1">ROUND(IF(项目基本情况!B11="自然人",J5*M17,J18+J19+J20),0)</f>
        <v>40992</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48330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3689190</v>
      </c>
      <c r="D19" s="140" t="s">
        <v>1436</v>
      </c>
      <c r="E19" s="1821"/>
      <c r="F19" s="26"/>
      <c r="G19" s="1854"/>
      <c r="H19" s="1204" t="s">
        <v>1036</v>
      </c>
      <c r="I19" s="347" t="s">
        <v>1437</v>
      </c>
      <c r="J19" s="24">
        <f ca="1">IF(K19="按租金收入计税",ROUND(J5*M19,0),ROUND(C29*M19*0.7,0))</f>
        <v>40992</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110676</v>
      </c>
      <c r="D20" s="369" t="s">
        <v>1440</v>
      </c>
      <c r="E20" s="347" t="s">
        <v>1422</v>
      </c>
      <c r="F20" s="367">
        <f>'数据-取费表'!B37</f>
        <v>0.03</v>
      </c>
      <c r="G20" s="1857"/>
      <c r="H20" s="1204" t="s">
        <v>1389</v>
      </c>
      <c r="I20" s="164" t="s">
        <v>1441</v>
      </c>
      <c r="J20" s="25">
        <f ca="1">ROUND(M20*M21,0)</f>
        <v>0</v>
      </c>
      <c r="K20" s="370" t="s">
        <v>1442</v>
      </c>
      <c r="L20" s="347" t="s">
        <v>1443</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1626.74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73200</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82647</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-114192</v>
      </c>
      <c r="K25" s="1348" t="s">
        <v>1464</v>
      </c>
      <c r="L25" s="1349"/>
      <c r="M25" s="1350"/>
    </row>
    <row r="26" spans="1:37" ht="18" customHeight="1">
      <c r="A26" s="1204" t="s">
        <v>1034</v>
      </c>
      <c r="B26" s="347" t="s">
        <v>1465</v>
      </c>
      <c r="C26" s="24">
        <f ca="1">ROUND((C19+C20)*F26,0)</f>
        <v>569980</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4.4999999999999997E-3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4879979</v>
      </c>
      <c r="D29" s="1345"/>
      <c r="E29" s="1343"/>
      <c r="F29" s="1346"/>
      <c r="G29" s="1857"/>
      <c r="H29" s="380" t="s">
        <v>1033</v>
      </c>
      <c r="I29" s="381" t="s">
        <v>1479</v>
      </c>
      <c r="J29" s="382">
        <f ca="1">ROUND(J26/(1+F40)^F41,0)</f>
        <v>0</v>
      </c>
      <c r="K29" s="383" t="s">
        <v>1480</v>
      </c>
      <c r="L29" s="384"/>
      <c r="M29" s="385">
        <f ca="1">INDIRECT("'数据-取费表'!k"&amp;$G$1)</f>
        <v>1611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79788</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3190</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0</v>
      </c>
      <c r="G34" s="1854"/>
      <c r="H34" s="745"/>
      <c r="I34" s="1863"/>
      <c r="J34" s="1864"/>
      <c r="K34" s="1866"/>
      <c r="L34" s="1867"/>
      <c r="M34" s="1867"/>
    </row>
    <row r="35" spans="1:18" ht="18" customHeight="1">
      <c r="A35" s="1356"/>
      <c r="B35" s="1354"/>
      <c r="C35" s="29"/>
      <c r="D35" s="373"/>
      <c r="E35" s="347" t="s">
        <v>1447</v>
      </c>
      <c r="F35" s="348">
        <f ca="1">INDIRECT("'数据-取费表'!r"&amp;$G$1)</f>
        <v>1626.74</v>
      </c>
      <c r="G35" s="1854"/>
      <c r="H35" s="745"/>
      <c r="I35" s="1863"/>
      <c r="J35" s="1864"/>
      <c r="K35" s="1865"/>
      <c r="L35" s="1862"/>
      <c r="M35" s="1862"/>
    </row>
    <row r="36" spans="1:18" ht="18" customHeight="1">
      <c r="A36" s="1355" t="s">
        <v>1039</v>
      </c>
      <c r="B36" s="347" t="s">
        <v>1449</v>
      </c>
      <c r="C36" s="24">
        <f ca="1">ROUND(C29*F36,0)</f>
        <v>73200</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6588</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-79788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-1396969</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42.69</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f ca="1">ROUND(C40/F43,0)</f>
        <v>-867</v>
      </c>
      <c r="D43" s="383" t="s">
        <v>1488</v>
      </c>
      <c r="E43" s="384" t="s">
        <v>1489</v>
      </c>
      <c r="F43" s="385">
        <f ca="1">INDIRECT("'数据-取费表'!k"&amp;$G$1)</f>
        <v>1611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-7177054</v>
      </c>
      <c r="D45" s="1943" t="s">
        <v>1604</v>
      </c>
      <c r="E45" s="1869"/>
      <c r="F45" s="1869"/>
      <c r="O45" s="1872" t="s">
        <v>1519</v>
      </c>
      <c r="P45" s="1842"/>
      <c r="Q45" s="1842"/>
      <c r="R45" s="1842"/>
    </row>
    <row r="46" spans="1:18" s="1845" customFormat="1" ht="13.5" thickBot="1">
      <c r="A46" s="1873" t="s">
        <v>1520</v>
      </c>
      <c r="C46" s="1874">
        <f ca="1">ROUND(C45/10000,0)</f>
        <v>-718</v>
      </c>
      <c r="D46" s="1875" t="str">
        <f>C2</f>
        <v>万元</v>
      </c>
      <c r="I46" s="1876" t="s">
        <v>1521</v>
      </c>
      <c r="J46" s="1877"/>
      <c r="K46" s="1878"/>
      <c r="L46" s="1879">
        <f ca="1">IF(M47="住宅",0,IF(L48&gt;J51,L60,J60))</f>
        <v>49288</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3070</v>
      </c>
      <c r="K47" s="1885" t="s">
        <v>1527</v>
      </c>
      <c r="L47" s="1886">
        <f ca="1">INDIRECT("'数据-取费表'!d"&amp;$G$1)</f>
        <v>50</v>
      </c>
      <c r="M47" s="1841" t="str">
        <f>IF(ISNUMBER(FIND("住宅",C1)),"住宅","非住宅")</f>
        <v>非住宅</v>
      </c>
      <c r="O47" s="1887" t="s">
        <v>1040</v>
      </c>
      <c r="P47" s="1888" t="s">
        <v>1528</v>
      </c>
      <c r="Q47" s="1889">
        <f ca="1">C40+J29</f>
        <v>-1396969</v>
      </c>
      <c r="R47" s="1889" t="s">
        <v>1529</v>
      </c>
    </row>
    <row r="48" spans="1:18" s="1845" customFormat="1" ht="28.5" thickBot="1">
      <c r="A48" s="1363" t="s">
        <v>1135</v>
      </c>
      <c r="B48" s="345" t="s">
        <v>1401</v>
      </c>
      <c r="C48" s="1820">
        <f ca="1">C49+C53+C55</f>
        <v>0</v>
      </c>
      <c r="D48" s="1365"/>
      <c r="E48" s="1366"/>
      <c r="F48" s="1184"/>
      <c r="G48" s="792"/>
      <c r="H48" s="793"/>
      <c r="I48" s="1890" t="s">
        <v>1530</v>
      </c>
      <c r="J48" s="1891" t="s">
        <v>3094</v>
      </c>
      <c r="K48" s="1892" t="s">
        <v>1531</v>
      </c>
      <c r="L48" s="1893">
        <f ca="1">INDIRECT("'数据-取费表'!f"&amp;$G$1)</f>
        <v>42.69</v>
      </c>
      <c r="O48" s="1887" t="s">
        <v>1041</v>
      </c>
      <c r="P48" s="1888" t="s">
        <v>1532</v>
      </c>
      <c r="Q48" s="1889">
        <f ca="1">J60</f>
        <v>49288</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2012</v>
      </c>
      <c r="K49" s="1892" t="s">
        <v>1535</v>
      </c>
      <c r="L49" s="1896"/>
      <c r="O49" s="1897" t="s">
        <v>1042</v>
      </c>
      <c r="P49" s="1888" t="s">
        <v>1536</v>
      </c>
      <c r="Q49" s="1889">
        <f ca="1">C29</f>
        <v>4879979</v>
      </c>
      <c r="R49" s="1889" t="s">
        <v>1529</v>
      </c>
    </row>
    <row r="50" spans="1:18" s="1845" customFormat="1" ht="13.5" thickBot="1">
      <c r="A50" s="1198"/>
      <c r="B50" s="1201"/>
      <c r="C50" s="1202"/>
      <c r="D50" s="1175"/>
      <c r="E50" s="1280" t="s">
        <v>1406</v>
      </c>
      <c r="F50" s="1281">
        <f ca="1">F7</f>
        <v>1611</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54</v>
      </c>
      <c r="K51" s="1903" t="s">
        <v>1541</v>
      </c>
      <c r="L51" s="1904">
        <f ca="1">ROUND(-PV(INDIRECT("'数据-取费表'!h"&amp;$G$1),L48,(C39-C13*C76),0),0)</f>
        <v>-8531183</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42.69</v>
      </c>
      <c r="R52" s="1889" t="s">
        <v>1546</v>
      </c>
    </row>
    <row r="53" spans="1:18" s="1845" customFormat="1" ht="30.75" customHeight="1" thickBot="1">
      <c r="A53" s="1364" t="s">
        <v>1137</v>
      </c>
      <c r="B53" s="369" t="s">
        <v>1409</v>
      </c>
      <c r="C53" s="361">
        <f ca="1">ROUND(IF(F53="押一",C49/12*F11,IF(F53="押二",C49/12*2*F11,IF(F53="押三",C49/12*3*F11,C54*F11))),0)</f>
        <v>0</v>
      </c>
      <c r="D53" s="1827" t="s">
        <v>3039</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42.69</v>
      </c>
      <c r="K53" s="3238" t="s">
        <v>1548</v>
      </c>
      <c r="L53" s="3239"/>
      <c r="O53" s="1887" t="s">
        <v>1046</v>
      </c>
      <c r="P53" s="1888" t="s">
        <v>1549</v>
      </c>
      <c r="Q53" s="1889">
        <f ca="1">Q47+Q48</f>
        <v>-1347681</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0.189</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4391981</v>
      </c>
      <c r="D56" s="1917"/>
      <c r="E56" s="1918"/>
      <c r="F56" s="1910"/>
      <c r="I56" s="1919" t="s">
        <v>1554</v>
      </c>
      <c r="J56" s="1920" t="s">
        <v>3095</v>
      </c>
      <c r="K56" s="1890" t="s">
        <v>1555</v>
      </c>
      <c r="L56" s="1893" t="str">
        <f ca="1">IF(L48&lt;J51,"——",L48-J51)</f>
        <v>——</v>
      </c>
      <c r="O56" s="1887" t="s">
        <v>1040</v>
      </c>
      <c r="P56" s="1888" t="s">
        <v>1528</v>
      </c>
      <c r="Q56" s="1889">
        <f ca="1">C40+J29</f>
        <v>-1396969</v>
      </c>
      <c r="R56" s="1889" t="s">
        <v>1529</v>
      </c>
    </row>
    <row r="57" spans="1:18" s="1845" customFormat="1" ht="24.75" thickBot="1">
      <c r="A57" s="1921"/>
      <c r="B57" s="1172" t="s">
        <v>1478</v>
      </c>
      <c r="C57" s="282">
        <f ca="1">C29</f>
        <v>4879979</v>
      </c>
      <c r="D57" s="1922"/>
      <c r="E57" s="1923"/>
      <c r="F57" s="1924"/>
      <c r="I57" s="1925" t="s">
        <v>1556</v>
      </c>
      <c r="J57" s="1926">
        <f ca="1">IF(OR(M47="住宅",J51&lt;L48,J56="是"),"——",J51-L48)</f>
        <v>11.310000000000002</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f ca="1">ROUND(C59+C64+C65+C66,0)</f>
        <v>489706</v>
      </c>
      <c r="D58" s="1182" t="s">
        <v>1425</v>
      </c>
      <c r="E58" s="1183"/>
      <c r="F58" s="1184"/>
      <c r="I58" s="1925" t="s">
        <v>1560</v>
      </c>
      <c r="J58" s="1927">
        <f ca="1">IF(J55&lt;0.4,0.4,J55)</f>
        <v>0.4</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409918</v>
      </c>
      <c r="D59" s="1185" t="s">
        <v>1430</v>
      </c>
      <c r="E59" s="1186" t="s">
        <v>1431</v>
      </c>
      <c r="F59" s="368" t="str">
        <f ca="1">IF(项目基本情况!B11="企业","",IF(INDIRECT("'数据-取费表'!c"&amp;$G$1)="住宅",5%,IF(F49*F50*F51/12/(1+'数据-取费表'!C42)&gt;20000,12%,7%)))</f>
        <v/>
      </c>
      <c r="I59" s="1925" t="s">
        <v>1563</v>
      </c>
      <c r="J59" s="1926">
        <f ca="1">IF(OR(M47="住宅",J51&lt;L48,J56="是"),"——",ROUND(C29*J58,0))</f>
        <v>1951992</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f ca="1">IF(OR(M47="住宅",J51&lt;L48,J56="是"),"0",ROUND(J59/(1+J52)^J53,0))</f>
        <v>49288</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409918</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0</v>
      </c>
      <c r="I62" s="1932" t="s">
        <v>1570</v>
      </c>
      <c r="J62" s="1933" t="s">
        <v>1571</v>
      </c>
      <c r="K62" s="1933" t="s">
        <v>1572</v>
      </c>
      <c r="L62" s="1933" t="s">
        <v>1573</v>
      </c>
      <c r="M62" s="1934" t="s">
        <v>1574</v>
      </c>
      <c r="O62" s="1887" t="s">
        <v>1046</v>
      </c>
      <c r="P62" s="1888" t="s">
        <v>1575</v>
      </c>
      <c r="Q62" s="1889">
        <f ca="1">Q56+Q57</f>
        <v>-1396969</v>
      </c>
      <c r="R62" s="1889" t="s">
        <v>1047</v>
      </c>
    </row>
    <row r="63" spans="1:18" s="1845" customFormat="1" ht="13.5" thickBot="1">
      <c r="A63" s="372"/>
      <c r="B63" s="1178"/>
      <c r="C63" s="29"/>
      <c r="D63" s="1188"/>
      <c r="E63" s="1172" t="s">
        <v>1499</v>
      </c>
      <c r="F63" s="348">
        <f t="shared" ca="1" si="0"/>
        <v>1626.74</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73200</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6588</v>
      </c>
      <c r="D65" s="1186" t="s">
        <v>1454</v>
      </c>
      <c r="E65" s="1172" t="s">
        <v>1455</v>
      </c>
      <c r="F65" s="376">
        <f t="shared" ca="1" si="0"/>
        <v>1.5E-3</v>
      </c>
      <c r="I65" s="1932" t="s">
        <v>1579</v>
      </c>
      <c r="J65" s="1933">
        <v>40</v>
      </c>
      <c r="K65" s="1933">
        <v>30</v>
      </c>
      <c r="L65" s="1933">
        <v>50</v>
      </c>
      <c r="M65" s="1935">
        <v>0.02</v>
      </c>
      <c r="O65" s="1887" t="s">
        <v>1040</v>
      </c>
      <c r="P65" s="1888" t="s">
        <v>1580</v>
      </c>
      <c r="Q65" s="1889">
        <f ca="1">C40+J29</f>
        <v>-1396969</v>
      </c>
      <c r="R65" s="1889" t="s">
        <v>1529</v>
      </c>
    </row>
    <row r="66" spans="1:18" s="1845" customFormat="1" ht="16.5" thickBot="1">
      <c r="A66" s="1204" t="s">
        <v>1504</v>
      </c>
      <c r="B66" s="1172" t="s">
        <v>1439</v>
      </c>
      <c r="C66" s="24">
        <f ca="1">ROUND(C48*F66,0)</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-489706</v>
      </c>
      <c r="D67" s="1185" t="s">
        <v>1464</v>
      </c>
      <c r="E67" s="1190"/>
      <c r="F67" s="1191"/>
      <c r="O67" s="1897" t="s">
        <v>1042</v>
      </c>
      <c r="P67" s="1888" t="s">
        <v>1562</v>
      </c>
      <c r="Q67" s="1936">
        <f ca="1">L51</f>
        <v>-8531183</v>
      </c>
      <c r="R67" s="1889" t="s">
        <v>1582</v>
      </c>
    </row>
    <row r="68" spans="1:18" s="1845" customFormat="1" ht="16.5" thickBot="1">
      <c r="A68" s="1169" t="s">
        <v>1032</v>
      </c>
      <c r="B68" s="1170" t="s">
        <v>1485</v>
      </c>
      <c r="C68" s="346">
        <f ca="1">ROUND(C67*(1-((1+F70)/(1+F68))^F69)/(F68-F70),0)</f>
        <v>-8574023</v>
      </c>
      <c r="D68" s="1187" t="s">
        <v>1469</v>
      </c>
      <c r="E68" s="1172" t="s">
        <v>1470</v>
      </c>
      <c r="F68" s="357">
        <f ca="1">F40</f>
        <v>0.05</v>
      </c>
      <c r="O68" s="1897" t="s">
        <v>1043</v>
      </c>
      <c r="P68" s="1937" t="s">
        <v>1583</v>
      </c>
      <c r="Q68" s="1889">
        <f ca="1">ROUND(Q69-Q70*Q71,0)</f>
        <v>-453106</v>
      </c>
      <c r="R68" s="1889" t="s">
        <v>1051</v>
      </c>
    </row>
    <row r="69" spans="1:18" s="1845" customFormat="1" ht="13.5" thickBot="1">
      <c r="A69" s="1173"/>
      <c r="B69" s="1174"/>
      <c r="C69" s="351"/>
      <c r="D69" s="1192" t="s">
        <v>1473</v>
      </c>
      <c r="E69" s="1172" t="s">
        <v>1474</v>
      </c>
      <c r="F69" s="379">
        <f ca="1">F41</f>
        <v>42.69</v>
      </c>
      <c r="O69" s="1897" t="s">
        <v>1048</v>
      </c>
      <c r="P69" s="1937" t="s">
        <v>1584</v>
      </c>
      <c r="Q69" s="1889">
        <f ca="1">C39</f>
        <v>-79788</v>
      </c>
      <c r="R69" s="1889" t="s">
        <v>1529</v>
      </c>
    </row>
    <row r="70" spans="1:18" s="1845" customFormat="1" ht="13.5" thickBot="1">
      <c r="A70" s="1176"/>
      <c r="B70" s="1177"/>
      <c r="C70" s="355"/>
      <c r="D70" s="1188"/>
      <c r="E70" s="1172" t="s">
        <v>1477</v>
      </c>
      <c r="F70" s="1278">
        <f ca="1">F42</f>
        <v>0</v>
      </c>
      <c r="O70" s="1897" t="s">
        <v>1049</v>
      </c>
      <c r="P70" s="1937" t="s">
        <v>1585</v>
      </c>
      <c r="Q70" s="1889">
        <f ca="1">C13</f>
        <v>4391981</v>
      </c>
      <c r="R70" s="1889" t="s">
        <v>1529</v>
      </c>
    </row>
    <row r="71" spans="1:18" s="1845" customFormat="1" ht="13.5" thickBot="1">
      <c r="A71" s="1193" t="s">
        <v>1033</v>
      </c>
      <c r="B71" s="1194" t="s">
        <v>1487</v>
      </c>
      <c r="C71" s="382">
        <f ca="1">ROUND(C68/F71,0)</f>
        <v>-5322</v>
      </c>
      <c r="D71" s="1195" t="s">
        <v>1488</v>
      </c>
      <c r="E71" s="1196" t="s">
        <v>1489</v>
      </c>
      <c r="F71" s="385">
        <f ca="1">F43</f>
        <v>1611</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373318</v>
      </c>
      <c r="D75" s="1845"/>
      <c r="E75" s="1845"/>
      <c r="F75" s="1845"/>
      <c r="K75" s="1871"/>
      <c r="L75" s="1845"/>
      <c r="O75" s="1887" t="s">
        <v>1046</v>
      </c>
      <c r="P75" s="1888" t="s">
        <v>1549</v>
      </c>
      <c r="Q75" s="1889">
        <f ca="1">Q65+Q66</f>
        <v>-1396969</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5.6790000000000003</v>
      </c>
    </row>
    <row r="80" spans="1:18">
      <c r="B80" s="386" t="s">
        <v>1511</v>
      </c>
      <c r="C80" s="318">
        <f ca="1">ROUND(C75/C39,3)</f>
        <v>-4.6790000000000003</v>
      </c>
    </row>
    <row r="81" spans="2:3">
      <c r="B81" s="314" t="s">
        <v>1512</v>
      </c>
      <c r="C81" s="282"/>
    </row>
    <row r="82" spans="2:3">
      <c r="B82" s="317" t="s">
        <v>1513</v>
      </c>
      <c r="C82" s="319">
        <f ca="1">1-C83</f>
        <v>4.1440000000000001</v>
      </c>
    </row>
    <row r="83" spans="2:3">
      <c r="B83" s="317" t="s">
        <v>1514</v>
      </c>
      <c r="C83" s="318">
        <f ca="1">ROUND(C13/C40,3)</f>
        <v>-3.1440000000000001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13" sqref="G13"/>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2525</v>
      </c>
      <c r="B1" s="2566"/>
      <c r="C1" s="2566"/>
      <c r="D1" s="2566"/>
      <c r="E1" s="2567"/>
    </row>
    <row r="2" spans="1:6" ht="15.75">
      <c r="A2" s="2568" t="s">
        <v>2329</v>
      </c>
      <c r="B2" s="2569">
        <f ca="1">SUMIF(B6:B13,"&lt;&gt;#ref!",B6:B13)</f>
        <v>-135</v>
      </c>
      <c r="C2" s="2570" t="s">
        <v>2518</v>
      </c>
      <c r="D2" s="2571" t="s">
        <v>2519</v>
      </c>
      <c r="E2" s="2572">
        <f>SUM(E6:E13)</f>
        <v>1611</v>
      </c>
    </row>
    <row r="3" spans="1:6" ht="15.75">
      <c r="A3" s="2568" t="s">
        <v>1395</v>
      </c>
      <c r="B3" s="2569">
        <f ca="1">ROUND(B2*10000/E2,0)</f>
        <v>-838</v>
      </c>
      <c r="C3" s="2570" t="s">
        <v>2526</v>
      </c>
      <c r="D3" s="2573"/>
      <c r="E3" s="2574"/>
    </row>
    <row r="4" spans="1:6" ht="15.75">
      <c r="A4" s="2575"/>
      <c r="B4" s="2573"/>
      <c r="C4" s="2573"/>
      <c r="D4" s="2573"/>
      <c r="E4" s="2574"/>
    </row>
    <row r="5" spans="1:6" ht="15">
      <c r="A5" s="2576" t="s">
        <v>2520</v>
      </c>
      <c r="B5" s="3252" t="s">
        <v>2521</v>
      </c>
      <c r="C5" s="3252"/>
      <c r="D5" s="2577"/>
      <c r="E5" s="2578" t="s">
        <v>2522</v>
      </c>
      <c r="F5" s="2579" t="s">
        <v>2523</v>
      </c>
    </row>
    <row r="6" spans="1:6">
      <c r="A6" s="2580" t="str">
        <f>'数据-取费表'!AN6</f>
        <v>收益法 (元)</v>
      </c>
      <c r="B6" s="2579">
        <f ca="1">IF(F6="是",'数据-取费表'!AO6,0)</f>
        <v>-135</v>
      </c>
      <c r="C6" s="2570" t="s">
        <v>2518</v>
      </c>
      <c r="D6" s="2573"/>
      <c r="E6" s="2581">
        <f>IF(OR(A6=0,F6="否"),0,'数据-取费表'!K6+'数据-取费表'!S6)</f>
        <v>1611</v>
      </c>
      <c r="F6" s="2582" t="s">
        <v>2524</v>
      </c>
    </row>
    <row r="7" spans="1:6">
      <c r="A7" s="2580">
        <f>'数据-取费表'!AN7</f>
        <v>0</v>
      </c>
      <c r="B7" s="2579" t="e">
        <f ca="1">IF(F7="是",'数据-取费表'!AO7,0)</f>
        <v>#REF!</v>
      </c>
      <c r="C7" s="2570" t="s">
        <v>2518</v>
      </c>
      <c r="D7" s="2573"/>
      <c r="E7" s="2581">
        <f>IF(OR(A7=0,F7="否"),0,'数据-取费表'!K7+'数据-取费表'!S7)</f>
        <v>0</v>
      </c>
      <c r="F7" s="2582" t="s">
        <v>2524</v>
      </c>
    </row>
    <row r="8" spans="1:6">
      <c r="A8" s="2580">
        <f>'数据-取费表'!AN8</f>
        <v>0</v>
      </c>
      <c r="B8" s="2579" t="e">
        <f ca="1">IF(F8="是",'数据-取费表'!AO8,0)</f>
        <v>#REF!</v>
      </c>
      <c r="C8" s="2570" t="s">
        <v>2518</v>
      </c>
      <c r="D8" s="2573"/>
      <c r="E8" s="2581">
        <f>IF(OR(A8=0,F8="否"),0,'数据-取费表'!K8+'数据-取费表'!S8)</f>
        <v>0</v>
      </c>
      <c r="F8" s="2582" t="s">
        <v>2524</v>
      </c>
    </row>
    <row r="9" spans="1:6">
      <c r="A9" s="2580">
        <f>'数据-取费表'!AN9</f>
        <v>0</v>
      </c>
      <c r="B9" s="2579" t="e">
        <f ca="1">IF(F9="是",'数据-取费表'!AO9,0)</f>
        <v>#REF!</v>
      </c>
      <c r="C9" s="2570" t="s">
        <v>2518</v>
      </c>
      <c r="D9" s="2573"/>
      <c r="E9" s="2581">
        <f>IF(OR(A9=0,F9="否"),0,'数据-取费表'!K9+'数据-取费表'!S9)</f>
        <v>0</v>
      </c>
      <c r="F9" s="2582" t="s">
        <v>2524</v>
      </c>
    </row>
    <row r="10" spans="1:6">
      <c r="A10" s="2580">
        <f>'数据-取费表'!AN10</f>
        <v>0</v>
      </c>
      <c r="B10" s="2579" t="e">
        <f ca="1">IF(F10="是",'数据-取费表'!AO10,0)</f>
        <v>#REF!</v>
      </c>
      <c r="C10" s="2570" t="s">
        <v>2518</v>
      </c>
      <c r="D10" s="2573"/>
      <c r="E10" s="2581">
        <f>IF(OR(A10=0,F10="否"),0,'数据-取费表'!K10+'数据-取费表'!S10)</f>
        <v>0</v>
      </c>
      <c r="F10" s="2582" t="s">
        <v>2524</v>
      </c>
    </row>
    <row r="11" spans="1:6">
      <c r="A11" s="2580">
        <f>'数据-取费表'!AN11</f>
        <v>0</v>
      </c>
      <c r="B11" s="2579" t="e">
        <f ca="1">IF(F11="是",'数据-取费表'!AO11,0)</f>
        <v>#REF!</v>
      </c>
      <c r="C11" s="2570" t="s">
        <v>2518</v>
      </c>
      <c r="D11" s="2573"/>
      <c r="E11" s="2581">
        <f>IF(OR(A11=0,F11="否"),0,'数据-取费表'!K11+'数据-取费表'!S11)</f>
        <v>0</v>
      </c>
      <c r="F11" s="2582" t="s">
        <v>2524</v>
      </c>
    </row>
    <row r="12" spans="1:6">
      <c r="A12" s="2580">
        <f>'数据-取费表'!AN12</f>
        <v>0</v>
      </c>
      <c r="B12" s="2579" t="e">
        <f ca="1">IF(F12="是",'数据-取费表'!AO12,0)</f>
        <v>#REF!</v>
      </c>
      <c r="C12" s="2570" t="s">
        <v>2518</v>
      </c>
      <c r="D12" s="2573"/>
      <c r="E12" s="2581">
        <f>IF(OR(A12=0,F12="否"),0,'数据-取费表'!K12+'数据-取费表'!S12)</f>
        <v>0</v>
      </c>
      <c r="F12" s="2582" t="s">
        <v>2524</v>
      </c>
    </row>
    <row r="13" spans="1:6" ht="15" thickBot="1">
      <c r="A13" s="2583">
        <f>'数据-取费表'!AN13</f>
        <v>0</v>
      </c>
      <c r="B13" s="2579" t="e">
        <f ca="1">IF(F13="是",'数据-取费表'!AO13,0)</f>
        <v>#REF!</v>
      </c>
      <c r="C13" s="2584" t="s">
        <v>2518</v>
      </c>
      <c r="D13" s="2585"/>
      <c r="E13" s="2581">
        <f>IF(OR(A13=0,F13="否"),0,'数据-取费表'!K13+'数据-取费表'!S13)</f>
        <v>0</v>
      </c>
      <c r="F13" s="2582"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13" sqref="G13"/>
    </sheetView>
  </sheetViews>
  <sheetFormatPr defaultRowHeight="13.5"/>
  <cols>
    <col min="1" max="1" width="10.5" customWidth="1"/>
    <col min="2" max="2" width="12.875" customWidth="1"/>
    <col min="3" max="3" width="8.75" customWidth="1"/>
  </cols>
  <sheetData>
    <row r="1" spans="1:9" ht="14.25">
      <c r="A1" s="3253" t="s">
        <v>1076</v>
      </c>
      <c r="B1" s="3254"/>
      <c r="C1" s="3255"/>
      <c r="D1" s="3256">
        <f>SUM(I10,I15,I20,I21,I23)</f>
        <v>0</v>
      </c>
      <c r="E1" s="3256"/>
      <c r="F1" s="3256"/>
      <c r="G1" s="3256"/>
      <c r="H1" s="3256"/>
      <c r="I1" s="3257"/>
    </row>
    <row r="2" spans="1:9">
      <c r="A2" s="3258" t="s">
        <v>1077</v>
      </c>
      <c r="B2" s="3259" t="s">
        <v>1078</v>
      </c>
      <c r="C2" s="3259"/>
      <c r="D2" s="1304" t="s">
        <v>1079</v>
      </c>
      <c r="E2" s="1304" t="s">
        <v>1080</v>
      </c>
      <c r="F2" s="1304" t="s">
        <v>1081</v>
      </c>
      <c r="G2" s="1304" t="s">
        <v>1082</v>
      </c>
      <c r="H2" s="1304" t="s">
        <v>1083</v>
      </c>
      <c r="I2" s="1305" t="s">
        <v>1084</v>
      </c>
    </row>
    <row r="3" spans="1:9">
      <c r="A3" s="3258"/>
      <c r="B3" s="3259" t="s">
        <v>1085</v>
      </c>
      <c r="C3" s="3259"/>
      <c r="D3" s="1306"/>
      <c r="E3" s="1304"/>
      <c r="F3" s="1307"/>
      <c r="G3" s="1307"/>
      <c r="H3" s="1308"/>
      <c r="I3" s="1309">
        <f>ROUND(D3*E3*F3*G3*H3/10000,0)</f>
        <v>0</v>
      </c>
    </row>
    <row r="4" spans="1:9">
      <c r="A4" s="3258"/>
      <c r="B4" s="3259" t="s">
        <v>1086</v>
      </c>
      <c r="C4" s="3259"/>
      <c r="D4" s="1306"/>
      <c r="E4" s="1304"/>
      <c r="F4" s="1307"/>
      <c r="G4" s="1307"/>
      <c r="H4" s="1308"/>
      <c r="I4" s="1309">
        <f t="shared" ref="I4:I9" si="0">ROUND(D4*E4*F4*G4*H4/10000,0)</f>
        <v>0</v>
      </c>
    </row>
    <row r="5" spans="1:9">
      <c r="A5" s="3258"/>
      <c r="B5" s="3259" t="s">
        <v>1087</v>
      </c>
      <c r="C5" s="3259"/>
      <c r="D5" s="1306"/>
      <c r="E5" s="1304"/>
      <c r="F5" s="1307"/>
      <c r="G5" s="1307"/>
      <c r="H5" s="1308"/>
      <c r="I5" s="1309">
        <f t="shared" si="0"/>
        <v>0</v>
      </c>
    </row>
    <row r="6" spans="1:9">
      <c r="A6" s="3258"/>
      <c r="B6" s="3259" t="s">
        <v>1088</v>
      </c>
      <c r="C6" s="3259"/>
      <c r="D6" s="1306"/>
      <c r="E6" s="1304"/>
      <c r="F6" s="1307"/>
      <c r="G6" s="1307"/>
      <c r="H6" s="1308"/>
      <c r="I6" s="1309">
        <f t="shared" si="0"/>
        <v>0</v>
      </c>
    </row>
    <row r="7" spans="1:9">
      <c r="A7" s="3258"/>
      <c r="B7" s="3259" t="s">
        <v>1089</v>
      </c>
      <c r="C7" s="3259"/>
      <c r="D7" s="1306"/>
      <c r="E7" s="1304"/>
      <c r="F7" s="1307"/>
      <c r="G7" s="1307"/>
      <c r="H7" s="1308"/>
      <c r="I7" s="1309">
        <f t="shared" si="0"/>
        <v>0</v>
      </c>
    </row>
    <row r="8" spans="1:9">
      <c r="A8" s="3258"/>
      <c r="B8" s="3259" t="s">
        <v>1090</v>
      </c>
      <c r="C8" s="3259"/>
      <c r="D8" s="1306"/>
      <c r="E8" s="1304"/>
      <c r="F8" s="1307"/>
      <c r="G8" s="1307"/>
      <c r="H8" s="1308"/>
      <c r="I8" s="1309">
        <f t="shared" si="0"/>
        <v>0</v>
      </c>
    </row>
    <row r="9" spans="1:9">
      <c r="A9" s="3258"/>
      <c r="B9" s="3259" t="s">
        <v>1091</v>
      </c>
      <c r="C9" s="3259"/>
      <c r="D9" s="1306"/>
      <c r="E9" s="1304"/>
      <c r="F9" s="1307"/>
      <c r="G9" s="1307"/>
      <c r="H9" s="1308"/>
      <c r="I9" s="1309">
        <f t="shared" si="0"/>
        <v>0</v>
      </c>
    </row>
    <row r="10" spans="1:9">
      <c r="A10" s="3258"/>
      <c r="B10" s="3260" t="s">
        <v>1092</v>
      </c>
      <c r="C10" s="3260"/>
      <c r="D10" s="1310"/>
      <c r="E10" s="1310" t="e">
        <f>ROUND(D1*10000/D10/H9,0)</f>
        <v>#DIV/0!</v>
      </c>
      <c r="F10" s="1311"/>
      <c r="G10" s="1311"/>
      <c r="H10" s="1312"/>
      <c r="I10" s="1313">
        <f>SUM(I3:I9)</f>
        <v>0</v>
      </c>
    </row>
    <row r="11" spans="1:9" ht="14.25">
      <c r="A11" s="3258" t="s">
        <v>1093</v>
      </c>
      <c r="B11" s="3259" t="s">
        <v>1094</v>
      </c>
      <c r="C11" s="3259"/>
      <c r="D11" s="1306" t="s">
        <v>1095</v>
      </c>
      <c r="E11" s="1306" t="s">
        <v>1096</v>
      </c>
      <c r="F11" s="1307" t="s">
        <v>1097</v>
      </c>
      <c r="G11" s="1307" t="s">
        <v>1083</v>
      </c>
      <c r="H11" s="1314" t="s">
        <v>1098</v>
      </c>
      <c r="I11" s="1305" t="s">
        <v>1084</v>
      </c>
    </row>
    <row r="12" spans="1:9">
      <c r="A12" s="3258"/>
      <c r="B12" s="3259" t="s">
        <v>1099</v>
      </c>
      <c r="C12" s="3259"/>
      <c r="D12" s="1306"/>
      <c r="E12" s="1306"/>
      <c r="F12" s="1307"/>
      <c r="G12" s="1308"/>
      <c r="H12" s="1315"/>
      <c r="I12" s="1305">
        <f>ROUND(D12*E12*F12*G12/10000,0)</f>
        <v>0</v>
      </c>
    </row>
    <row r="13" spans="1:9">
      <c r="A13" s="3258"/>
      <c r="B13" s="3259" t="s">
        <v>1100</v>
      </c>
      <c r="C13" s="3259"/>
      <c r="D13" s="1306"/>
      <c r="E13" s="1306"/>
      <c r="F13" s="1307"/>
      <c r="G13" s="1308"/>
      <c r="H13" s="1315"/>
      <c r="I13" s="1305">
        <f>ROUND(D13*E13*F13*G13/10000,0)</f>
        <v>0</v>
      </c>
    </row>
    <row r="14" spans="1:9">
      <c r="A14" s="3258"/>
      <c r="B14" s="3259" t="s">
        <v>1101</v>
      </c>
      <c r="C14" s="3259"/>
      <c r="D14" s="1306"/>
      <c r="E14" s="1306"/>
      <c r="F14" s="1307"/>
      <c r="G14" s="1308"/>
      <c r="H14" s="1315"/>
      <c r="I14" s="1305">
        <f>ROUND(D14*E14*F14*G14/10000,0)</f>
        <v>0</v>
      </c>
    </row>
    <row r="15" spans="1:9">
      <c r="A15" s="3258"/>
      <c r="B15" s="3260" t="s">
        <v>1092</v>
      </c>
      <c r="C15" s="3260"/>
      <c r="D15" s="1310"/>
      <c r="E15" s="1310">
        <f>SUM(E12:E14)</f>
        <v>0</v>
      </c>
      <c r="F15" s="1311"/>
      <c r="G15" s="1308"/>
      <c r="H15" s="1315"/>
      <c r="I15" s="1316">
        <f>SUM(I12:I14)</f>
        <v>0</v>
      </c>
    </row>
    <row r="16" spans="1:9" ht="24">
      <c r="A16" s="3258" t="s">
        <v>1102</v>
      </c>
      <c r="B16" s="3259" t="s">
        <v>1103</v>
      </c>
      <c r="C16" s="3259"/>
      <c r="D16" s="1306" t="s">
        <v>1079</v>
      </c>
      <c r="E16" s="1317" t="s">
        <v>1104</v>
      </c>
      <c r="F16" s="1307" t="s">
        <v>1105</v>
      </c>
      <c r="G16" s="1308" t="s">
        <v>1083</v>
      </c>
      <c r="H16" s="1314" t="s">
        <v>1098</v>
      </c>
      <c r="I16" s="1305" t="s">
        <v>1084</v>
      </c>
    </row>
    <row r="17" spans="1:9" ht="14.25">
      <c r="A17" s="3258"/>
      <c r="B17" s="3259" t="s">
        <v>1106</v>
      </c>
      <c r="C17" s="3259"/>
      <c r="D17" s="1306"/>
      <c r="E17" s="1306"/>
      <c r="F17" s="1307"/>
      <c r="G17" s="1308"/>
      <c r="H17" s="1318"/>
      <c r="I17" s="1319">
        <f>ROUND(D17*E17*F17*G17/10000,0)</f>
        <v>0</v>
      </c>
    </row>
    <row r="18" spans="1:9" ht="14.25">
      <c r="A18" s="3258"/>
      <c r="B18" s="3259" t="s">
        <v>1107</v>
      </c>
      <c r="C18" s="3259"/>
      <c r="D18" s="1306"/>
      <c r="E18" s="1306"/>
      <c r="F18" s="1307"/>
      <c r="G18" s="1308"/>
      <c r="H18" s="1318"/>
      <c r="I18" s="1319">
        <f>ROUND(D18*E18*F18*G18/10000,0)</f>
        <v>0</v>
      </c>
    </row>
    <row r="19" spans="1:9" ht="14.25">
      <c r="A19" s="3258"/>
      <c r="B19" s="3259" t="s">
        <v>1108</v>
      </c>
      <c r="C19" s="3259"/>
      <c r="D19" s="1306"/>
      <c r="E19" s="1306"/>
      <c r="F19" s="1307"/>
      <c r="G19" s="1308"/>
      <c r="H19" s="1318"/>
      <c r="I19" s="1319">
        <f>ROUND(D19*E19*F19*G19/10000,0)</f>
        <v>0</v>
      </c>
    </row>
    <row r="20" spans="1:9">
      <c r="A20" s="3258"/>
      <c r="B20" s="3260" t="s">
        <v>1092</v>
      </c>
      <c r="C20" s="3260"/>
      <c r="D20" s="1310">
        <f>SUM(D17:D19)</f>
        <v>0</v>
      </c>
      <c r="E20" s="1310"/>
      <c r="F20" s="1311"/>
      <c r="G20" s="1308"/>
      <c r="H20" s="1315"/>
      <c r="I20" s="1316">
        <f>SUM(I17:I19)</f>
        <v>0</v>
      </c>
    </row>
    <row r="21" spans="1:9">
      <c r="A21" s="3258" t="s">
        <v>1109</v>
      </c>
      <c r="B21" s="3262"/>
      <c r="C21" s="3262"/>
      <c r="D21" s="3262"/>
      <c r="E21" s="3262"/>
      <c r="F21" s="3262"/>
      <c r="G21" s="3262"/>
      <c r="H21" s="1768">
        <v>0.1</v>
      </c>
      <c r="I21" s="1313">
        <f>ROUND(I10*H21,0)</f>
        <v>0</v>
      </c>
    </row>
    <row r="22" spans="1:9" ht="14.25">
      <c r="A22" s="3263" t="s">
        <v>1110</v>
      </c>
      <c r="B22" s="3264"/>
      <c r="C22" s="3265"/>
      <c r="D22" s="1320" t="s">
        <v>1111</v>
      </c>
      <c r="E22" s="1320" t="s">
        <v>1112</v>
      </c>
      <c r="F22" s="1321" t="s">
        <v>1113</v>
      </c>
      <c r="G22" s="1321" t="s">
        <v>1114</v>
      </c>
      <c r="H22" s="1314" t="s">
        <v>1115</v>
      </c>
      <c r="I22" s="1305" t="s">
        <v>1116</v>
      </c>
    </row>
    <row r="23" spans="1:9" ht="14.25" thickBot="1">
      <c r="A23" s="3266"/>
      <c r="B23" s="3267"/>
      <c r="C23" s="3268"/>
      <c r="D23" s="1322"/>
      <c r="E23" s="1322"/>
      <c r="F23" s="1322"/>
      <c r="G23" s="1323"/>
      <c r="H23" s="1324"/>
      <c r="I23" s="1325">
        <f>ROUND(E23*D23*F23*(1-G23)/10000,0)</f>
        <v>0</v>
      </c>
    </row>
    <row r="26" spans="1:9">
      <c r="A26" s="1326" t="s">
        <v>1117</v>
      </c>
      <c r="B26" s="1326"/>
      <c r="C26" s="1326"/>
      <c r="D26" s="1326"/>
      <c r="E26" s="3269">
        <f>C27-C30-C31-C32</f>
        <v>0</v>
      </c>
      <c r="F26" s="3269"/>
      <c r="G26" s="3269"/>
      <c r="H26" s="1740" t="s">
        <v>1340</v>
      </c>
    </row>
    <row r="27" spans="1:9">
      <c r="A27" s="1327">
        <v>1</v>
      </c>
      <c r="B27" s="1328" t="s">
        <v>1118</v>
      </c>
      <c r="C27" s="1328">
        <f>C28+C29</f>
        <v>0</v>
      </c>
      <c r="D27" s="1328"/>
      <c r="E27" s="3270"/>
      <c r="F27" s="3270"/>
      <c r="G27" s="3270"/>
    </row>
    <row r="28" spans="1:9">
      <c r="A28" s="1329" t="s">
        <v>1119</v>
      </c>
      <c r="B28" s="1328" t="s">
        <v>1120</v>
      </c>
      <c r="C28" s="1328"/>
      <c r="D28" s="1328"/>
      <c r="E28" s="3270"/>
      <c r="F28" s="3270"/>
      <c r="G28" s="327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61"/>
      <c r="F32" s="3261"/>
      <c r="G32" s="3261"/>
    </row>
    <row r="33" spans="1:7" hidden="1">
      <c r="A33" s="3271" t="s">
        <v>1129</v>
      </c>
      <c r="B33" s="3272"/>
      <c r="C33" s="3272"/>
      <c r="D33" s="3273"/>
      <c r="E33" s="3269"/>
      <c r="F33" s="3269"/>
      <c r="G33" s="3269"/>
    </row>
    <row r="34" spans="1:7" hidden="1">
      <c r="A34" s="1331">
        <v>1</v>
      </c>
      <c r="B34" s="1328" t="s">
        <v>1130</v>
      </c>
      <c r="C34" s="1328"/>
      <c r="D34" s="1328"/>
      <c r="E34" s="3270"/>
      <c r="F34" s="3270"/>
      <c r="G34" s="3270"/>
    </row>
    <row r="35" spans="1:7" hidden="1">
      <c r="A35" s="1331">
        <v>2</v>
      </c>
      <c r="B35" s="1328" t="s">
        <v>1131</v>
      </c>
      <c r="C35" s="1328"/>
      <c r="D35" s="1328"/>
      <c r="E35" s="3270"/>
      <c r="F35" s="3270"/>
      <c r="G35" s="3270"/>
    </row>
    <row r="36" spans="1:7" hidden="1">
      <c r="A36" s="1331">
        <v>3</v>
      </c>
      <c r="B36" s="1328" t="s">
        <v>1132</v>
      </c>
      <c r="C36" s="1328"/>
      <c r="D36" s="1328"/>
      <c r="E36" s="3270"/>
      <c r="F36" s="3270"/>
      <c r="G36" s="3270"/>
    </row>
    <row r="37" spans="1:7" hidden="1">
      <c r="A37" s="1331">
        <v>4</v>
      </c>
      <c r="B37" s="1328" t="s">
        <v>1133</v>
      </c>
      <c r="C37" s="1328"/>
      <c r="D37" s="1328"/>
      <c r="E37" s="3270"/>
      <c r="F37" s="3270"/>
      <c r="G37" s="3270"/>
    </row>
    <row r="38" spans="1:7" hidden="1">
      <c r="A38" s="3271" t="s">
        <v>1134</v>
      </c>
      <c r="B38" s="3272"/>
      <c r="C38" s="3272"/>
      <c r="D38" s="3273"/>
      <c r="E38" s="3269"/>
      <c r="F38" s="3269"/>
      <c r="G38" s="32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13" sqref="G1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6" t="s">
        <v>2528</v>
      </c>
      <c r="C1" s="1637" t="s">
        <v>2529</v>
      </c>
      <c r="D1" s="1624"/>
      <c r="E1" s="2587"/>
      <c r="F1" s="2588" t="s">
        <v>2530</v>
      </c>
      <c r="G1" s="1634" t="s">
        <v>2531</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0"/>
      <c r="D2" s="1368" t="e">
        <f ca="1">SUMIF(INDIRECT("'"&amp;F2&amp;"'"&amp;"!A:A"),"承租人权益价值",INDIRECT("'"&amp;F2&amp;"'"&amp;"!c:c"))</f>
        <v>#REF!</v>
      </c>
      <c r="E2" s="2591" t="s">
        <v>2532</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2533</v>
      </c>
      <c r="D3" s="399">
        <f>IF(D1="",'数据-汇总表'!E3,SUMIF('数据-汇总表'!$C19:$C33,D1,'数据-汇总表'!$E19:$E33))</f>
        <v>1611</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2534</v>
      </c>
      <c r="B4" s="402"/>
      <c r="C4" s="3208" t="s">
        <v>2535</v>
      </c>
      <c r="D4" s="3209"/>
      <c r="E4" s="3210" t="s">
        <v>2536</v>
      </c>
      <c r="F4" s="3211"/>
      <c r="G4" s="3208" t="s">
        <v>2537</v>
      </c>
      <c r="H4" s="3209"/>
      <c r="I4" s="3208" t="s">
        <v>2538</v>
      </c>
      <c r="J4" s="3209"/>
      <c r="K4" s="2600" t="s">
        <v>2539</v>
      </c>
      <c r="L4" s="1133"/>
      <c r="M4" s="1134"/>
      <c r="N4" s="1134"/>
      <c r="O4" s="1134"/>
      <c r="P4" s="3212" t="s">
        <v>2540</v>
      </c>
      <c r="Q4" s="3213"/>
      <c r="R4" s="3225" t="s">
        <v>2536</v>
      </c>
      <c r="S4" s="3226"/>
      <c r="T4" s="3225" t="s">
        <v>2537</v>
      </c>
      <c r="U4" s="3226"/>
      <c r="V4" s="3200" t="s">
        <v>2538</v>
      </c>
      <c r="W4" s="3200"/>
      <c r="X4" s="1816"/>
      <c r="Y4" s="3225" t="s">
        <v>2540</v>
      </c>
      <c r="Z4" s="3226"/>
      <c r="AA4" s="3205" t="s">
        <v>2536</v>
      </c>
      <c r="AB4" s="3205" t="s">
        <v>2537</v>
      </c>
      <c r="AC4" s="3205" t="s">
        <v>2538</v>
      </c>
    </row>
    <row r="5" spans="1:29" ht="15">
      <c r="A5" s="404"/>
      <c r="B5" s="405"/>
      <c r="C5" s="3229" t="s">
        <v>2541</v>
      </c>
      <c r="D5" s="3230"/>
      <c r="E5" s="3218" t="s">
        <v>2542</v>
      </c>
      <c r="F5" s="3219"/>
      <c r="G5" s="3229" t="s">
        <v>2543</v>
      </c>
      <c r="H5" s="3230"/>
      <c r="I5" s="3229" t="s">
        <v>2544</v>
      </c>
      <c r="J5" s="3230"/>
      <c r="K5" s="2601"/>
      <c r="L5" s="1133"/>
      <c r="M5" s="1134"/>
      <c r="N5" s="1134"/>
      <c r="O5" s="1134"/>
      <c r="P5" s="3214"/>
      <c r="Q5" s="3215"/>
      <c r="R5" s="3227"/>
      <c r="S5" s="3228"/>
      <c r="T5" s="3227"/>
      <c r="U5" s="3228"/>
      <c r="V5" s="3200"/>
      <c r="W5" s="3200"/>
      <c r="X5" s="1816"/>
      <c r="Y5" s="3227"/>
      <c r="Z5" s="3228"/>
      <c r="AA5" s="3206"/>
      <c r="AB5" s="3206"/>
      <c r="AC5" s="3206"/>
    </row>
    <row r="6" spans="1:29" ht="15.75" thickBot="1">
      <c r="A6" s="406"/>
      <c r="B6" s="407"/>
      <c r="C6" s="3244" t="s">
        <v>2545</v>
      </c>
      <c r="D6" s="3245"/>
      <c r="E6" s="3247" t="s">
        <v>2545</v>
      </c>
      <c r="F6" s="3248"/>
      <c r="G6" s="3244" t="s">
        <v>2545</v>
      </c>
      <c r="H6" s="3245"/>
      <c r="I6" s="3244" t="s">
        <v>2545</v>
      </c>
      <c r="J6" s="3245"/>
      <c r="K6" s="2601" t="s">
        <v>2546</v>
      </c>
      <c r="L6" s="1133"/>
      <c r="M6" s="1134"/>
      <c r="N6" s="1134"/>
      <c r="O6" s="1134"/>
      <c r="P6" s="3216"/>
      <c r="Q6" s="3217"/>
      <c r="R6" s="3227"/>
      <c r="S6" s="3228"/>
      <c r="T6" s="3236"/>
      <c r="U6" s="3237"/>
      <c r="V6" s="3200"/>
      <c r="W6" s="3200"/>
      <c r="X6" s="1816"/>
      <c r="Y6" s="3236"/>
      <c r="Z6" s="3237"/>
      <c r="AA6" s="3207"/>
      <c r="AB6" s="3207"/>
      <c r="AC6" s="3207"/>
    </row>
    <row r="7" spans="1:29" s="117" customFormat="1" ht="15.75" thickBot="1">
      <c r="A7" s="408" t="s">
        <v>2547</v>
      </c>
      <c r="B7" s="409"/>
      <c r="C7" s="410">
        <f>'数据-取费表'!B2</f>
        <v>43307</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220" t="s">
        <v>2548</v>
      </c>
      <c r="Q7" s="3233"/>
      <c r="R7" s="770" t="s">
        <v>23</v>
      </c>
      <c r="S7" s="771">
        <f t="shared" ref="S7:S15" si="0">F7</f>
        <v>0</v>
      </c>
      <c r="T7" s="770" t="s">
        <v>23</v>
      </c>
      <c r="U7" s="771">
        <f t="shared" ref="U7:U15" si="1">H7</f>
        <v>0</v>
      </c>
      <c r="V7" s="770" t="s">
        <v>23</v>
      </c>
      <c r="W7" s="771">
        <f t="shared" ref="W7:W15" si="2">J7</f>
        <v>0</v>
      </c>
      <c r="X7" s="772"/>
      <c r="Y7" s="3220" t="s">
        <v>2548</v>
      </c>
      <c r="Z7" s="3221"/>
      <c r="AA7" s="773" t="e">
        <f>D7/F7</f>
        <v>#DIV/0!</v>
      </c>
      <c r="AB7" s="773" t="e">
        <f>D7/H7</f>
        <v>#DIV/0!</v>
      </c>
      <c r="AC7" s="773" t="e">
        <f>D7/J7</f>
        <v>#DIV/0!</v>
      </c>
    </row>
    <row r="8" spans="1:29" s="117" customFormat="1" ht="15.75" thickBot="1">
      <c r="A8" s="408" t="s">
        <v>2549</v>
      </c>
      <c r="B8" s="409"/>
      <c r="C8" s="414" t="s">
        <v>2550</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220" t="s">
        <v>2551</v>
      </c>
      <c r="Q8" s="3221"/>
      <c r="R8" s="770" t="s">
        <v>23</v>
      </c>
      <c r="S8" s="771">
        <f t="shared" si="0"/>
        <v>0</v>
      </c>
      <c r="T8" s="770" t="s">
        <v>23</v>
      </c>
      <c r="U8" s="771">
        <f t="shared" si="1"/>
        <v>0</v>
      </c>
      <c r="V8" s="770" t="s">
        <v>23</v>
      </c>
      <c r="W8" s="771">
        <f t="shared" si="2"/>
        <v>0</v>
      </c>
      <c r="X8" s="772"/>
      <c r="Y8" s="3220" t="s">
        <v>2551</v>
      </c>
      <c r="Z8" s="3221"/>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223" t="s">
        <v>2554</v>
      </c>
      <c r="Q9" s="1798" t="str">
        <f t="shared" ref="Q9:Q15" si="6">B9</f>
        <v>用途</v>
      </c>
      <c r="R9" s="770" t="s">
        <v>17</v>
      </c>
      <c r="S9" s="771">
        <f t="shared" si="0"/>
        <v>100</v>
      </c>
      <c r="T9" s="770" t="s">
        <v>17</v>
      </c>
      <c r="U9" s="771">
        <f t="shared" si="1"/>
        <v>100</v>
      </c>
      <c r="V9" s="770" t="s">
        <v>17</v>
      </c>
      <c r="W9" s="771">
        <f t="shared" si="2"/>
        <v>100</v>
      </c>
      <c r="X9" s="772"/>
      <c r="Y9" s="307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23"/>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23"/>
      <c r="Q11" s="1798" t="str">
        <f t="shared" si="6"/>
        <v>容积率</v>
      </c>
      <c r="R11" s="770" t="s">
        <v>21</v>
      </c>
      <c r="S11" s="771" t="e">
        <f t="shared" si="0"/>
        <v>#N/A</v>
      </c>
      <c r="T11" s="770" t="s">
        <v>21</v>
      </c>
      <c r="U11" s="771" t="e">
        <f t="shared" si="1"/>
        <v>#N/A</v>
      </c>
      <c r="V11" s="770" t="s">
        <v>21</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223"/>
      <c r="Q12" s="1798">
        <f t="shared" si="6"/>
        <v>111</v>
      </c>
      <c r="R12" s="770" t="s">
        <v>21</v>
      </c>
      <c r="S12" s="771">
        <f t="shared" si="0"/>
        <v>100</v>
      </c>
      <c r="T12" s="770" t="s">
        <v>21</v>
      </c>
      <c r="U12" s="771">
        <f t="shared" si="1"/>
        <v>100</v>
      </c>
      <c r="V12" s="770" t="s">
        <v>21</v>
      </c>
      <c r="W12" s="771">
        <f t="shared" si="2"/>
        <v>100</v>
      </c>
      <c r="X12" s="772"/>
      <c r="Y12" s="3072"/>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223"/>
      <c r="Q13" s="1798">
        <f t="shared" si="6"/>
        <v>111</v>
      </c>
      <c r="R13" s="770" t="s">
        <v>21</v>
      </c>
      <c r="S13" s="771">
        <f t="shared" si="0"/>
        <v>100</v>
      </c>
      <c r="T13" s="770" t="s">
        <v>21</v>
      </c>
      <c r="U13" s="771">
        <f t="shared" si="1"/>
        <v>100</v>
      </c>
      <c r="V13" s="770" t="s">
        <v>21</v>
      </c>
      <c r="W13" s="771">
        <f t="shared" si="2"/>
        <v>100</v>
      </c>
      <c r="X13" s="772"/>
      <c r="Y13" s="3072"/>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223"/>
      <c r="Q14" s="1798">
        <f t="shared" si="6"/>
        <v>111</v>
      </c>
      <c r="R14" s="770" t="s">
        <v>21</v>
      </c>
      <c r="S14" s="771">
        <f t="shared" si="0"/>
        <v>100</v>
      </c>
      <c r="T14" s="770" t="s">
        <v>21</v>
      </c>
      <c r="U14" s="771">
        <f t="shared" si="1"/>
        <v>100</v>
      </c>
      <c r="V14" s="770" t="s">
        <v>21</v>
      </c>
      <c r="W14" s="771">
        <f t="shared" si="2"/>
        <v>100</v>
      </c>
      <c r="X14" s="772"/>
      <c r="Y14" s="3072"/>
      <c r="Z14" s="55">
        <f t="shared" si="7"/>
        <v>111</v>
      </c>
      <c r="AA14" s="773">
        <f t="shared" si="3"/>
        <v>1</v>
      </c>
      <c r="AB14" s="773">
        <f t="shared" si="4"/>
        <v>1</v>
      </c>
      <c r="AC14" s="773">
        <f t="shared" si="5"/>
        <v>1</v>
      </c>
    </row>
    <row r="15" spans="1:29" ht="99.75">
      <c r="A15" s="440" t="s">
        <v>2558</v>
      </c>
      <c r="B15" s="69" t="s">
        <v>2089</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77" t="s">
        <v>2559</v>
      </c>
      <c r="Q15" s="1813" t="str">
        <f t="shared" si="6"/>
        <v>居住社区成熟度</v>
      </c>
      <c r="R15" s="774" t="s">
        <v>21</v>
      </c>
      <c r="S15" s="775">
        <f t="shared" si="0"/>
        <v>100</v>
      </c>
      <c r="T15" s="774" t="s">
        <v>21</v>
      </c>
      <c r="U15" s="775">
        <f t="shared" si="1"/>
        <v>100</v>
      </c>
      <c r="V15" s="774" t="s">
        <v>21</v>
      </c>
      <c r="W15" s="775">
        <f t="shared" si="2"/>
        <v>100</v>
      </c>
      <c r="X15" s="1816"/>
      <c r="Y15" s="3201" t="s">
        <v>2559</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278"/>
      <c r="Q16" s="1813"/>
      <c r="R16" s="774"/>
      <c r="S16" s="775"/>
      <c r="T16" s="774"/>
      <c r="U16" s="775"/>
      <c r="V16" s="774"/>
      <c r="W16" s="775"/>
      <c r="X16" s="1816"/>
      <c r="Y16" s="3202"/>
      <c r="Z16" s="1817"/>
      <c r="AA16" s="1814">
        <v>1</v>
      </c>
      <c r="AB16" s="1814">
        <v>1</v>
      </c>
      <c r="AC16" s="1814">
        <v>1</v>
      </c>
    </row>
    <row r="17" spans="1:29" ht="85.5">
      <c r="A17" s="428"/>
      <c r="B17" s="451" t="s">
        <v>2100</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78"/>
      <c r="Q17" s="1813" t="str">
        <f>B17</f>
        <v>交通便捷度</v>
      </c>
      <c r="R17" s="774" t="s">
        <v>21</v>
      </c>
      <c r="S17" s="775">
        <f>F17</f>
        <v>100</v>
      </c>
      <c r="T17" s="774" t="s">
        <v>21</v>
      </c>
      <c r="U17" s="775">
        <f>H17</f>
        <v>100</v>
      </c>
      <c r="V17" s="774" t="s">
        <v>21</v>
      </c>
      <c r="W17" s="775">
        <f>J17</f>
        <v>100</v>
      </c>
      <c r="X17" s="1816"/>
      <c r="Y17" s="3202"/>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278"/>
      <c r="Q18" s="1813"/>
      <c r="R18" s="774"/>
      <c r="S18" s="775"/>
      <c r="T18" s="774"/>
      <c r="U18" s="775"/>
      <c r="V18" s="774"/>
      <c r="W18" s="775"/>
      <c r="X18" s="1816"/>
      <c r="Y18" s="3202"/>
      <c r="Z18" s="1817"/>
      <c r="AA18" s="1814">
        <v>1</v>
      </c>
      <c r="AB18" s="1814">
        <v>1</v>
      </c>
      <c r="AC18" s="1814">
        <v>1</v>
      </c>
    </row>
    <row r="19" spans="1:29" ht="42.75">
      <c r="A19" s="428"/>
      <c r="B19" s="451" t="s">
        <v>2098</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78"/>
      <c r="Q19" s="1813" t="str">
        <f>B19</f>
        <v>公共配套设施</v>
      </c>
      <c r="R19" s="774" t="s">
        <v>21</v>
      </c>
      <c r="S19" s="775">
        <f>F19</f>
        <v>100</v>
      </c>
      <c r="T19" s="774" t="s">
        <v>21</v>
      </c>
      <c r="U19" s="775">
        <f>H19</f>
        <v>100</v>
      </c>
      <c r="V19" s="774" t="s">
        <v>21</v>
      </c>
      <c r="W19" s="775">
        <f>J19</f>
        <v>100</v>
      </c>
      <c r="X19" s="1816"/>
      <c r="Y19" s="3202"/>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278"/>
      <c r="Q20" s="1813"/>
      <c r="R20" s="774"/>
      <c r="S20" s="775"/>
      <c r="T20" s="774"/>
      <c r="U20" s="775"/>
      <c r="V20" s="774"/>
      <c r="W20" s="775"/>
      <c r="X20" s="1816"/>
      <c r="Y20" s="3202"/>
      <c r="Z20" s="1817"/>
      <c r="AA20" s="1814">
        <v>1</v>
      </c>
      <c r="AB20" s="1814">
        <v>1</v>
      </c>
      <c r="AC20" s="1814">
        <v>1</v>
      </c>
    </row>
    <row r="21" spans="1:29" ht="28.5">
      <c r="A21" s="428"/>
      <c r="B21" s="1387" t="s">
        <v>2101</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78"/>
      <c r="Q21" s="1813" t="str">
        <f>B21</f>
        <v>基础设施水平</v>
      </c>
      <c r="R21" s="774" t="s">
        <v>17</v>
      </c>
      <c r="S21" s="775">
        <f>F21</f>
        <v>100</v>
      </c>
      <c r="T21" s="774" t="s">
        <v>17</v>
      </c>
      <c r="U21" s="775">
        <f>H21</f>
        <v>100</v>
      </c>
      <c r="V21" s="774" t="s">
        <v>17</v>
      </c>
      <c r="W21" s="775">
        <f>J21</f>
        <v>100</v>
      </c>
      <c r="X21" s="1816"/>
      <c r="Y21" s="3202"/>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278"/>
      <c r="Q22" s="1813"/>
      <c r="R22" s="774"/>
      <c r="S22" s="775"/>
      <c r="T22" s="774"/>
      <c r="U22" s="775"/>
      <c r="V22" s="774"/>
      <c r="W22" s="775"/>
      <c r="X22" s="1816"/>
      <c r="Y22" s="3202"/>
      <c r="Z22" s="1817"/>
      <c r="AA22" s="1814">
        <v>1</v>
      </c>
      <c r="AB22" s="1814">
        <v>1</v>
      </c>
      <c r="AC22" s="1814">
        <v>1</v>
      </c>
    </row>
    <row r="23" spans="1:29" ht="57">
      <c r="A23" s="428"/>
      <c r="B23" s="451" t="s">
        <v>2104</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78"/>
      <c r="Q23" s="1813" t="str">
        <f>B23</f>
        <v>自然及人文环境</v>
      </c>
      <c r="R23" s="774" t="s">
        <v>21</v>
      </c>
      <c r="S23" s="775">
        <f>F23</f>
        <v>100</v>
      </c>
      <c r="T23" s="774" t="s">
        <v>21</v>
      </c>
      <c r="U23" s="775">
        <f>H23</f>
        <v>100</v>
      </c>
      <c r="V23" s="774" t="s">
        <v>21</v>
      </c>
      <c r="W23" s="775">
        <f>J23</f>
        <v>100</v>
      </c>
      <c r="X23" s="1816"/>
      <c r="Y23" s="3202"/>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278"/>
      <c r="Q24" s="1813"/>
      <c r="R24" s="774"/>
      <c r="S24" s="775"/>
      <c r="T24" s="774"/>
      <c r="U24" s="775"/>
      <c r="V24" s="774"/>
      <c r="W24" s="775"/>
      <c r="X24" s="1816"/>
      <c r="Y24" s="3202"/>
      <c r="Z24" s="1817"/>
      <c r="AA24" s="1814">
        <v>1</v>
      </c>
      <c r="AB24" s="1814">
        <v>1</v>
      </c>
      <c r="AC24" s="1814">
        <v>1</v>
      </c>
    </row>
    <row r="25" spans="1:29" ht="15">
      <c r="A25" s="428"/>
      <c r="B25" s="422" t="s">
        <v>2560</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278"/>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2"/>
      <c r="Z25" s="1817" t="str">
        <f>Q25</f>
        <v>楼层-1</v>
      </c>
      <c r="AA25" s="1814">
        <f t="shared" ref="AA25:AA46" si="15">D25/F25</f>
        <v>1</v>
      </c>
      <c r="AB25" s="1814">
        <f t="shared" ref="AB25:AB46" si="16">D25/H25</f>
        <v>1</v>
      </c>
      <c r="AC25" s="1814">
        <f t="shared" ref="AC25:AC46" si="17">D25/J25</f>
        <v>1</v>
      </c>
    </row>
    <row r="26" spans="1:29" ht="15">
      <c r="A26" s="428"/>
      <c r="B26" s="422" t="s">
        <v>2561</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278"/>
      <c r="Q26" s="1813" t="str">
        <f t="shared" si="11"/>
        <v>朝向</v>
      </c>
      <c r="R26" s="774" t="s">
        <v>21</v>
      </c>
      <c r="S26" s="775">
        <f t="shared" si="12"/>
        <v>100</v>
      </c>
      <c r="T26" s="774" t="s">
        <v>21</v>
      </c>
      <c r="U26" s="775">
        <f t="shared" si="13"/>
        <v>100</v>
      </c>
      <c r="V26" s="774" t="s">
        <v>21</v>
      </c>
      <c r="W26" s="775">
        <f t="shared" si="14"/>
        <v>100</v>
      </c>
      <c r="X26" s="1816"/>
      <c r="Y26" s="320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278"/>
      <c r="Q27" s="1798">
        <f t="shared" si="11"/>
        <v>111</v>
      </c>
      <c r="R27" s="770" t="s">
        <v>21</v>
      </c>
      <c r="S27" s="771">
        <f t="shared" si="12"/>
        <v>100</v>
      </c>
      <c r="T27" s="770" t="s">
        <v>21</v>
      </c>
      <c r="U27" s="771">
        <f t="shared" si="13"/>
        <v>100</v>
      </c>
      <c r="V27" s="770" t="s">
        <v>21</v>
      </c>
      <c r="W27" s="771">
        <f t="shared" si="14"/>
        <v>100</v>
      </c>
      <c r="X27" s="772"/>
      <c r="Y27" s="320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278"/>
      <c r="Q28" s="1813">
        <f t="shared" si="11"/>
        <v>111</v>
      </c>
      <c r="R28" s="774" t="s">
        <v>21</v>
      </c>
      <c r="S28" s="775">
        <f t="shared" si="12"/>
        <v>100</v>
      </c>
      <c r="T28" s="774" t="s">
        <v>21</v>
      </c>
      <c r="U28" s="775">
        <f t="shared" si="13"/>
        <v>100</v>
      </c>
      <c r="V28" s="774" t="s">
        <v>21</v>
      </c>
      <c r="W28" s="775">
        <f t="shared" si="14"/>
        <v>100</v>
      </c>
      <c r="X28" s="1816"/>
      <c r="Y28" s="320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278"/>
      <c r="Q29" s="1813">
        <f t="shared" si="11"/>
        <v>111</v>
      </c>
      <c r="R29" s="774" t="s">
        <v>21</v>
      </c>
      <c r="S29" s="775">
        <f t="shared" si="12"/>
        <v>100</v>
      </c>
      <c r="T29" s="774" t="s">
        <v>21</v>
      </c>
      <c r="U29" s="775">
        <f t="shared" si="13"/>
        <v>100</v>
      </c>
      <c r="V29" s="774" t="s">
        <v>21</v>
      </c>
      <c r="W29" s="775">
        <f t="shared" si="14"/>
        <v>100</v>
      </c>
      <c r="X29" s="1816"/>
      <c r="Y29" s="320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278"/>
      <c r="Q30" s="1813">
        <f t="shared" si="11"/>
        <v>111</v>
      </c>
      <c r="R30" s="774" t="s">
        <v>21</v>
      </c>
      <c r="S30" s="775">
        <f t="shared" si="12"/>
        <v>100</v>
      </c>
      <c r="T30" s="774" t="s">
        <v>21</v>
      </c>
      <c r="U30" s="775">
        <f t="shared" si="13"/>
        <v>100</v>
      </c>
      <c r="V30" s="774" t="s">
        <v>21</v>
      </c>
      <c r="W30" s="775">
        <f t="shared" si="14"/>
        <v>100</v>
      </c>
      <c r="X30" s="1816"/>
      <c r="Y30" s="3202"/>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278"/>
      <c r="Q31" s="1813">
        <f t="shared" si="11"/>
        <v>111</v>
      </c>
      <c r="R31" s="774" t="s">
        <v>21</v>
      </c>
      <c r="S31" s="775">
        <f t="shared" si="12"/>
        <v>100</v>
      </c>
      <c r="T31" s="774" t="s">
        <v>21</v>
      </c>
      <c r="U31" s="775">
        <f t="shared" si="13"/>
        <v>100</v>
      </c>
      <c r="V31" s="774" t="s">
        <v>21</v>
      </c>
      <c r="W31" s="775">
        <f t="shared" si="14"/>
        <v>100</v>
      </c>
      <c r="X31" s="1816"/>
      <c r="Y31" s="3202"/>
      <c r="Z31" s="1817">
        <f t="shared" si="18"/>
        <v>111</v>
      </c>
      <c r="AA31" s="1814">
        <f t="shared" si="15"/>
        <v>1</v>
      </c>
      <c r="AB31" s="1814">
        <f t="shared" si="16"/>
        <v>1</v>
      </c>
      <c r="AC31" s="1814">
        <f t="shared" si="17"/>
        <v>1</v>
      </c>
    </row>
    <row r="32" spans="1:29" ht="15">
      <c r="A32" s="440" t="s">
        <v>2562</v>
      </c>
      <c r="B32" s="71" t="s">
        <v>2563</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274" t="s">
        <v>2564</v>
      </c>
      <c r="Q32" s="1813" t="str">
        <f t="shared" si="11"/>
        <v>建筑类型</v>
      </c>
      <c r="R32" s="774" t="s">
        <v>21</v>
      </c>
      <c r="S32" s="775">
        <f t="shared" si="12"/>
        <v>100</v>
      </c>
      <c r="T32" s="774" t="s">
        <v>21</v>
      </c>
      <c r="U32" s="775">
        <f t="shared" si="13"/>
        <v>100</v>
      </c>
      <c r="V32" s="774" t="s">
        <v>21</v>
      </c>
      <c r="W32" s="775">
        <f t="shared" si="14"/>
        <v>100</v>
      </c>
      <c r="X32" s="1816"/>
      <c r="Y32" s="3204"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275"/>
      <c r="Q33" s="776" t="str">
        <f t="shared" si="11"/>
        <v>项目建筑规模</v>
      </c>
      <c r="R33" s="777" t="s">
        <v>21</v>
      </c>
      <c r="S33" s="778" t="e">
        <f t="shared" si="12"/>
        <v>#N/A</v>
      </c>
      <c r="T33" s="777" t="s">
        <v>21</v>
      </c>
      <c r="U33" s="778" t="e">
        <f t="shared" si="13"/>
        <v>#N/A</v>
      </c>
      <c r="V33" s="777" t="s">
        <v>21</v>
      </c>
      <c r="W33" s="778" t="e">
        <f t="shared" si="14"/>
        <v>#N/A</v>
      </c>
      <c r="X33" s="779"/>
      <c r="Y33" s="3204"/>
      <c r="Z33" s="780" t="str">
        <f t="shared" si="18"/>
        <v>项目建筑规模</v>
      </c>
      <c r="AA33" s="1814" t="e">
        <f t="shared" si="15"/>
        <v>#N/A</v>
      </c>
      <c r="AB33" s="1814" t="e">
        <f t="shared" si="16"/>
        <v>#N/A</v>
      </c>
      <c r="AC33" s="1814" t="e">
        <f t="shared" si="17"/>
        <v>#N/A</v>
      </c>
    </row>
    <row r="34" spans="1:29" ht="15">
      <c r="A34" s="472"/>
      <c r="B34" s="422" t="s">
        <v>2566</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275"/>
      <c r="Q34" s="1813" t="str">
        <f t="shared" si="11"/>
        <v>建筑结构</v>
      </c>
      <c r="R34" s="774" t="s">
        <v>21</v>
      </c>
      <c r="S34" s="775">
        <f t="shared" si="12"/>
        <v>100</v>
      </c>
      <c r="T34" s="774" t="s">
        <v>21</v>
      </c>
      <c r="U34" s="775">
        <f t="shared" si="13"/>
        <v>100</v>
      </c>
      <c r="V34" s="774" t="s">
        <v>21</v>
      </c>
      <c r="W34" s="775">
        <f t="shared" si="14"/>
        <v>100</v>
      </c>
      <c r="X34" s="1816"/>
      <c r="Y34" s="3204"/>
      <c r="Z34" s="1817" t="str">
        <f t="shared" si="18"/>
        <v>建筑结构</v>
      </c>
      <c r="AA34" s="1814">
        <f t="shared" si="15"/>
        <v>1</v>
      </c>
      <c r="AB34" s="1814">
        <f t="shared" si="16"/>
        <v>1</v>
      </c>
      <c r="AC34" s="1814">
        <f t="shared" si="17"/>
        <v>1</v>
      </c>
    </row>
    <row r="35" spans="1:29" ht="15">
      <c r="A35" s="472"/>
      <c r="B35" s="422" t="s">
        <v>2567</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275"/>
      <c r="Q35" s="1813" t="str">
        <f t="shared" si="11"/>
        <v>建筑品质</v>
      </c>
      <c r="R35" s="774" t="s">
        <v>21</v>
      </c>
      <c r="S35" s="775">
        <f t="shared" si="12"/>
        <v>100</v>
      </c>
      <c r="T35" s="774" t="s">
        <v>21</v>
      </c>
      <c r="U35" s="775">
        <f t="shared" si="13"/>
        <v>100</v>
      </c>
      <c r="V35" s="774" t="s">
        <v>21</v>
      </c>
      <c r="W35" s="775">
        <f t="shared" si="14"/>
        <v>100</v>
      </c>
      <c r="X35" s="1816"/>
      <c r="Y35" s="3204"/>
      <c r="Z35" s="1817" t="str">
        <f t="shared" si="18"/>
        <v>建筑品质</v>
      </c>
      <c r="AA35" s="1814">
        <f t="shared" si="15"/>
        <v>1</v>
      </c>
      <c r="AB35" s="1814">
        <f t="shared" si="16"/>
        <v>1</v>
      </c>
      <c r="AC35" s="1814">
        <f t="shared" si="17"/>
        <v>1</v>
      </c>
    </row>
    <row r="36" spans="1:29" ht="15">
      <c r="A36" s="472"/>
      <c r="B36" s="422" t="s">
        <v>2568</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275"/>
      <c r="Q36" s="1813" t="str">
        <f t="shared" si="11"/>
        <v>公共部分装修</v>
      </c>
      <c r="R36" s="774" t="s">
        <v>21</v>
      </c>
      <c r="S36" s="775">
        <f t="shared" si="12"/>
        <v>100</v>
      </c>
      <c r="T36" s="774" t="s">
        <v>21</v>
      </c>
      <c r="U36" s="775">
        <f t="shared" si="13"/>
        <v>100</v>
      </c>
      <c r="V36" s="774" t="s">
        <v>21</v>
      </c>
      <c r="W36" s="775">
        <f t="shared" si="14"/>
        <v>100</v>
      </c>
      <c r="X36" s="1816"/>
      <c r="Y36" s="3204"/>
      <c r="Z36" s="1817" t="str">
        <f t="shared" si="18"/>
        <v>公共部分装修</v>
      </c>
      <c r="AA36" s="1814">
        <f t="shared" si="15"/>
        <v>1</v>
      </c>
      <c r="AB36" s="1814">
        <f t="shared" si="16"/>
        <v>1</v>
      </c>
      <c r="AC36" s="1814">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75"/>
      <c r="Q37" s="1798" t="str">
        <f t="shared" si="11"/>
        <v>成新度</v>
      </c>
      <c r="R37" s="770" t="s">
        <v>21</v>
      </c>
      <c r="S37" s="771" t="e">
        <f t="shared" si="12"/>
        <v>#N/A</v>
      </c>
      <c r="T37" s="770" t="s">
        <v>21</v>
      </c>
      <c r="U37" s="771" t="e">
        <f t="shared" si="13"/>
        <v>#N/A</v>
      </c>
      <c r="V37" s="770" t="s">
        <v>21</v>
      </c>
      <c r="W37" s="771" t="e">
        <f t="shared" si="14"/>
        <v>#N/A</v>
      </c>
      <c r="X37" s="772"/>
      <c r="Y37" s="3204"/>
      <c r="Z37" s="55" t="str">
        <f t="shared" si="18"/>
        <v>成新度</v>
      </c>
      <c r="AA37" s="773" t="e">
        <f t="shared" si="15"/>
        <v>#N/A</v>
      </c>
      <c r="AB37" s="773" t="e">
        <f t="shared" si="16"/>
        <v>#N/A</v>
      </c>
      <c r="AC37" s="773" t="e">
        <f t="shared" si="17"/>
        <v>#N/A</v>
      </c>
    </row>
    <row r="38" spans="1:29" ht="15">
      <c r="A38" s="472"/>
      <c r="B38" s="422" t="s">
        <v>2570</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275" t="s">
        <v>2564</v>
      </c>
      <c r="Q38" s="1813" t="str">
        <f t="shared" si="11"/>
        <v>物业管理</v>
      </c>
      <c r="R38" s="774" t="s">
        <v>21</v>
      </c>
      <c r="S38" s="775">
        <f t="shared" si="12"/>
        <v>100</v>
      </c>
      <c r="T38" s="774" t="s">
        <v>21</v>
      </c>
      <c r="U38" s="775">
        <f t="shared" si="13"/>
        <v>100</v>
      </c>
      <c r="V38" s="774" t="s">
        <v>21</v>
      </c>
      <c r="W38" s="775">
        <f t="shared" si="14"/>
        <v>100</v>
      </c>
      <c r="X38" s="1816"/>
      <c r="Y38" s="3204" t="s">
        <v>2564</v>
      </c>
      <c r="Z38" s="1817" t="str">
        <f t="shared" si="18"/>
        <v>物业管理</v>
      </c>
      <c r="AA38" s="1814">
        <f t="shared" si="15"/>
        <v>1</v>
      </c>
      <c r="AB38" s="1814">
        <f t="shared" si="16"/>
        <v>1</v>
      </c>
      <c r="AC38" s="1814">
        <f t="shared" si="17"/>
        <v>1</v>
      </c>
    </row>
    <row r="39" spans="1:29" ht="15">
      <c r="A39" s="472"/>
      <c r="B39" s="422" t="s">
        <v>2571</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275"/>
      <c r="Q39" s="1813" t="str">
        <f t="shared" si="11"/>
        <v>市政基础设施</v>
      </c>
      <c r="R39" s="774" t="s">
        <v>21</v>
      </c>
      <c r="S39" s="775">
        <f t="shared" si="12"/>
        <v>100</v>
      </c>
      <c r="T39" s="774" t="s">
        <v>21</v>
      </c>
      <c r="U39" s="775">
        <f t="shared" si="13"/>
        <v>100</v>
      </c>
      <c r="V39" s="774" t="s">
        <v>21</v>
      </c>
      <c r="W39" s="775">
        <f t="shared" si="14"/>
        <v>100</v>
      </c>
      <c r="X39" s="1816"/>
      <c r="Y39" s="3204"/>
      <c r="Z39" s="1817" t="str">
        <f t="shared" si="18"/>
        <v>市政基础设施</v>
      </c>
      <c r="AA39" s="1814">
        <f t="shared" si="15"/>
        <v>1</v>
      </c>
      <c r="AB39" s="1814">
        <f t="shared" si="16"/>
        <v>1</v>
      </c>
      <c r="AC39" s="1814">
        <f t="shared" si="17"/>
        <v>1</v>
      </c>
    </row>
    <row r="40" spans="1:29" ht="15">
      <c r="A40" s="472"/>
      <c r="B40" s="422" t="s">
        <v>2572</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275"/>
      <c r="Q40" s="1813" t="str">
        <f t="shared" si="11"/>
        <v>房型</v>
      </c>
      <c r="R40" s="774" t="s">
        <v>21</v>
      </c>
      <c r="S40" s="775">
        <f t="shared" si="12"/>
        <v>100</v>
      </c>
      <c r="T40" s="774" t="s">
        <v>21</v>
      </c>
      <c r="U40" s="775">
        <f t="shared" si="13"/>
        <v>100</v>
      </c>
      <c r="V40" s="774" t="s">
        <v>21</v>
      </c>
      <c r="W40" s="775">
        <f t="shared" si="14"/>
        <v>100</v>
      </c>
      <c r="X40" s="1816"/>
      <c r="Y40" s="3204"/>
      <c r="Z40" s="1817" t="str">
        <f t="shared" si="18"/>
        <v>房型</v>
      </c>
      <c r="AA40" s="1814">
        <f t="shared" si="15"/>
        <v>1</v>
      </c>
      <c r="AB40" s="1814">
        <f t="shared" si="16"/>
        <v>1</v>
      </c>
      <c r="AC40" s="1814">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275"/>
      <c r="Q41" s="776" t="str">
        <f t="shared" si="11"/>
        <v>单套/主力户型建筑面积</v>
      </c>
      <c r="R41" s="777" t="s">
        <v>21</v>
      </c>
      <c r="S41" s="778">
        <f t="shared" si="12"/>
        <v>100</v>
      </c>
      <c r="T41" s="777" t="s">
        <v>21</v>
      </c>
      <c r="U41" s="778">
        <f t="shared" si="13"/>
        <v>100</v>
      </c>
      <c r="V41" s="777" t="s">
        <v>21</v>
      </c>
      <c r="W41" s="778">
        <f t="shared" si="14"/>
        <v>100</v>
      </c>
      <c r="X41" s="779"/>
      <c r="Y41" s="3204"/>
      <c r="Z41" s="780" t="str">
        <f t="shared" si="18"/>
        <v>单套/主力户型建筑面积</v>
      </c>
      <c r="AA41" s="1814">
        <f t="shared" si="15"/>
        <v>1</v>
      </c>
      <c r="AB41" s="1814">
        <f t="shared" si="16"/>
        <v>1</v>
      </c>
      <c r="AC41" s="1814">
        <f t="shared" si="17"/>
        <v>1</v>
      </c>
    </row>
    <row r="42" spans="1:29" ht="15">
      <c r="A42" s="472"/>
      <c r="B42" s="422" t="s">
        <v>2574</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275"/>
      <c r="Q42" s="1813" t="str">
        <f t="shared" si="11"/>
        <v>内部装修</v>
      </c>
      <c r="R42" s="774" t="s">
        <v>21</v>
      </c>
      <c r="S42" s="775">
        <f t="shared" si="12"/>
        <v>100</v>
      </c>
      <c r="T42" s="774" t="s">
        <v>21</v>
      </c>
      <c r="U42" s="775">
        <f t="shared" si="13"/>
        <v>100</v>
      </c>
      <c r="V42" s="774" t="s">
        <v>21</v>
      </c>
      <c r="W42" s="775">
        <f t="shared" si="14"/>
        <v>100</v>
      </c>
      <c r="X42" s="1816"/>
      <c r="Y42" s="3204"/>
      <c r="Z42" s="1817" t="str">
        <f t="shared" si="18"/>
        <v>内部装修</v>
      </c>
      <c r="AA42" s="1814">
        <f t="shared" si="15"/>
        <v>1</v>
      </c>
      <c r="AB42" s="1814">
        <f t="shared" si="16"/>
        <v>1</v>
      </c>
      <c r="AC42" s="1814">
        <f t="shared" si="17"/>
        <v>1</v>
      </c>
    </row>
    <row r="43" spans="1:29" ht="15">
      <c r="A43" s="472"/>
      <c r="B43" s="422" t="s">
        <v>2575</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275"/>
      <c r="Q43" s="1813" t="str">
        <f t="shared" si="11"/>
        <v>内部装修维护情况</v>
      </c>
      <c r="R43" s="774" t="s">
        <v>21</v>
      </c>
      <c r="S43" s="775">
        <f t="shared" si="12"/>
        <v>100</v>
      </c>
      <c r="T43" s="774" t="s">
        <v>21</v>
      </c>
      <c r="U43" s="775">
        <f t="shared" si="13"/>
        <v>100</v>
      </c>
      <c r="V43" s="774" t="s">
        <v>21</v>
      </c>
      <c r="W43" s="775">
        <f t="shared" si="14"/>
        <v>100</v>
      </c>
      <c r="X43" s="1816"/>
      <c r="Y43" s="3204"/>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275"/>
      <c r="Q44" s="1798">
        <f t="shared" si="11"/>
        <v>111</v>
      </c>
      <c r="R44" s="770" t="s">
        <v>21</v>
      </c>
      <c r="S44" s="771">
        <f t="shared" si="12"/>
        <v>100</v>
      </c>
      <c r="T44" s="770" t="s">
        <v>21</v>
      </c>
      <c r="U44" s="771">
        <f t="shared" si="13"/>
        <v>100</v>
      </c>
      <c r="V44" s="770" t="s">
        <v>21</v>
      </c>
      <c r="W44" s="771">
        <f t="shared" si="14"/>
        <v>100</v>
      </c>
      <c r="X44" s="772"/>
      <c r="Y44" s="320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275"/>
      <c r="Q45" s="1813">
        <f t="shared" si="11"/>
        <v>111</v>
      </c>
      <c r="R45" s="774" t="s">
        <v>21</v>
      </c>
      <c r="S45" s="775">
        <f t="shared" si="12"/>
        <v>100</v>
      </c>
      <c r="T45" s="774" t="s">
        <v>21</v>
      </c>
      <c r="U45" s="775">
        <f t="shared" si="13"/>
        <v>100</v>
      </c>
      <c r="V45" s="774" t="s">
        <v>21</v>
      </c>
      <c r="W45" s="775">
        <f t="shared" si="14"/>
        <v>100</v>
      </c>
      <c r="X45" s="1816"/>
      <c r="Y45" s="3204"/>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276"/>
      <c r="Q46" s="1813">
        <f t="shared" si="11"/>
        <v>111</v>
      </c>
      <c r="R46" s="774" t="s">
        <v>20</v>
      </c>
      <c r="S46" s="775">
        <f t="shared" si="12"/>
        <v>100</v>
      </c>
      <c r="T46" s="774" t="s">
        <v>20</v>
      </c>
      <c r="U46" s="775">
        <f t="shared" si="13"/>
        <v>100</v>
      </c>
      <c r="V46" s="774" t="s">
        <v>20</v>
      </c>
      <c r="W46" s="775">
        <f t="shared" si="14"/>
        <v>100</v>
      </c>
      <c r="X46" s="1816"/>
      <c r="Y46" s="3249"/>
      <c r="Z46" s="1817">
        <f t="shared" si="18"/>
        <v>111</v>
      </c>
      <c r="AA46" s="1814">
        <f t="shared" si="15"/>
        <v>1</v>
      </c>
      <c r="AB46" s="1814">
        <f t="shared" si="16"/>
        <v>1</v>
      </c>
      <c r="AC46" s="1814">
        <f t="shared" si="17"/>
        <v>1</v>
      </c>
    </row>
    <row r="47" spans="1:29" ht="15">
      <c r="A47" s="479" t="s">
        <v>2576</v>
      </c>
      <c r="B47" s="480"/>
      <c r="C47" s="1410" t="s">
        <v>19</v>
      </c>
      <c r="D47" s="1411"/>
      <c r="E47" s="1412"/>
      <c r="F47" s="1413"/>
      <c r="G47" s="1414"/>
      <c r="H47" s="1415"/>
      <c r="I47" s="1412"/>
      <c r="J47" s="1415"/>
      <c r="K47" s="2625"/>
      <c r="L47" s="1146"/>
      <c r="M47" s="1147"/>
      <c r="N47" s="1134"/>
      <c r="O47" s="1147"/>
      <c r="P47" s="3198" t="str">
        <f>A47</f>
        <v>成交单价（元/平方米）</v>
      </c>
      <c r="Q47" s="3198"/>
      <c r="R47" s="3250">
        <f>E47</f>
        <v>0</v>
      </c>
      <c r="S47" s="3250"/>
      <c r="T47" s="3250">
        <f>G47</f>
        <v>0</v>
      </c>
      <c r="U47" s="3250"/>
      <c r="V47" s="3250">
        <f>I47</f>
        <v>0</v>
      </c>
      <c r="W47" s="3250"/>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6"/>
      <c r="L48" s="1146"/>
      <c r="M48" s="1147"/>
      <c r="N48" s="1147"/>
      <c r="O48" s="1147"/>
      <c r="P48" s="3198" t="str">
        <f>A48</f>
        <v>比较价值（元/平方米）</v>
      </c>
      <c r="Q48" s="3198"/>
      <c r="R48" s="3250" t="e">
        <f>IF(F1="售价",ROUND(PRODUCT(R47,AA7:AA46),0),ROUND(PRODUCT(R47,AA7:AA46),1))</f>
        <v>#DIV/0!</v>
      </c>
      <c r="S48" s="3250"/>
      <c r="T48" s="3250" t="e">
        <f>IF(F1="售价",ROUND(PRODUCT(T47,AB7:AB46),0),ROUND(PRODUCT(T47,AB7:AB46),1))</f>
        <v>#DIV/0!</v>
      </c>
      <c r="U48" s="3250"/>
      <c r="V48" s="3250" t="e">
        <f>IF(F1="售价",ROUND(PRODUCT(V47,AC7:AC46),0),ROUND(PRODUCT(V47,AC7:AC46),1))</f>
        <v>#DIV/0!</v>
      </c>
      <c r="W48" s="3250"/>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7"/>
      <c r="L49" s="1146"/>
      <c r="M49" s="1147"/>
      <c r="N49" s="1147"/>
      <c r="O49" s="1147"/>
      <c r="P49" s="3195" t="str">
        <f>A49</f>
        <v>估价对象XX用房的比较价值（楼面单价，元/平方米）</v>
      </c>
      <c r="Q49" s="3196"/>
      <c r="R49" s="3251" t="e">
        <f>IF(F1="售价",ROUND(AVERAGE(R48:V48),0),ROUND(AVERAGE(R48:V48),1))</f>
        <v>#DIV/0!</v>
      </c>
      <c r="S49" s="3251"/>
      <c r="T49" s="3251"/>
      <c r="U49" s="3251"/>
      <c r="V49" s="3251"/>
      <c r="W49" s="325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30"/>
      <c r="Q57" s="504"/>
    </row>
    <row r="58" spans="1:29" s="508" customFormat="1" ht="15">
      <c r="A58" s="505" t="s">
        <v>2583</v>
      </c>
      <c r="B58" s="506"/>
      <c r="C58" s="1579" t="str">
        <f>YEAR(C7)&amp;"-"&amp;MONTH(C7)</f>
        <v>2018-7</v>
      </c>
      <c r="D58" s="1578">
        <f>EDATE(C58,-1)</f>
        <v>43252</v>
      </c>
      <c r="E58" s="1578">
        <f>EDATE(D58,-1)</f>
        <v>43221</v>
      </c>
      <c r="F58" s="1578">
        <f t="shared" ref="F58:O58" si="19">EDATE(E58,-1)</f>
        <v>43191</v>
      </c>
      <c r="G58" s="1578">
        <f t="shared" si="19"/>
        <v>43160</v>
      </c>
      <c r="H58" s="1578">
        <f t="shared" si="19"/>
        <v>43132</v>
      </c>
      <c r="I58" s="1578">
        <f t="shared" si="19"/>
        <v>43101</v>
      </c>
      <c r="J58" s="1578">
        <f t="shared" si="19"/>
        <v>43070</v>
      </c>
      <c r="K58" s="1578">
        <f t="shared" si="19"/>
        <v>43040</v>
      </c>
      <c r="L58" s="1578">
        <f t="shared" si="19"/>
        <v>43009</v>
      </c>
      <c r="M58" s="1578">
        <f t="shared" si="19"/>
        <v>42979</v>
      </c>
      <c r="N58" s="1578">
        <f t="shared" si="19"/>
        <v>42948</v>
      </c>
      <c r="O58" s="1578">
        <f t="shared" si="19"/>
        <v>42917</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2584</v>
      </c>
      <c r="B60" s="516"/>
      <c r="C60" s="517"/>
      <c r="D60" s="518"/>
      <c r="E60" s="518"/>
      <c r="F60" s="518"/>
      <c r="G60" s="518"/>
      <c r="H60" s="518"/>
      <c r="I60" s="518"/>
      <c r="J60" s="518"/>
      <c r="K60" s="518"/>
      <c r="L60" s="518"/>
      <c r="M60" s="519"/>
      <c r="N60" s="518"/>
      <c r="O60" s="519"/>
      <c r="P60" s="2632"/>
      <c r="Q60" s="504"/>
    </row>
    <row r="61" spans="1:29" s="117" customFormat="1" ht="15">
      <c r="A61" s="521" t="s">
        <v>2585</v>
      </c>
      <c r="B61" s="510"/>
      <c r="C61" s="522" t="s">
        <v>2586</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2587</v>
      </c>
      <c r="B63" s="528" t="s">
        <v>2553</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2101</v>
      </c>
      <c r="C82" s="539" t="s">
        <v>2603</v>
      </c>
      <c r="D82" s="539" t="s">
        <v>2604</v>
      </c>
      <c r="E82" s="539" t="s">
        <v>2605</v>
      </c>
      <c r="F82" s="539" t="s">
        <v>2606</v>
      </c>
      <c r="G82" s="539" t="s">
        <v>2607</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2609</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2610</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2562</v>
      </c>
      <c r="B100" s="528" t="s">
        <v>2611</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2613</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2614</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2615</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2616</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2617</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2618</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2619</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2621</v>
      </c>
    </row>
    <row r="137" spans="1:17" ht="15">
      <c r="B137" s="2642" t="s">
        <v>2622</v>
      </c>
      <c r="C137" s="2643"/>
      <c r="D137" s="2643"/>
      <c r="E137" s="2643"/>
      <c r="F137" s="2643"/>
      <c r="G137" s="2644"/>
      <c r="H137" s="2645"/>
      <c r="I137" s="2646" t="s">
        <v>2623</v>
      </c>
      <c r="J137" s="2643"/>
      <c r="K137" s="2647"/>
    </row>
    <row r="138" spans="1:17" ht="15">
      <c r="B138" s="2648"/>
      <c r="C138" s="146" t="s">
        <v>2624</v>
      </c>
      <c r="D138" s="146" t="s">
        <v>2625</v>
      </c>
      <c r="E138" s="2649" t="s">
        <v>2626</v>
      </c>
      <c r="F138" s="2650" t="s">
        <v>2627</v>
      </c>
      <c r="G138" s="146" t="s">
        <v>2625</v>
      </c>
      <c r="H138" s="147" t="s">
        <v>2626</v>
      </c>
      <c r="I138" s="2651"/>
      <c r="J138" s="146" t="s">
        <v>2628</v>
      </c>
      <c r="K138" s="147" t="s">
        <v>2629</v>
      </c>
    </row>
    <row r="139" spans="1:17" ht="15">
      <c r="B139" s="1087">
        <v>6</v>
      </c>
      <c r="C139" s="1088">
        <v>96</v>
      </c>
      <c r="D139" s="2652" t="s">
        <v>2630</v>
      </c>
      <c r="E139" s="1089">
        <v>100</v>
      </c>
      <c r="F139" s="1090">
        <v>102.5</v>
      </c>
      <c r="G139" s="2652" t="s">
        <v>2630</v>
      </c>
      <c r="H139" s="1091">
        <v>105</v>
      </c>
      <c r="I139" s="2653" t="s">
        <v>2631</v>
      </c>
      <c r="J139" s="1088">
        <v>20</v>
      </c>
      <c r="K139" s="1092">
        <f>C145/(J139-2)</f>
        <v>4.0555555555555553E-3</v>
      </c>
    </row>
    <row r="140" spans="1:17" ht="15">
      <c r="B140" s="1093">
        <v>5</v>
      </c>
      <c r="C140" s="1094">
        <v>100</v>
      </c>
      <c r="D140" s="1094"/>
      <c r="E140" s="1095"/>
      <c r="F140" s="1096">
        <v>102</v>
      </c>
      <c r="G140" s="1094"/>
      <c r="H140" s="1097"/>
      <c r="I140" s="2654" t="s">
        <v>2632</v>
      </c>
      <c r="J140" s="315">
        <f>ROUNDUP((J139-1)/2,0)</f>
        <v>10</v>
      </c>
      <c r="K140" s="1098">
        <v>100</v>
      </c>
    </row>
    <row r="141" spans="1:17" ht="15">
      <c r="B141" s="1093">
        <v>4</v>
      </c>
      <c r="C141" s="1094">
        <v>102</v>
      </c>
      <c r="D141" s="1094"/>
      <c r="E141" s="1095"/>
      <c r="F141" s="1096">
        <v>101.5</v>
      </c>
      <c r="G141" s="1094"/>
      <c r="H141" s="1097"/>
      <c r="I141" s="2654" t="s">
        <v>2633</v>
      </c>
      <c r="J141" s="315">
        <v>1</v>
      </c>
      <c r="K141" s="1099">
        <f>ROUND(100+(J141-J140)*K139*100,1)</f>
        <v>96.4</v>
      </c>
    </row>
    <row r="142" spans="1:17" ht="15">
      <c r="B142" s="1093">
        <v>3</v>
      </c>
      <c r="C142" s="1094">
        <v>103</v>
      </c>
      <c r="D142" s="1094"/>
      <c r="E142" s="1095"/>
      <c r="F142" s="1096">
        <v>101</v>
      </c>
      <c r="G142" s="1094"/>
      <c r="H142" s="1097"/>
      <c r="I142" s="2654" t="s">
        <v>2634</v>
      </c>
      <c r="J142" s="315">
        <f>J139</f>
        <v>20</v>
      </c>
      <c r="K142" s="1100">
        <v>95</v>
      </c>
    </row>
    <row r="143" spans="1:17" ht="15">
      <c r="B143" s="1093">
        <v>2</v>
      </c>
      <c r="C143" s="1094">
        <v>100</v>
      </c>
      <c r="D143" s="1094"/>
      <c r="E143" s="1095"/>
      <c r="F143" s="1096">
        <v>100.5</v>
      </c>
      <c r="G143" s="1094"/>
      <c r="H143" s="1097"/>
      <c r="I143" s="2654" t="s">
        <v>2635</v>
      </c>
      <c r="J143" s="1094">
        <v>15</v>
      </c>
      <c r="K143" s="1099">
        <f>ROUND(100+(J143-J140)*K139*100,1)</f>
        <v>102</v>
      </c>
    </row>
    <row r="144" spans="1:17" ht="15">
      <c r="B144" s="1093">
        <v>1</v>
      </c>
      <c r="C144" s="1094">
        <v>98</v>
      </c>
      <c r="D144" s="2655" t="s">
        <v>2636</v>
      </c>
      <c r="E144" s="1095">
        <v>102</v>
      </c>
      <c r="F144" s="1101">
        <v>100</v>
      </c>
      <c r="G144" s="2655" t="s">
        <v>2636</v>
      </c>
      <c r="H144" s="1097">
        <v>105</v>
      </c>
      <c r="I144" s="2654" t="s">
        <v>2635</v>
      </c>
      <c r="J144" s="1094">
        <v>18</v>
      </c>
      <c r="K144" s="1099">
        <f>ROUND(100+(J144-J140)*K139*100,1)</f>
        <v>103.2</v>
      </c>
    </row>
    <row r="145" spans="2:11" ht="15.75" thickBot="1">
      <c r="B145" s="2656" t="s">
        <v>2637</v>
      </c>
      <c r="C145" s="1102">
        <f>ROUND(MAX(C139:C144)/MIN(C139:C144)-1,3)</f>
        <v>7.2999999999999995E-2</v>
      </c>
      <c r="D145" s="1103"/>
      <c r="E145" s="1103"/>
      <c r="F145" s="2657" t="s">
        <v>2638</v>
      </c>
      <c r="G145" s="2658"/>
      <c r="H145" s="2659"/>
      <c r="I145" s="2660" t="s">
        <v>2635</v>
      </c>
      <c r="J145" s="1104">
        <v>8</v>
      </c>
      <c r="K145" s="1105">
        <f>ROUND(100+(J145-J140)*K139*100,1)</f>
        <v>99.2</v>
      </c>
    </row>
    <row r="147" spans="2:11">
      <c r="B147" s="2641" t="s">
        <v>2639</v>
      </c>
    </row>
    <row r="148" spans="2:11">
      <c r="B148" s="2641"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2" priority="15" stopIfTrue="1" operator="containsText" text="超过">
      <formula>NOT(ISERROR(SEARCH("超过",F52)))</formula>
    </cfRule>
  </conditionalFormatting>
  <conditionalFormatting sqref="J54">
    <cfRule type="containsText" dxfId="101" priority="14" stopIfTrue="1" operator="containsText" text="超过">
      <formula>NOT(ISERROR(SEARCH("超过",J54)))</formula>
    </cfRule>
  </conditionalFormatting>
  <conditionalFormatting sqref="H54">
    <cfRule type="containsText" dxfId="100" priority="13" stopIfTrue="1" operator="containsText" text="超过">
      <formula>NOT(ISERROR(SEARCH("超过",H54)))</formula>
    </cfRule>
  </conditionalFormatting>
  <conditionalFormatting sqref="F54">
    <cfRule type="containsText" dxfId="99" priority="12" stopIfTrue="1" operator="containsText" text="超过">
      <formula>NOT(ISERROR(SEARCH("超过",F54)))</formula>
    </cfRule>
  </conditionalFormatting>
  <conditionalFormatting sqref="F53 H53 J53">
    <cfRule type="containsText" dxfId="98" priority="11" stopIfTrue="1" operator="containsText" text="超过">
      <formula>NOT(ISERROR(SEARCH("超过",F53)))</formula>
    </cfRule>
  </conditionalFormatting>
  <conditionalFormatting sqref="E52">
    <cfRule type="expression" dxfId="97" priority="10"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3" sqref="G1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6" t="s">
        <v>2641</v>
      </c>
      <c r="C1" s="1637" t="s">
        <v>2529</v>
      </c>
      <c r="D1" s="1624"/>
      <c r="E1" s="2661"/>
      <c r="F1" s="2588"/>
      <c r="G1" s="1634" t="s">
        <v>2642</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2329</v>
      </c>
      <c r="B2" s="1421" t="e">
        <f ca="1">IF(C2="——",ROUND(C49*D3/10000,0),ROUND(C49*D3/10000,0)-D2)</f>
        <v>#DIV/0!</v>
      </c>
      <c r="C2" s="2590"/>
      <c r="D2" s="1368" t="e">
        <f ca="1">SUMIF(INDIRECT("'"&amp;F2&amp;"'"&amp;"!A:A"),"承租人权益价值",INDIRECT("'"&amp;F2&amp;"'"&amp;"!c:c"))</f>
        <v>#REF!</v>
      </c>
      <c r="E2" s="2591" t="s">
        <v>2330</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2331</v>
      </c>
      <c r="B3" s="609" t="e">
        <f ca="1">IF(C2="——",C49,ROUND(B2*10000/D3,0))</f>
        <v>#DIV/0!</v>
      </c>
      <c r="C3" s="400" t="s">
        <v>2643</v>
      </c>
      <c r="D3" s="399">
        <f>IF(D1="",'数据-汇总表'!E3,SUMIF('数据-汇总表'!$C19:$C33,D1,'数据-汇总表'!$E19:$E33))</f>
        <v>1611</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2644</v>
      </c>
      <c r="B4" s="402"/>
      <c r="C4" s="3208" t="s">
        <v>2645</v>
      </c>
      <c r="D4" s="3209"/>
      <c r="E4" s="3210" t="s">
        <v>2646</v>
      </c>
      <c r="F4" s="3211"/>
      <c r="G4" s="3208" t="s">
        <v>2647</v>
      </c>
      <c r="H4" s="3209"/>
      <c r="I4" s="3208" t="s">
        <v>2648</v>
      </c>
      <c r="J4" s="3209"/>
      <c r="K4" s="610" t="s">
        <v>2649</v>
      </c>
      <c r="L4" s="1133"/>
      <c r="M4" s="1134"/>
      <c r="N4" s="1134"/>
      <c r="O4" s="1134"/>
      <c r="P4" s="3212" t="s">
        <v>2650</v>
      </c>
      <c r="Q4" s="3213"/>
      <c r="R4" s="3225" t="s">
        <v>2646</v>
      </c>
      <c r="S4" s="3226"/>
      <c r="T4" s="3225" t="s">
        <v>2647</v>
      </c>
      <c r="U4" s="3226"/>
      <c r="V4" s="3200" t="s">
        <v>2648</v>
      </c>
      <c r="W4" s="3200"/>
      <c r="X4" s="1816"/>
      <c r="Y4" s="3225" t="s">
        <v>2650</v>
      </c>
      <c r="Z4" s="3226"/>
      <c r="AA4" s="3205" t="s">
        <v>2646</v>
      </c>
      <c r="AB4" s="3200" t="s">
        <v>2647</v>
      </c>
      <c r="AC4" s="3205" t="s">
        <v>2648</v>
      </c>
    </row>
    <row r="5" spans="1:29" ht="15">
      <c r="A5" s="404"/>
      <c r="B5" s="405"/>
      <c r="C5" s="3229" t="s">
        <v>2541</v>
      </c>
      <c r="D5" s="3230"/>
      <c r="E5" s="3218" t="s">
        <v>2542</v>
      </c>
      <c r="F5" s="3219"/>
      <c r="G5" s="3229" t="s">
        <v>2543</v>
      </c>
      <c r="H5" s="3230"/>
      <c r="I5" s="3229" t="s">
        <v>2544</v>
      </c>
      <c r="J5" s="3230"/>
      <c r="K5" s="610"/>
      <c r="L5" s="1133"/>
      <c r="M5" s="1134"/>
      <c r="N5" s="1134"/>
      <c r="O5" s="1134"/>
      <c r="P5" s="3214"/>
      <c r="Q5" s="3215"/>
      <c r="R5" s="3227"/>
      <c r="S5" s="3228"/>
      <c r="T5" s="3227"/>
      <c r="U5" s="3228"/>
      <c r="V5" s="3200"/>
      <c r="W5" s="3200"/>
      <c r="X5" s="1816"/>
      <c r="Y5" s="3227"/>
      <c r="Z5" s="3228"/>
      <c r="AA5" s="3206"/>
      <c r="AB5" s="3200"/>
      <c r="AC5" s="3206"/>
    </row>
    <row r="6" spans="1:29" ht="15.75" thickBot="1">
      <c r="A6" s="406"/>
      <c r="B6" s="407"/>
      <c r="C6" s="3244" t="s">
        <v>2545</v>
      </c>
      <c r="D6" s="3245"/>
      <c r="E6" s="3247" t="s">
        <v>2545</v>
      </c>
      <c r="F6" s="3248"/>
      <c r="G6" s="3244" t="s">
        <v>2545</v>
      </c>
      <c r="H6" s="3245"/>
      <c r="I6" s="3244" t="s">
        <v>2545</v>
      </c>
      <c r="J6" s="3245"/>
      <c r="K6" s="610" t="s">
        <v>2546</v>
      </c>
      <c r="L6" s="1133"/>
      <c r="M6" s="1134"/>
      <c r="N6" s="1134"/>
      <c r="O6" s="1134"/>
      <c r="P6" s="3216"/>
      <c r="Q6" s="3217"/>
      <c r="R6" s="3227"/>
      <c r="S6" s="3228"/>
      <c r="T6" s="3236"/>
      <c r="U6" s="3237"/>
      <c r="V6" s="3200"/>
      <c r="W6" s="3200"/>
      <c r="X6" s="1816"/>
      <c r="Y6" s="3236"/>
      <c r="Z6" s="3237"/>
      <c r="AA6" s="3207"/>
      <c r="AB6" s="3200"/>
      <c r="AC6" s="3207"/>
    </row>
    <row r="7" spans="1:29" s="117" customFormat="1" ht="15.75" thickBot="1">
      <c r="A7" s="408" t="s">
        <v>2547</v>
      </c>
      <c r="B7" s="409"/>
      <c r="C7" s="410">
        <f>'数据-取费表'!B2</f>
        <v>43307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0" t="s">
        <v>2548</v>
      </c>
      <c r="Q7" s="3233"/>
      <c r="R7" s="770" t="s">
        <v>17</v>
      </c>
      <c r="S7" s="771">
        <f t="shared" ref="S7:S15" si="0">F7</f>
        <v>0</v>
      </c>
      <c r="T7" s="770" t="s">
        <v>17</v>
      </c>
      <c r="U7" s="771">
        <f t="shared" ref="U7:U15" si="1">H7</f>
        <v>0</v>
      </c>
      <c r="V7" s="770" t="s">
        <v>17</v>
      </c>
      <c r="W7" s="771">
        <f t="shared" ref="W7:W15" si="2">J7</f>
        <v>0</v>
      </c>
      <c r="X7" s="772"/>
      <c r="Y7" s="3220" t="s">
        <v>2548</v>
      </c>
      <c r="Z7" s="3221"/>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0" t="s">
        <v>2551</v>
      </c>
      <c r="Q8" s="3221"/>
      <c r="R8" s="770" t="s">
        <v>17</v>
      </c>
      <c r="S8" s="771">
        <f t="shared" si="0"/>
        <v>0</v>
      </c>
      <c r="T8" s="770" t="s">
        <v>17</v>
      </c>
      <c r="U8" s="771">
        <f t="shared" si="1"/>
        <v>0</v>
      </c>
      <c r="V8" s="770" t="s">
        <v>17</v>
      </c>
      <c r="W8" s="771">
        <f t="shared" si="2"/>
        <v>0</v>
      </c>
      <c r="X8" s="772"/>
      <c r="Y8" s="3220" t="s">
        <v>2551</v>
      </c>
      <c r="Z8" s="3221"/>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3" t="s">
        <v>2554</v>
      </c>
      <c r="Q9" s="1798" t="str">
        <f t="shared" ref="Q9:Q15" si="6">B9</f>
        <v>用途</v>
      </c>
      <c r="R9" s="770" t="s">
        <v>17</v>
      </c>
      <c r="S9" s="771">
        <f t="shared" si="0"/>
        <v>100</v>
      </c>
      <c r="T9" s="770" t="s">
        <v>17</v>
      </c>
      <c r="U9" s="771">
        <f t="shared" si="1"/>
        <v>100</v>
      </c>
      <c r="V9" s="770" t="s">
        <v>17</v>
      </c>
      <c r="W9" s="771">
        <f t="shared" si="2"/>
        <v>100</v>
      </c>
      <c r="X9" s="772"/>
      <c r="Y9" s="307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3"/>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3"/>
      <c r="Q11" s="1798"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3"/>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3"/>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3"/>
      <c r="Q14" s="1798">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71.25">
      <c r="A15" s="440" t="s">
        <v>2558</v>
      </c>
      <c r="B15" s="69" t="s">
        <v>2652</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77" t="s">
        <v>2559</v>
      </c>
      <c r="Q15" s="1813" t="str">
        <f t="shared" si="6"/>
        <v>商业繁华度</v>
      </c>
      <c r="R15" s="774" t="s">
        <v>17</v>
      </c>
      <c r="S15" s="775">
        <f t="shared" si="0"/>
        <v>100</v>
      </c>
      <c r="T15" s="774" t="s">
        <v>17</v>
      </c>
      <c r="U15" s="775">
        <f t="shared" si="1"/>
        <v>100</v>
      </c>
      <c r="V15" s="774" t="s">
        <v>17</v>
      </c>
      <c r="W15" s="775">
        <f t="shared" si="2"/>
        <v>100</v>
      </c>
      <c r="X15" s="1816"/>
      <c r="Y15" s="3201" t="s">
        <v>2559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78"/>
      <c r="Q16" s="1813"/>
      <c r="R16" s="774"/>
      <c r="S16" s="775"/>
      <c r="T16" s="774"/>
      <c r="U16" s="775"/>
      <c r="V16" s="774"/>
      <c r="W16" s="775"/>
      <c r="X16" s="1816"/>
      <c r="Y16" s="3202"/>
      <c r="Z16" s="1817"/>
      <c r="AA16" s="1814">
        <v>1</v>
      </c>
      <c r="AB16" s="1814">
        <v>1</v>
      </c>
      <c r="AC16" s="1814">
        <v>1</v>
      </c>
    </row>
    <row r="17" spans="1:29" ht="85.5">
      <c r="A17" s="428"/>
      <c r="B17" s="451" t="s">
        <v>2100</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78"/>
      <c r="Q17" s="1813" t="str">
        <f>B17</f>
        <v>交通便捷度</v>
      </c>
      <c r="R17" s="774" t="s">
        <v>17</v>
      </c>
      <c r="S17" s="775">
        <f>F17</f>
        <v>100</v>
      </c>
      <c r="T17" s="774" t="s">
        <v>17</v>
      </c>
      <c r="U17" s="775">
        <f>H17</f>
        <v>100</v>
      </c>
      <c r="V17" s="774" t="s">
        <v>17</v>
      </c>
      <c r="W17" s="775">
        <f>J17</f>
        <v>100</v>
      </c>
      <c r="X17" s="1816"/>
      <c r="Y17" s="3202"/>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278"/>
      <c r="Q18" s="1813"/>
      <c r="R18" s="774"/>
      <c r="S18" s="775"/>
      <c r="T18" s="774"/>
      <c r="U18" s="775"/>
      <c r="V18" s="774"/>
      <c r="W18" s="775"/>
      <c r="X18" s="1816"/>
      <c r="Y18" s="3202"/>
      <c r="Z18" s="1817"/>
      <c r="AA18" s="1814">
        <v>1</v>
      </c>
      <c r="AB18" s="1814">
        <v>1</v>
      </c>
      <c r="AC18" s="1814">
        <v>1</v>
      </c>
    </row>
    <row r="19" spans="1:29" ht="42.75">
      <c r="A19" s="428"/>
      <c r="B19" s="451" t="s">
        <v>2653</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78"/>
      <c r="Q19" s="1813" t="str">
        <f>B19</f>
        <v>公共配套设施</v>
      </c>
      <c r="R19" s="774" t="s">
        <v>17</v>
      </c>
      <c r="S19" s="775">
        <f>F19</f>
        <v>100</v>
      </c>
      <c r="T19" s="774" t="s">
        <v>17</v>
      </c>
      <c r="U19" s="775">
        <f>H19</f>
        <v>100</v>
      </c>
      <c r="V19" s="774" t="s">
        <v>17</v>
      </c>
      <c r="W19" s="775">
        <f>J19</f>
        <v>100</v>
      </c>
      <c r="X19" s="1816"/>
      <c r="Y19" s="3202"/>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278"/>
      <c r="Q20" s="1813"/>
      <c r="R20" s="774"/>
      <c r="S20" s="775"/>
      <c r="T20" s="774"/>
      <c r="U20" s="775"/>
      <c r="V20" s="774"/>
      <c r="W20" s="775"/>
      <c r="X20" s="1816"/>
      <c r="Y20" s="3202"/>
      <c r="Z20" s="1817"/>
      <c r="AA20" s="1814">
        <v>1</v>
      </c>
      <c r="AB20" s="1814">
        <v>1</v>
      </c>
      <c r="AC20" s="1814">
        <v>1</v>
      </c>
    </row>
    <row r="21" spans="1:29" ht="28.5">
      <c r="A21" s="428"/>
      <c r="B21" s="1387" t="s">
        <v>2654</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78"/>
      <c r="Q21" s="1813" t="str">
        <f>B21</f>
        <v>基础设施水平</v>
      </c>
      <c r="R21" s="774" t="s">
        <v>17</v>
      </c>
      <c r="S21" s="775">
        <f>F21</f>
        <v>100</v>
      </c>
      <c r="T21" s="774" t="s">
        <v>17</v>
      </c>
      <c r="U21" s="775">
        <f>H21</f>
        <v>100</v>
      </c>
      <c r="V21" s="774" t="s">
        <v>17</v>
      </c>
      <c r="W21" s="775">
        <f>J21</f>
        <v>100</v>
      </c>
      <c r="X21" s="1816"/>
      <c r="Y21" s="3202"/>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278"/>
      <c r="Q22" s="1813"/>
      <c r="R22" s="774"/>
      <c r="S22" s="775"/>
      <c r="T22" s="774"/>
      <c r="U22" s="775"/>
      <c r="V22" s="774"/>
      <c r="W22" s="775"/>
      <c r="X22" s="1816"/>
      <c r="Y22" s="3202"/>
      <c r="Z22" s="1817"/>
      <c r="AA22" s="1814">
        <v>1</v>
      </c>
      <c r="AB22" s="1814">
        <v>1</v>
      </c>
      <c r="AC22" s="1814">
        <v>1</v>
      </c>
    </row>
    <row r="23" spans="1:29" ht="57">
      <c r="A23" s="428"/>
      <c r="B23" s="451" t="s">
        <v>2104</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78"/>
      <c r="Q23" s="1813" t="str">
        <f>B23</f>
        <v>自然及人文环境</v>
      </c>
      <c r="R23" s="774" t="s">
        <v>17</v>
      </c>
      <c r="S23" s="775">
        <f>F23</f>
        <v>100</v>
      </c>
      <c r="T23" s="774" t="s">
        <v>17</v>
      </c>
      <c r="U23" s="775">
        <f>H23</f>
        <v>100</v>
      </c>
      <c r="V23" s="774" t="s">
        <v>17</v>
      </c>
      <c r="W23" s="775">
        <f>J23</f>
        <v>100</v>
      </c>
      <c r="X23" s="1816"/>
      <c r="Y23" s="3202"/>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278"/>
      <c r="Q24" s="1813"/>
      <c r="R24" s="774"/>
      <c r="S24" s="775"/>
      <c r="T24" s="774"/>
      <c r="U24" s="775"/>
      <c r="V24" s="774"/>
      <c r="W24" s="775"/>
      <c r="X24" s="1816"/>
      <c r="Y24" s="3202"/>
      <c r="Z24" s="1817"/>
      <c r="AA24" s="1814">
        <v>1</v>
      </c>
      <c r="AB24" s="1814">
        <v>1</v>
      </c>
      <c r="AC24" s="1814">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78"/>
      <c r="Q25" s="1813" t="str">
        <f t="shared" ref="Q25:Q46" si="11">B25</f>
        <v>临街状况</v>
      </c>
      <c r="R25" s="774" t="s">
        <v>17</v>
      </c>
      <c r="S25" s="775">
        <f>F25</f>
        <v>100</v>
      </c>
      <c r="T25" s="774" t="s">
        <v>17</v>
      </c>
      <c r="U25" s="775">
        <f>H25</f>
        <v>100</v>
      </c>
      <c r="V25" s="774" t="s">
        <v>17</v>
      </c>
      <c r="W25" s="775">
        <f>J25</f>
        <v>100</v>
      </c>
      <c r="X25" s="1816"/>
      <c r="Y25" s="3202"/>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78"/>
      <c r="Q26" s="1813" t="str">
        <f t="shared" si="11"/>
        <v>平面位置/可视性</v>
      </c>
      <c r="R26" s="774" t="s">
        <v>17</v>
      </c>
      <c r="S26" s="775">
        <f>F26</f>
        <v>100</v>
      </c>
      <c r="T26" s="774" t="s">
        <v>17</v>
      </c>
      <c r="U26" s="775">
        <f>H26</f>
        <v>100</v>
      </c>
      <c r="V26" s="774" t="s">
        <v>17</v>
      </c>
      <c r="W26" s="775">
        <f>J26</f>
        <v>100</v>
      </c>
      <c r="X26" s="1816"/>
      <c r="Y26" s="3202"/>
      <c r="Z26" s="1817" t="str">
        <f>Q26</f>
        <v>平面位置/可视性</v>
      </c>
      <c r="AA26" s="1814">
        <f t="shared" si="3"/>
        <v>1</v>
      </c>
      <c r="AB26" s="1814">
        <f t="shared" si="4"/>
        <v>1</v>
      </c>
      <c r="AC26" s="1814">
        <f t="shared" si="5"/>
        <v>1</v>
      </c>
    </row>
    <row r="27" spans="1:29" s="117" customFormat="1" ht="15">
      <c r="A27" s="431"/>
      <c r="B27" s="451" t="s">
        <v>2657</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278"/>
      <c r="Q27" s="1798" t="str">
        <f t="shared" si="11"/>
        <v>人流量</v>
      </c>
      <c r="R27" s="770" t="s">
        <v>17</v>
      </c>
      <c r="S27" s="771">
        <f>F27</f>
        <v>100</v>
      </c>
      <c r="T27" s="770" t="s">
        <v>17</v>
      </c>
      <c r="U27" s="771">
        <f>H27</f>
        <v>100</v>
      </c>
      <c r="V27" s="770" t="s">
        <v>17</v>
      </c>
      <c r="W27" s="771">
        <f>J27</f>
        <v>100</v>
      </c>
      <c r="X27" s="772"/>
      <c r="Y27" s="3202"/>
      <c r="Z27" s="55" t="str">
        <f>Q27</f>
        <v>人流量</v>
      </c>
      <c r="AA27" s="1814">
        <f>D27/F27</f>
        <v>1</v>
      </c>
      <c r="AB27" s="1814">
        <f>D27/H27</f>
        <v>1</v>
      </c>
      <c r="AC27" s="1814">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78"/>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78"/>
      <c r="Q29" s="1813">
        <f t="shared" si="11"/>
        <v>111</v>
      </c>
      <c r="R29" s="774" t="s">
        <v>17</v>
      </c>
      <c r="S29" s="775">
        <f t="shared" si="12"/>
        <v>100</v>
      </c>
      <c r="T29" s="774" t="s">
        <v>17</v>
      </c>
      <c r="U29" s="775">
        <f t="shared" si="13"/>
        <v>100</v>
      </c>
      <c r="V29" s="774" t="s">
        <v>17</v>
      </c>
      <c r="W29" s="775">
        <f t="shared" si="14"/>
        <v>100</v>
      </c>
      <c r="X29" s="1816"/>
      <c r="Y29" s="320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78"/>
      <c r="Q30" s="1813">
        <f t="shared" si="11"/>
        <v>111</v>
      </c>
      <c r="R30" s="774" t="s">
        <v>17</v>
      </c>
      <c r="S30" s="775">
        <f t="shared" si="12"/>
        <v>100</v>
      </c>
      <c r="T30" s="774" t="s">
        <v>17</v>
      </c>
      <c r="U30" s="775">
        <f t="shared" si="13"/>
        <v>100</v>
      </c>
      <c r="V30" s="774" t="s">
        <v>17</v>
      </c>
      <c r="W30" s="775">
        <f t="shared" si="14"/>
        <v>100</v>
      </c>
      <c r="X30" s="1816"/>
      <c r="Y30" s="320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78"/>
      <c r="Q31" s="1813">
        <f t="shared" si="11"/>
        <v>111</v>
      </c>
      <c r="R31" s="774" t="s">
        <v>17</v>
      </c>
      <c r="S31" s="775">
        <f t="shared" si="12"/>
        <v>100</v>
      </c>
      <c r="T31" s="774" t="s">
        <v>17</v>
      </c>
      <c r="U31" s="775">
        <f t="shared" si="13"/>
        <v>100</v>
      </c>
      <c r="V31" s="774" t="s">
        <v>17</v>
      </c>
      <c r="W31" s="775">
        <f t="shared" si="14"/>
        <v>100</v>
      </c>
      <c r="X31" s="1816"/>
      <c r="Y31" s="3202"/>
      <c r="Z31" s="1817">
        <f t="shared" si="15"/>
        <v>111</v>
      </c>
      <c r="AA31" s="1814">
        <f t="shared" si="3"/>
        <v>1</v>
      </c>
      <c r="AB31" s="1814">
        <f t="shared" si="4"/>
        <v>1</v>
      </c>
      <c r="AC31" s="1814">
        <f t="shared" si="5"/>
        <v>1</v>
      </c>
    </row>
    <row r="32" spans="1:29" ht="15">
      <c r="A32" s="440" t="s">
        <v>2562</v>
      </c>
      <c r="B32" s="71" t="s">
        <v>2659</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274" t="s">
        <v>2564</v>
      </c>
      <c r="Q32" s="1813" t="str">
        <f t="shared" si="11"/>
        <v>商业类型</v>
      </c>
      <c r="R32" s="774" t="s">
        <v>17</v>
      </c>
      <c r="S32" s="775">
        <f t="shared" si="12"/>
        <v>100</v>
      </c>
      <c r="T32" s="774" t="s">
        <v>17</v>
      </c>
      <c r="U32" s="775">
        <f t="shared" si="13"/>
        <v>100</v>
      </c>
      <c r="V32" s="774" t="s">
        <v>17</v>
      </c>
      <c r="W32" s="775">
        <f t="shared" si="14"/>
        <v>100</v>
      </c>
      <c r="X32" s="1816"/>
      <c r="Y32" s="3204" t="s">
        <v>2564</v>
      </c>
      <c r="Z32" s="1817" t="str">
        <f t="shared" si="15"/>
        <v>商业类型</v>
      </c>
      <c r="AA32" s="1814">
        <f t="shared" si="3"/>
        <v>1</v>
      </c>
      <c r="AB32" s="1814">
        <f t="shared" si="4"/>
        <v>1</v>
      </c>
      <c r="AC32" s="1814">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75"/>
      <c r="Q33" s="776" t="str">
        <f t="shared" si="11"/>
        <v>项目建筑规模</v>
      </c>
      <c r="R33" s="777" t="s">
        <v>17</v>
      </c>
      <c r="S33" s="778" t="e">
        <f t="shared" si="12"/>
        <v>#N/A</v>
      </c>
      <c r="T33" s="777" t="s">
        <v>17</v>
      </c>
      <c r="U33" s="778" t="e">
        <f t="shared" si="13"/>
        <v>#N/A</v>
      </c>
      <c r="V33" s="777" t="s">
        <v>17</v>
      </c>
      <c r="W33" s="778" t="e">
        <f t="shared" si="14"/>
        <v>#N/A</v>
      </c>
      <c r="X33" s="779"/>
      <c r="Y33" s="3204"/>
      <c r="Z33" s="780" t="str">
        <f t="shared" si="15"/>
        <v>项目建筑规模</v>
      </c>
      <c r="AA33" s="1814" t="e">
        <f t="shared" si="3"/>
        <v>#N/A</v>
      </c>
      <c r="AB33" s="1814" t="e">
        <f t="shared" si="4"/>
        <v>#N/A</v>
      </c>
      <c r="AC33" s="1814" t="e">
        <f t="shared" si="5"/>
        <v>#N/A</v>
      </c>
    </row>
    <row r="34" spans="1:29" ht="15">
      <c r="A34" s="472"/>
      <c r="B34" s="422" t="s">
        <v>2566</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275"/>
      <c r="Q34" s="1813" t="str">
        <f t="shared" si="11"/>
        <v>建筑结构</v>
      </c>
      <c r="R34" s="774" t="s">
        <v>17</v>
      </c>
      <c r="S34" s="775">
        <f t="shared" si="12"/>
        <v>100</v>
      </c>
      <c r="T34" s="774" t="s">
        <v>17</v>
      </c>
      <c r="U34" s="775">
        <f t="shared" si="13"/>
        <v>100</v>
      </c>
      <c r="V34" s="774" t="s">
        <v>17</v>
      </c>
      <c r="W34" s="775">
        <f t="shared" si="14"/>
        <v>100</v>
      </c>
      <c r="X34" s="1816"/>
      <c r="Y34" s="3204"/>
      <c r="Z34" s="1817" t="str">
        <f t="shared" si="15"/>
        <v>建筑结构</v>
      </c>
      <c r="AA34" s="1814">
        <f t="shared" si="3"/>
        <v>1</v>
      </c>
      <c r="AB34" s="1814">
        <f t="shared" si="4"/>
        <v>1</v>
      </c>
      <c r="AC34" s="1814">
        <f t="shared" si="5"/>
        <v>1</v>
      </c>
    </row>
    <row r="35" spans="1:29" ht="15">
      <c r="A35" s="472"/>
      <c r="B35" s="422" t="s">
        <v>2660</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275"/>
      <c r="Q35" s="1813" t="str">
        <f t="shared" si="11"/>
        <v>公共部分装修</v>
      </c>
      <c r="R35" s="774" t="s">
        <v>17</v>
      </c>
      <c r="S35" s="775">
        <f t="shared" si="12"/>
        <v>100</v>
      </c>
      <c r="T35" s="774" t="s">
        <v>17</v>
      </c>
      <c r="U35" s="775">
        <f t="shared" si="13"/>
        <v>100</v>
      </c>
      <c r="V35" s="774" t="s">
        <v>17</v>
      </c>
      <c r="W35" s="775">
        <f t="shared" si="14"/>
        <v>100</v>
      </c>
      <c r="X35" s="1816"/>
      <c r="Y35" s="3204"/>
      <c r="Z35" s="1817" t="str">
        <f t="shared" si="15"/>
        <v>公共部分装修</v>
      </c>
      <c r="AA35" s="1814">
        <f t="shared" si="3"/>
        <v>1</v>
      </c>
      <c r="AB35" s="1814">
        <f t="shared" si="4"/>
        <v>1</v>
      </c>
      <c r="AC35" s="1814">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75"/>
      <c r="Q36" s="1813" t="str">
        <f t="shared" si="11"/>
        <v>成新度</v>
      </c>
      <c r="R36" s="774" t="s">
        <v>17</v>
      </c>
      <c r="S36" s="775" t="e">
        <f t="shared" si="12"/>
        <v>#N/A</v>
      </c>
      <c r="T36" s="774" t="s">
        <v>17</v>
      </c>
      <c r="U36" s="775" t="e">
        <f t="shared" si="13"/>
        <v>#N/A</v>
      </c>
      <c r="V36" s="774" t="s">
        <v>17</v>
      </c>
      <c r="W36" s="775" t="e">
        <f t="shared" si="14"/>
        <v>#N/A</v>
      </c>
      <c r="X36" s="1816"/>
      <c r="Y36" s="3204"/>
      <c r="Z36" s="1817" t="str">
        <f t="shared" si="15"/>
        <v>成新度</v>
      </c>
      <c r="AA36" s="1814" t="e">
        <f t="shared" si="3"/>
        <v>#N/A</v>
      </c>
      <c r="AB36" s="1814" t="e">
        <f t="shared" si="4"/>
        <v>#N/A</v>
      </c>
      <c r="AC36" s="1814" t="e">
        <f t="shared" si="5"/>
        <v>#N/A</v>
      </c>
    </row>
    <row r="37" spans="1:29" s="117" customFormat="1" ht="15">
      <c r="A37" s="473"/>
      <c r="B37" s="422" t="s">
        <v>2662</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275"/>
      <c r="Q37" s="1798" t="str">
        <f t="shared" si="11"/>
        <v>市政基础设施</v>
      </c>
      <c r="R37" s="770" t="s">
        <v>17</v>
      </c>
      <c r="S37" s="771">
        <f t="shared" si="12"/>
        <v>100</v>
      </c>
      <c r="T37" s="770" t="s">
        <v>17</v>
      </c>
      <c r="U37" s="771">
        <f t="shared" si="13"/>
        <v>100</v>
      </c>
      <c r="V37" s="770" t="s">
        <v>17</v>
      </c>
      <c r="W37" s="771">
        <f t="shared" si="14"/>
        <v>100</v>
      </c>
      <c r="X37" s="772"/>
      <c r="Y37" s="3204"/>
      <c r="Z37" s="55" t="str">
        <f t="shared" si="15"/>
        <v>市政基础设施</v>
      </c>
      <c r="AA37" s="773">
        <f t="shared" si="3"/>
        <v>1</v>
      </c>
      <c r="AB37" s="773">
        <f t="shared" si="4"/>
        <v>1</v>
      </c>
      <c r="AC37" s="773">
        <f t="shared" si="5"/>
        <v>1</v>
      </c>
    </row>
    <row r="38" spans="1:29" ht="15">
      <c r="A38" s="472"/>
      <c r="B38" s="422" t="s">
        <v>2663</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275" t="s">
        <v>2564</v>
      </c>
      <c r="Q38" s="1813" t="str">
        <f t="shared" si="11"/>
        <v>业态</v>
      </c>
      <c r="R38" s="774" t="s">
        <v>17</v>
      </c>
      <c r="S38" s="775">
        <f t="shared" si="12"/>
        <v>100</v>
      </c>
      <c r="T38" s="774" t="s">
        <v>17</v>
      </c>
      <c r="U38" s="775">
        <f t="shared" si="13"/>
        <v>100</v>
      </c>
      <c r="V38" s="774" t="s">
        <v>17</v>
      </c>
      <c r="W38" s="775">
        <f t="shared" si="14"/>
        <v>100</v>
      </c>
      <c r="X38" s="1816"/>
      <c r="Y38" s="3204" t="s">
        <v>2564</v>
      </c>
      <c r="Z38" s="1817" t="str">
        <f t="shared" si="15"/>
        <v>业态</v>
      </c>
      <c r="AA38" s="1814">
        <f t="shared" si="3"/>
        <v>1</v>
      </c>
      <c r="AB38" s="1814">
        <f t="shared" si="4"/>
        <v>1</v>
      </c>
      <c r="AC38" s="1814">
        <f t="shared" si="5"/>
        <v>1</v>
      </c>
    </row>
    <row r="39" spans="1:29" ht="15">
      <c r="A39" s="472"/>
      <c r="B39" s="422" t="s">
        <v>2664</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275"/>
      <c r="Q39" s="1813" t="str">
        <f t="shared" si="11"/>
        <v>层高</v>
      </c>
      <c r="R39" s="774" t="s">
        <v>17</v>
      </c>
      <c r="S39" s="775">
        <f t="shared" si="12"/>
        <v>100</v>
      </c>
      <c r="T39" s="774" t="s">
        <v>17</v>
      </c>
      <c r="U39" s="775">
        <f t="shared" si="13"/>
        <v>100</v>
      </c>
      <c r="V39" s="774" t="s">
        <v>17</v>
      </c>
      <c r="W39" s="775">
        <f t="shared" si="14"/>
        <v>100</v>
      </c>
      <c r="X39" s="1816"/>
      <c r="Y39" s="3204"/>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75"/>
      <c r="Q40" s="1813" t="str">
        <f t="shared" si="11"/>
        <v>单套建筑面积</v>
      </c>
      <c r="R40" s="774" t="s">
        <v>17</v>
      </c>
      <c r="S40" s="775">
        <f t="shared" si="12"/>
        <v>100</v>
      </c>
      <c r="T40" s="774" t="s">
        <v>17</v>
      </c>
      <c r="U40" s="775">
        <f t="shared" si="13"/>
        <v>100</v>
      </c>
      <c r="V40" s="774" t="s">
        <v>17</v>
      </c>
      <c r="W40" s="775">
        <f t="shared" si="14"/>
        <v>100</v>
      </c>
      <c r="X40" s="1816"/>
      <c r="Y40" s="3204"/>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75"/>
      <c r="Q41" s="776" t="str">
        <f t="shared" si="11"/>
        <v>进深比</v>
      </c>
      <c r="R41" s="777" t="s">
        <v>17</v>
      </c>
      <c r="S41" s="778">
        <f t="shared" si="12"/>
        <v>100</v>
      </c>
      <c r="T41" s="777" t="s">
        <v>17</v>
      </c>
      <c r="U41" s="778">
        <f t="shared" si="13"/>
        <v>100</v>
      </c>
      <c r="V41" s="777" t="s">
        <v>17</v>
      </c>
      <c r="W41" s="778">
        <f t="shared" si="14"/>
        <v>100</v>
      </c>
      <c r="X41" s="779"/>
      <c r="Y41" s="3204"/>
      <c r="Z41" s="780" t="str">
        <f t="shared" si="15"/>
        <v>进深比</v>
      </c>
      <c r="AA41" s="1814">
        <f t="shared" si="3"/>
        <v>1</v>
      </c>
      <c r="AB41" s="1814">
        <f t="shared" si="4"/>
        <v>1</v>
      </c>
      <c r="AC41" s="1814">
        <f t="shared" si="5"/>
        <v>1</v>
      </c>
    </row>
    <row r="42" spans="1:29" ht="15">
      <c r="A42" s="472"/>
      <c r="B42" s="422" t="s">
        <v>2667</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275"/>
      <c r="Q42" s="1813" t="str">
        <f t="shared" si="11"/>
        <v>内部装修</v>
      </c>
      <c r="R42" s="774" t="s">
        <v>17</v>
      </c>
      <c r="S42" s="775">
        <f t="shared" si="12"/>
        <v>100</v>
      </c>
      <c r="T42" s="774" t="s">
        <v>17</v>
      </c>
      <c r="U42" s="775">
        <f t="shared" si="13"/>
        <v>100</v>
      </c>
      <c r="V42" s="774" t="s">
        <v>17</v>
      </c>
      <c r="W42" s="775">
        <f t="shared" si="14"/>
        <v>100</v>
      </c>
      <c r="X42" s="1816"/>
      <c r="Y42" s="3204"/>
      <c r="Z42" s="1817" t="str">
        <f t="shared" si="15"/>
        <v>内部装修</v>
      </c>
      <c r="AA42" s="1814">
        <f t="shared" si="3"/>
        <v>1</v>
      </c>
      <c r="AB42" s="1814">
        <f t="shared" si="4"/>
        <v>1</v>
      </c>
      <c r="AC42" s="1814">
        <f t="shared" si="5"/>
        <v>1</v>
      </c>
    </row>
    <row r="43" spans="1:29" ht="15">
      <c r="A43" s="472"/>
      <c r="B43" s="422" t="s">
        <v>2575</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275"/>
      <c r="Q43" s="1813" t="str">
        <f t="shared" si="11"/>
        <v>内部装修维护情况</v>
      </c>
      <c r="R43" s="774" t="s">
        <v>17</v>
      </c>
      <c r="S43" s="775">
        <f t="shared" si="12"/>
        <v>100</v>
      </c>
      <c r="T43" s="774" t="s">
        <v>17</v>
      </c>
      <c r="U43" s="775">
        <f t="shared" si="13"/>
        <v>100</v>
      </c>
      <c r="V43" s="774" t="s">
        <v>17</v>
      </c>
      <c r="W43" s="775">
        <f t="shared" si="14"/>
        <v>100</v>
      </c>
      <c r="X43" s="1816"/>
      <c r="Y43" s="320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75"/>
      <c r="Q44" s="1798">
        <f t="shared" si="11"/>
        <v>111</v>
      </c>
      <c r="R44" s="770" t="s">
        <v>17</v>
      </c>
      <c r="S44" s="771">
        <f t="shared" si="12"/>
        <v>100</v>
      </c>
      <c r="T44" s="770" t="s">
        <v>17</v>
      </c>
      <c r="U44" s="771">
        <f t="shared" si="13"/>
        <v>100</v>
      </c>
      <c r="V44" s="770" t="s">
        <v>17</v>
      </c>
      <c r="W44" s="771">
        <f t="shared" si="14"/>
        <v>100</v>
      </c>
      <c r="X44" s="772"/>
      <c r="Y44" s="320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75"/>
      <c r="Q45" s="1813">
        <f t="shared" si="11"/>
        <v>111</v>
      </c>
      <c r="R45" s="774" t="s">
        <v>17</v>
      </c>
      <c r="S45" s="775">
        <f t="shared" si="12"/>
        <v>100</v>
      </c>
      <c r="T45" s="774" t="s">
        <v>17</v>
      </c>
      <c r="U45" s="775">
        <f t="shared" si="13"/>
        <v>100</v>
      </c>
      <c r="V45" s="774" t="s">
        <v>17</v>
      </c>
      <c r="W45" s="775">
        <f t="shared" si="14"/>
        <v>100</v>
      </c>
      <c r="X45" s="1816"/>
      <c r="Y45" s="3204"/>
      <c r="Z45" s="1817">
        <f t="shared" si="15"/>
        <v>111</v>
      </c>
      <c r="AA45" s="1814">
        <f t="shared" si="3"/>
        <v>1</v>
      </c>
      <c r="AB45" s="1814">
        <f t="shared" si="4"/>
        <v>1</v>
      </c>
      <c r="AC45" s="1814">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76"/>
      <c r="Q46" s="1813">
        <f t="shared" si="11"/>
        <v>111</v>
      </c>
      <c r="R46" s="774" t="s">
        <v>17</v>
      </c>
      <c r="S46" s="775">
        <f t="shared" si="12"/>
        <v>100</v>
      </c>
      <c r="T46" s="774" t="s">
        <v>17</v>
      </c>
      <c r="U46" s="775">
        <f t="shared" si="13"/>
        <v>100</v>
      </c>
      <c r="V46" s="774" t="s">
        <v>17</v>
      </c>
      <c r="W46" s="775">
        <f t="shared" si="14"/>
        <v>100</v>
      </c>
      <c r="X46" s="1816"/>
      <c r="Y46" s="3249"/>
      <c r="Z46" s="1817">
        <f t="shared" si="15"/>
        <v>111</v>
      </c>
      <c r="AA46" s="1814">
        <f t="shared" si="3"/>
        <v>1</v>
      </c>
      <c r="AB46" s="1814">
        <f t="shared" si="4"/>
        <v>1</v>
      </c>
      <c r="AC46" s="1814">
        <f t="shared" si="5"/>
        <v>1</v>
      </c>
    </row>
    <row r="47" spans="1:29" ht="15">
      <c r="A47" s="479" t="s">
        <v>2576</v>
      </c>
      <c r="B47" s="480"/>
      <c r="C47" s="1410" t="s">
        <v>1</v>
      </c>
      <c r="D47" s="1411"/>
      <c r="E47" s="1412"/>
      <c r="F47" s="1413"/>
      <c r="G47" s="1414"/>
      <c r="H47" s="1415"/>
      <c r="I47" s="1412"/>
      <c r="J47" s="1415"/>
      <c r="K47" s="783"/>
      <c r="L47" s="1146"/>
      <c r="M47" s="1147"/>
      <c r="N47" s="1134"/>
      <c r="O47" s="1147"/>
      <c r="P47" s="3198" t="str">
        <f>A47</f>
        <v>成交单价（元/平方米）</v>
      </c>
      <c r="Q47" s="3198"/>
      <c r="R47" s="3200">
        <f>E47</f>
        <v>0</v>
      </c>
      <c r="S47" s="3200"/>
      <c r="T47" s="3200">
        <f>G47</f>
        <v>0</v>
      </c>
      <c r="U47" s="3200"/>
      <c r="V47" s="3200">
        <f>I47</f>
        <v>0</v>
      </c>
      <c r="W47" s="3200"/>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198" t="str">
        <f>A48</f>
        <v>比较价值（元/平方米）</v>
      </c>
      <c r="Q48" s="3198"/>
      <c r="R48" s="3250" t="e">
        <f>IF(F1="售价",ROUND(PRODUCT(R47,AA7:AA46),0),ROUND(PRODUCT(R47,AA7:AA46),1))</f>
        <v>#DIV/0!</v>
      </c>
      <c r="S48" s="3250"/>
      <c r="T48" s="3250" t="e">
        <f>IF(F1="售价",ROUND(PRODUCT(T47,AB7:AB46),0),ROUND(PRODUCT(T47,AB7:AB46),1))</f>
        <v>#DIV/0!</v>
      </c>
      <c r="U48" s="3250"/>
      <c r="V48" s="3250" t="e">
        <f>IF(F1="售价",ROUND(PRODUCT(V47,AC7:AC46),0),ROUND(PRODUCT(V47,AC7:AC46),1))</f>
        <v>#DIV/0!</v>
      </c>
      <c r="W48" s="3250"/>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195" t="str">
        <f>A49</f>
        <v>估价对象XX用房的比较价值（楼面单价，元/平方米）</v>
      </c>
      <c r="Q49" s="3196"/>
      <c r="R49" s="3251" t="e">
        <f>IF(F1="售价",ROUND(AVERAGE(R48:V48),0),ROUND(AVERAGE(R48:V48),1))</f>
        <v>#DIV/0!</v>
      </c>
      <c r="S49" s="3251"/>
      <c r="T49" s="3251"/>
      <c r="U49" s="3251"/>
      <c r="V49" s="3251"/>
      <c r="W49" s="325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2547</v>
      </c>
      <c r="B58" s="506"/>
      <c r="C58" s="1577" t="str">
        <f>YEAR(C7)&amp;"-"&amp;MONTH(C7)</f>
        <v>2018-7</v>
      </c>
      <c r="D58" s="1578">
        <f>EDATE(C58,-1)</f>
        <v>43252</v>
      </c>
      <c r="E58" s="1578">
        <f t="shared" ref="E58:N58" si="16">EDATE(D58,-1)</f>
        <v>43221</v>
      </c>
      <c r="F58" s="1578">
        <f t="shared" si="16"/>
        <v>43191</v>
      </c>
      <c r="G58" s="1578">
        <f t="shared" si="16"/>
        <v>43160</v>
      </c>
      <c r="H58" s="1578">
        <f t="shared" si="16"/>
        <v>43132</v>
      </c>
      <c r="I58" s="1578">
        <f t="shared" si="16"/>
        <v>43101</v>
      </c>
      <c r="J58" s="1578">
        <f t="shared" si="16"/>
        <v>43070</v>
      </c>
      <c r="K58" s="1578">
        <f t="shared" si="16"/>
        <v>43040</v>
      </c>
      <c r="L58" s="1578">
        <f t="shared" si="16"/>
        <v>43009</v>
      </c>
      <c r="M58" s="1578">
        <f t="shared" si="16"/>
        <v>42979</v>
      </c>
      <c r="N58" s="1578">
        <f t="shared" si="16"/>
        <v>42948</v>
      </c>
      <c r="O58" s="1578">
        <f>EDATE(N58,-1)</f>
        <v>42917</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2584</v>
      </c>
      <c r="B60" s="516"/>
      <c r="C60" s="517"/>
      <c r="D60" s="518"/>
      <c r="E60" s="518"/>
      <c r="F60" s="518"/>
      <c r="G60" s="518"/>
      <c r="H60" s="518"/>
      <c r="I60" s="518"/>
      <c r="J60" s="518"/>
      <c r="K60" s="518"/>
      <c r="L60" s="518"/>
      <c r="M60" s="519"/>
      <c r="N60" s="518"/>
      <c r="O60" s="519"/>
      <c r="P60" s="2632"/>
      <c r="Q60" s="504"/>
    </row>
    <row r="61" spans="1:29" s="117" customFormat="1" ht="15">
      <c r="A61" s="521" t="s">
        <v>2549</v>
      </c>
      <c r="B61" s="510"/>
      <c r="C61" s="522" t="s">
        <v>2651</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2587</v>
      </c>
      <c r="B63" s="528" t="s">
        <v>2553</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2679</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2562</v>
      </c>
      <c r="B100" s="528" t="s">
        <v>2680</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2613</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2615</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2681</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2682</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2683</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2619</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8" priority="17" stopIfTrue="1" operator="containsText" text="超过">
      <formula>NOT(ISERROR(SEARCH("超过",F52)))</formula>
    </cfRule>
  </conditionalFormatting>
  <conditionalFormatting sqref="H54">
    <cfRule type="containsText" dxfId="87" priority="15" stopIfTrue="1" operator="containsText" text="超过">
      <formula>NOT(ISERROR(SEARCH("超过",H54)))</formula>
    </cfRule>
  </conditionalFormatting>
  <conditionalFormatting sqref="F54">
    <cfRule type="containsText" dxfId="86" priority="14" stopIfTrue="1" operator="containsText" text="超过">
      <formula>NOT(ISERROR(SEARCH("超过",F54)))</formula>
    </cfRule>
  </conditionalFormatting>
  <conditionalFormatting sqref="F53 H53">
    <cfRule type="containsText" dxfId="85" priority="13" stopIfTrue="1" operator="containsText" text="超过">
      <formula>NOT(ISERROR(SEARCH("超过",F53)))</formula>
    </cfRule>
  </conditionalFormatting>
  <conditionalFormatting sqref="E52">
    <cfRule type="expression" dxfId="84" priority="12" stopIfTrue="1">
      <formula>$F$52="超过30%"</formula>
    </cfRule>
  </conditionalFormatting>
  <conditionalFormatting sqref="E53">
    <cfRule type="expression" dxfId="83" priority="11" stopIfTrue="1">
      <formula>$F$53="超过20%"</formula>
    </cfRule>
  </conditionalFormatting>
  <conditionalFormatting sqref="E54">
    <cfRule type="expression" dxfId="82" priority="10" stopIfTrue="1">
      <formula>$F$54="超过30%"</formula>
    </cfRule>
  </conditionalFormatting>
  <conditionalFormatting sqref="G54">
    <cfRule type="expression" dxfId="81" priority="9" stopIfTrue="1">
      <formula>$H$54="超过30%"</formula>
    </cfRule>
  </conditionalFormatting>
  <conditionalFormatting sqref="G52">
    <cfRule type="expression" dxfId="80" priority="8" stopIfTrue="1">
      <formula>$H$52="超过30%"</formula>
    </cfRule>
  </conditionalFormatting>
  <conditionalFormatting sqref="G53">
    <cfRule type="expression" dxfId="79" priority="7" stopIfTrue="1">
      <formula>$H$53="超过20%"</formula>
    </cfRule>
  </conditionalFormatting>
  <conditionalFormatting sqref="J52">
    <cfRule type="containsText" dxfId="78" priority="6" stopIfTrue="1" operator="containsText" text="超过">
      <formula>NOT(ISERROR(SEARCH("超过",J52)))</formula>
    </cfRule>
  </conditionalFormatting>
  <conditionalFormatting sqref="J54">
    <cfRule type="containsText" dxfId="77" priority="5" stopIfTrue="1" operator="containsText" text="超过">
      <formula>NOT(ISERROR(SEARCH("超过",J54)))</formula>
    </cfRule>
  </conditionalFormatting>
  <conditionalFormatting sqref="J53">
    <cfRule type="containsText" dxfId="76" priority="4" stopIfTrue="1" operator="containsText" text="超过">
      <formula>NOT(ISERROR(SEARCH("超过",J53)))</formula>
    </cfRule>
  </conditionalFormatting>
  <conditionalFormatting sqref="I52">
    <cfRule type="expression" dxfId="75" priority="3" stopIfTrue="1">
      <formula>$J$52="超过30%"</formula>
    </cfRule>
  </conditionalFormatting>
  <conditionalFormatting sqref="I53">
    <cfRule type="expression" dxfId="74" priority="2" stopIfTrue="1">
      <formula>$J$53="超过20%"</formula>
    </cfRule>
  </conditionalFormatting>
  <conditionalFormatting sqref="I54">
    <cfRule type="expression" dxfId="7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受贵公司委托，我公司对出让国有建设用地使用权及在建建筑物房地产抵押价值进行了预评估。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估价对象为出让国有建设用地使用权及在建建筑物房地产，为所有。根据《国有土地使用证》[]，估价对象（分摊）出让国有建设用地使用权面积为1626.74平方米，建筑面积为1611平方米。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工业项目，该项目尚在开发建设中。根据《国有土地使用证》[]，估价对象（分摊）出让国有建设用地使用权面积为1626.74平方米，规划建筑面积为1611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为估价委托人在向平安银行办理贷款手续过程中，确定房地产抵押贷款额度提供参考依据而评估房地产抵押价值。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2018年7月26日（评估专业人员实地查勘之日）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26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3" t="s">
        <v>2685</v>
      </c>
      <c r="C1" s="1623" t="s">
        <v>2529</v>
      </c>
      <c r="D1" s="1624"/>
      <c r="E1" s="1633"/>
      <c r="F1" s="2588"/>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IF(C2="——",ROUND(C50*D3/10000,0),ROUND(C50*D3/10000,0)-D2)</f>
        <v>#DIV/0!</v>
      </c>
      <c r="C2" s="2590"/>
      <c r="D2" s="1368" t="e">
        <f ca="1">SUMIF(INDIRECT("'"&amp;F2&amp;"'"&amp;"!A:A"),"承租人权益价值",INDIRECT("'"&amp;F2&amp;"'"&amp;"!c:c"))</f>
        <v>#REF!</v>
      </c>
      <c r="E2" s="2591" t="s">
        <v>2330</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2643</v>
      </c>
      <c r="D3" s="399">
        <f>IF(D1="",'数据-汇总表'!E3,SUMIF('数据-汇总表'!$C19:$C33,D1,'数据-汇总表'!$E19:$E33))</f>
        <v>1611</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208" t="s">
        <v>2645</v>
      </c>
      <c r="D4" s="3209"/>
      <c r="E4" s="3210" t="s">
        <v>2646</v>
      </c>
      <c r="F4" s="3211"/>
      <c r="G4" s="3208" t="s">
        <v>2647</v>
      </c>
      <c r="H4" s="3209"/>
      <c r="I4" s="3208" t="s">
        <v>2648</v>
      </c>
      <c r="J4" s="3209"/>
      <c r="K4" s="610" t="s">
        <v>2649</v>
      </c>
      <c r="L4" s="1133"/>
      <c r="M4" s="1134"/>
      <c r="N4" s="1134"/>
      <c r="O4" s="1134"/>
      <c r="P4" s="3285" t="s">
        <v>2650</v>
      </c>
      <c r="Q4" s="3286"/>
      <c r="R4" s="3280" t="s">
        <v>2646</v>
      </c>
      <c r="S4" s="3281"/>
      <c r="T4" s="3280" t="s">
        <v>2647</v>
      </c>
      <c r="U4" s="3281"/>
      <c r="V4" s="3289" t="s">
        <v>2648</v>
      </c>
      <c r="W4" s="3289"/>
      <c r="X4" s="2674"/>
      <c r="Y4" s="3280" t="s">
        <v>2650</v>
      </c>
      <c r="Z4" s="3281"/>
      <c r="AA4" s="3279" t="s">
        <v>2646</v>
      </c>
      <c r="AB4" s="3279" t="s">
        <v>2647</v>
      </c>
      <c r="AC4" s="3282" t="s">
        <v>2648</v>
      </c>
    </row>
    <row r="5" spans="1:29" ht="15">
      <c r="A5" s="404"/>
      <c r="B5" s="405"/>
      <c r="C5" s="3229" t="s">
        <v>2541</v>
      </c>
      <c r="D5" s="3230"/>
      <c r="E5" s="3218" t="s">
        <v>2542</v>
      </c>
      <c r="F5" s="3219"/>
      <c r="G5" s="3229" t="s">
        <v>2543</v>
      </c>
      <c r="H5" s="3230"/>
      <c r="I5" s="3229" t="s">
        <v>2544</v>
      </c>
      <c r="J5" s="3230"/>
      <c r="K5" s="610"/>
      <c r="L5" s="1133"/>
      <c r="M5" s="1134"/>
      <c r="N5" s="1134"/>
      <c r="O5" s="1134"/>
      <c r="P5" s="3287"/>
      <c r="Q5" s="3215"/>
      <c r="R5" s="3227"/>
      <c r="S5" s="3228"/>
      <c r="T5" s="3227"/>
      <c r="U5" s="3228"/>
      <c r="V5" s="3200"/>
      <c r="W5" s="3200"/>
      <c r="X5" s="1816"/>
      <c r="Y5" s="3227"/>
      <c r="Z5" s="3228"/>
      <c r="AA5" s="3206"/>
      <c r="AB5" s="3206"/>
      <c r="AC5" s="3283"/>
    </row>
    <row r="6" spans="1:29" ht="15.75" thickBot="1">
      <c r="A6" s="406"/>
      <c r="B6" s="407"/>
      <c r="C6" s="3244" t="s">
        <v>2545</v>
      </c>
      <c r="D6" s="3245"/>
      <c r="E6" s="3247" t="s">
        <v>2545</v>
      </c>
      <c r="F6" s="3248"/>
      <c r="G6" s="3244" t="s">
        <v>2545</v>
      </c>
      <c r="H6" s="3245"/>
      <c r="I6" s="3244" t="s">
        <v>2545</v>
      </c>
      <c r="J6" s="3245"/>
      <c r="K6" s="610" t="s">
        <v>2546</v>
      </c>
      <c r="L6" s="1133"/>
      <c r="M6" s="1134"/>
      <c r="N6" s="1134"/>
      <c r="O6" s="1134"/>
      <c r="P6" s="3288"/>
      <c r="Q6" s="3217"/>
      <c r="R6" s="3227"/>
      <c r="S6" s="3228"/>
      <c r="T6" s="3236"/>
      <c r="U6" s="3237"/>
      <c r="V6" s="3200"/>
      <c r="W6" s="3200"/>
      <c r="X6" s="1816"/>
      <c r="Y6" s="3236"/>
      <c r="Z6" s="3237"/>
      <c r="AA6" s="3207"/>
      <c r="AB6" s="3207"/>
      <c r="AC6" s="3284"/>
    </row>
    <row r="7" spans="1:29" s="117" customFormat="1" ht="15.75" thickBot="1">
      <c r="A7" s="408" t="s">
        <v>2547</v>
      </c>
      <c r="B7" s="409"/>
      <c r="C7" s="410">
        <f>'数据-取费表'!B2</f>
        <v>43307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90" t="s">
        <v>2548</v>
      </c>
      <c r="Q7" s="3233"/>
      <c r="R7" s="770" t="s">
        <v>17</v>
      </c>
      <c r="S7" s="771">
        <f t="shared" ref="S7:S15" si="0">F7</f>
        <v>0</v>
      </c>
      <c r="T7" s="770" t="s">
        <v>17</v>
      </c>
      <c r="U7" s="771">
        <f t="shared" ref="U7:U15" si="1">H7</f>
        <v>0</v>
      </c>
      <c r="V7" s="770" t="s">
        <v>17</v>
      </c>
      <c r="W7" s="771">
        <f t="shared" ref="W7:W15" si="2">J7</f>
        <v>0</v>
      </c>
      <c r="X7" s="772"/>
      <c r="Y7" s="3220" t="s">
        <v>2548</v>
      </c>
      <c r="Z7" s="3221"/>
      <c r="AA7" s="773" t="e">
        <f>D7/F7</f>
        <v>#DIV/0!</v>
      </c>
      <c r="AB7" s="773" t="e">
        <f>D7/H7</f>
        <v>#DIV/0!</v>
      </c>
      <c r="AC7" s="2675"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90" t="s">
        <v>2551</v>
      </c>
      <c r="Q8" s="3221"/>
      <c r="R8" s="770" t="s">
        <v>17</v>
      </c>
      <c r="S8" s="771">
        <f t="shared" si="0"/>
        <v>0</v>
      </c>
      <c r="T8" s="770" t="s">
        <v>17</v>
      </c>
      <c r="U8" s="771">
        <f t="shared" si="1"/>
        <v>0</v>
      </c>
      <c r="V8" s="770" t="s">
        <v>17</v>
      </c>
      <c r="W8" s="771">
        <f t="shared" si="2"/>
        <v>0</v>
      </c>
      <c r="X8" s="772"/>
      <c r="Y8" s="3220" t="s">
        <v>2551</v>
      </c>
      <c r="Z8" s="3221"/>
      <c r="AA8" s="773" t="e">
        <f t="shared" ref="AA8:AA47" si="3">D8/F8</f>
        <v>#DIV/0!</v>
      </c>
      <c r="AB8" s="773" t="e">
        <f t="shared" ref="AB8:AB47" si="4">D8/H8</f>
        <v>#DIV/0!</v>
      </c>
      <c r="AC8" s="2675"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23" t="s">
        <v>2554</v>
      </c>
      <c r="Q9" s="1798" t="str">
        <f t="shared" ref="Q9:Q15" si="6">B9</f>
        <v>用途</v>
      </c>
      <c r="R9" s="770" t="s">
        <v>17</v>
      </c>
      <c r="S9" s="771">
        <f t="shared" si="0"/>
        <v>100</v>
      </c>
      <c r="T9" s="770" t="s">
        <v>17</v>
      </c>
      <c r="U9" s="771">
        <f t="shared" si="1"/>
        <v>100</v>
      </c>
      <c r="V9" s="770" t="s">
        <v>17</v>
      </c>
      <c r="W9" s="771">
        <f t="shared" si="2"/>
        <v>100</v>
      </c>
      <c r="X9" s="772"/>
      <c r="Y9" s="3072" t="s">
        <v>2555</v>
      </c>
      <c r="Z9" s="55" t="str">
        <f t="shared" ref="Z9:Z15" si="7">Q9</f>
        <v>用途</v>
      </c>
      <c r="AA9" s="773">
        <f t="shared" si="3"/>
        <v>1</v>
      </c>
      <c r="AB9" s="773">
        <f t="shared" si="4"/>
        <v>1</v>
      </c>
      <c r="AC9" s="2675">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23"/>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2675">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23"/>
      <c r="Q11" s="1798"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223"/>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223"/>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223"/>
      <c r="Q14" s="1798">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2675">
        <f t="shared" si="5"/>
        <v>1</v>
      </c>
    </row>
    <row r="15" spans="1:29" ht="71.25">
      <c r="A15" s="440" t="s">
        <v>2558</v>
      </c>
      <c r="B15" s="629" t="s">
        <v>2686</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77" t="s">
        <v>2559</v>
      </c>
      <c r="Q15" s="1813" t="str">
        <f t="shared" si="6"/>
        <v>办公集聚程度</v>
      </c>
      <c r="R15" s="774" t="s">
        <v>17</v>
      </c>
      <c r="S15" s="775">
        <f t="shared" si="0"/>
        <v>100</v>
      </c>
      <c r="T15" s="774" t="s">
        <v>17</v>
      </c>
      <c r="U15" s="775">
        <f t="shared" si="1"/>
        <v>100</v>
      </c>
      <c r="V15" s="774" t="s">
        <v>17</v>
      </c>
      <c r="W15" s="775">
        <f t="shared" si="2"/>
        <v>100</v>
      </c>
      <c r="X15" s="1816"/>
      <c r="Y15" s="3201" t="s">
        <v>2559</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3"/>
      <c r="M16" s="1134"/>
      <c r="N16" s="1134"/>
      <c r="O16" s="1134"/>
      <c r="P16" s="3278"/>
      <c r="Q16" s="1813"/>
      <c r="R16" s="774"/>
      <c r="S16" s="775"/>
      <c r="T16" s="774"/>
      <c r="U16" s="775"/>
      <c r="V16" s="774"/>
      <c r="W16" s="775"/>
      <c r="X16" s="1816"/>
      <c r="Y16" s="3202"/>
      <c r="Z16" s="1817"/>
      <c r="AA16" s="1814">
        <v>1</v>
      </c>
      <c r="AB16" s="1814">
        <v>1</v>
      </c>
      <c r="AC16" s="2678">
        <v>1</v>
      </c>
    </row>
    <row r="17" spans="1:29" ht="71.25">
      <c r="A17" s="428"/>
      <c r="B17" s="631" t="s">
        <v>2100</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78"/>
      <c r="Q17" s="1813" t="str">
        <f>B17</f>
        <v>交通便捷度</v>
      </c>
      <c r="R17" s="774" t="s">
        <v>17</v>
      </c>
      <c r="S17" s="775">
        <f>F17</f>
        <v>100</v>
      </c>
      <c r="T17" s="774" t="s">
        <v>17</v>
      </c>
      <c r="U17" s="775">
        <f>H17</f>
        <v>100</v>
      </c>
      <c r="V17" s="774" t="s">
        <v>17</v>
      </c>
      <c r="W17" s="775">
        <f>J17</f>
        <v>100</v>
      </c>
      <c r="X17" s="1816"/>
      <c r="Y17" s="3202"/>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3"/>
      <c r="M18" s="1134"/>
      <c r="N18" s="1134"/>
      <c r="O18" s="1134"/>
      <c r="P18" s="3278"/>
      <c r="Q18" s="1813"/>
      <c r="R18" s="774"/>
      <c r="S18" s="775"/>
      <c r="T18" s="774"/>
      <c r="U18" s="775"/>
      <c r="V18" s="774"/>
      <c r="W18" s="775"/>
      <c r="X18" s="1816"/>
      <c r="Y18" s="3202"/>
      <c r="Z18" s="1817"/>
      <c r="AA18" s="1814">
        <v>1</v>
      </c>
      <c r="AB18" s="1814">
        <v>1</v>
      </c>
      <c r="AC18" s="2678">
        <v>1</v>
      </c>
    </row>
    <row r="19" spans="1:29" ht="42.75">
      <c r="A19" s="428"/>
      <c r="B19" s="631" t="s">
        <v>2687</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78"/>
      <c r="Q19" s="1813" t="str">
        <f>B19</f>
        <v>公共配套设施</v>
      </c>
      <c r="R19" s="774" t="s">
        <v>17</v>
      </c>
      <c r="S19" s="775">
        <f>F19</f>
        <v>100</v>
      </c>
      <c r="T19" s="774" t="s">
        <v>17</v>
      </c>
      <c r="U19" s="775">
        <f>H19</f>
        <v>100</v>
      </c>
      <c r="V19" s="774" t="s">
        <v>17</v>
      </c>
      <c r="W19" s="775">
        <f>J19</f>
        <v>100</v>
      </c>
      <c r="X19" s="1816"/>
      <c r="Y19" s="3202"/>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3"/>
      <c r="M20" s="1134"/>
      <c r="N20" s="1134"/>
      <c r="O20" s="1134"/>
      <c r="P20" s="3278"/>
      <c r="Q20" s="1813"/>
      <c r="R20" s="774"/>
      <c r="S20" s="775"/>
      <c r="T20" s="774"/>
      <c r="U20" s="775"/>
      <c r="V20" s="774"/>
      <c r="W20" s="775"/>
      <c r="X20" s="1816"/>
      <c r="Y20" s="3202"/>
      <c r="Z20" s="1817"/>
      <c r="AA20" s="1814">
        <v>1</v>
      </c>
      <c r="AB20" s="1814">
        <v>1</v>
      </c>
      <c r="AC20" s="2678">
        <v>1</v>
      </c>
    </row>
    <row r="21" spans="1:29" ht="28.5">
      <c r="A21" s="428"/>
      <c r="B21" s="633" t="s">
        <v>2688</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78"/>
      <c r="Q21" s="1813" t="str">
        <f>B21</f>
        <v>基础设施水平</v>
      </c>
      <c r="R21" s="774" t="s">
        <v>17</v>
      </c>
      <c r="S21" s="775">
        <f>F21</f>
        <v>100</v>
      </c>
      <c r="T21" s="774" t="s">
        <v>17</v>
      </c>
      <c r="U21" s="775">
        <f>H21</f>
        <v>100</v>
      </c>
      <c r="V21" s="774" t="s">
        <v>17</v>
      </c>
      <c r="W21" s="775">
        <f>J21</f>
        <v>100</v>
      </c>
      <c r="X21" s="1816"/>
      <c r="Y21" s="3202"/>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278"/>
      <c r="Q22" s="1813"/>
      <c r="R22" s="774"/>
      <c r="S22" s="775"/>
      <c r="T22" s="774"/>
      <c r="U22" s="775"/>
      <c r="V22" s="774"/>
      <c r="W22" s="775"/>
      <c r="X22" s="1816"/>
      <c r="Y22" s="3202"/>
      <c r="Z22" s="1817"/>
      <c r="AA22" s="1814">
        <v>1</v>
      </c>
      <c r="AB22" s="1814">
        <v>1</v>
      </c>
      <c r="AC22" s="2678">
        <v>1</v>
      </c>
    </row>
    <row r="23" spans="1:29" ht="42.75">
      <c r="A23" s="428"/>
      <c r="B23" s="631" t="s">
        <v>2689</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78"/>
      <c r="Q23" s="1813" t="str">
        <f>B23</f>
        <v>环境质量</v>
      </c>
      <c r="R23" s="774" t="s">
        <v>17</v>
      </c>
      <c r="S23" s="775">
        <f>F23</f>
        <v>100</v>
      </c>
      <c r="T23" s="774" t="s">
        <v>17</v>
      </c>
      <c r="U23" s="775">
        <f>H23</f>
        <v>100</v>
      </c>
      <c r="V23" s="774" t="s">
        <v>17</v>
      </c>
      <c r="W23" s="775">
        <f>J23</f>
        <v>100</v>
      </c>
      <c r="X23" s="1816"/>
      <c r="Y23" s="3202"/>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3"/>
      <c r="M24" s="1134"/>
      <c r="N24" s="1134"/>
      <c r="O24" s="1134"/>
      <c r="P24" s="3278"/>
      <c r="Q24" s="1813"/>
      <c r="R24" s="774"/>
      <c r="S24" s="775"/>
      <c r="T24" s="774"/>
      <c r="U24" s="775"/>
      <c r="V24" s="774"/>
      <c r="W24" s="775"/>
      <c r="X24" s="1816"/>
      <c r="Y24" s="3202"/>
      <c r="Z24" s="1817"/>
      <c r="AA24" s="1814">
        <v>1</v>
      </c>
      <c r="AB24" s="1814">
        <v>1</v>
      </c>
      <c r="AC24" s="2678">
        <v>1</v>
      </c>
    </row>
    <row r="25" spans="1:29" ht="27">
      <c r="A25" s="404"/>
      <c r="B25" s="631" t="s">
        <v>2690</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278"/>
      <c r="Q25" s="1813" t="str">
        <f>B25</f>
        <v>毗邻道路的类型与等级</v>
      </c>
      <c r="R25" s="774" t="s">
        <v>17</v>
      </c>
      <c r="S25" s="775">
        <f>F25</f>
        <v>100</v>
      </c>
      <c r="T25" s="774" t="s">
        <v>17</v>
      </c>
      <c r="U25" s="775">
        <f>H25</f>
        <v>100</v>
      </c>
      <c r="V25" s="774" t="s">
        <v>17</v>
      </c>
      <c r="W25" s="775">
        <f>J25</f>
        <v>100</v>
      </c>
      <c r="X25" s="1816"/>
      <c r="Y25" s="3202"/>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3"/>
      <c r="M26" s="1134"/>
      <c r="N26" s="1134"/>
      <c r="O26" s="1134"/>
      <c r="P26" s="3278"/>
      <c r="Q26" s="1813"/>
      <c r="R26" s="774"/>
      <c r="S26" s="775"/>
      <c r="T26" s="774"/>
      <c r="U26" s="775"/>
      <c r="V26" s="774"/>
      <c r="W26" s="775"/>
      <c r="X26" s="1816"/>
      <c r="Y26" s="3202"/>
      <c r="Z26" s="1817"/>
      <c r="AA26" s="1814">
        <v>1</v>
      </c>
      <c r="AB26" s="1814">
        <v>1</v>
      </c>
      <c r="AC26" s="2678">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78"/>
      <c r="Q27" s="1813" t="str">
        <f t="shared" ref="Q27:Q47" si="11">B27</f>
        <v>楼层</v>
      </c>
      <c r="R27" s="774" t="s">
        <v>17</v>
      </c>
      <c r="S27" s="775">
        <f>F27</f>
        <v>100</v>
      </c>
      <c r="T27" s="774" t="s">
        <v>17</v>
      </c>
      <c r="U27" s="775">
        <f>H27</f>
        <v>100</v>
      </c>
      <c r="V27" s="774" t="s">
        <v>17</v>
      </c>
      <c r="W27" s="775">
        <f>J27</f>
        <v>100</v>
      </c>
      <c r="X27" s="1816"/>
      <c r="Y27" s="3202"/>
      <c r="Z27" s="1817" t="str">
        <f>Q27</f>
        <v>楼层</v>
      </c>
      <c r="AA27" s="1814">
        <f t="shared" si="3"/>
        <v>1</v>
      </c>
      <c r="AB27" s="1814">
        <f t="shared" si="4"/>
        <v>1</v>
      </c>
      <c r="AC27" s="2678">
        <f t="shared" si="5"/>
        <v>1</v>
      </c>
    </row>
    <row r="28" spans="1:29" s="117" customFormat="1" ht="15">
      <c r="A28" s="431"/>
      <c r="B28" s="631" t="s">
        <v>2691</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278"/>
      <c r="Q28" s="1798" t="str">
        <f t="shared" si="11"/>
        <v>朝向</v>
      </c>
      <c r="R28" s="770" t="s">
        <v>17</v>
      </c>
      <c r="S28" s="771">
        <f>F28</f>
        <v>100</v>
      </c>
      <c r="T28" s="770" t="s">
        <v>17</v>
      </c>
      <c r="U28" s="771">
        <f>H28</f>
        <v>100</v>
      </c>
      <c r="V28" s="770" t="s">
        <v>17</v>
      </c>
      <c r="W28" s="771">
        <f>J28</f>
        <v>100</v>
      </c>
      <c r="X28" s="772"/>
      <c r="Y28" s="3202"/>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78"/>
      <c r="Q29" s="1813">
        <f t="shared" si="11"/>
        <v>111</v>
      </c>
      <c r="R29" s="774" t="s">
        <v>17</v>
      </c>
      <c r="S29" s="775">
        <f t="shared" ref="S29:S47" si="12">F29</f>
        <v>100</v>
      </c>
      <c r="T29" s="774" t="s">
        <v>17</v>
      </c>
      <c r="U29" s="775">
        <f t="shared" ref="U29:U47" si="13">H29</f>
        <v>100</v>
      </c>
      <c r="V29" s="774" t="s">
        <v>17</v>
      </c>
      <c r="W29" s="775">
        <f t="shared" ref="W29:W47" si="14">J29</f>
        <v>100</v>
      </c>
      <c r="X29" s="1816"/>
      <c r="Y29" s="3202"/>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78"/>
      <c r="Q30" s="1813">
        <f t="shared" si="11"/>
        <v>111</v>
      </c>
      <c r="R30" s="774" t="s">
        <v>17</v>
      </c>
      <c r="S30" s="775">
        <f t="shared" si="12"/>
        <v>100</v>
      </c>
      <c r="T30" s="774" t="s">
        <v>17</v>
      </c>
      <c r="U30" s="775">
        <f t="shared" si="13"/>
        <v>100</v>
      </c>
      <c r="V30" s="774" t="s">
        <v>17</v>
      </c>
      <c r="W30" s="775">
        <f t="shared" si="14"/>
        <v>100</v>
      </c>
      <c r="X30" s="1816"/>
      <c r="Y30" s="3202"/>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78"/>
      <c r="Q31" s="1813">
        <f t="shared" si="11"/>
        <v>111</v>
      </c>
      <c r="R31" s="774" t="s">
        <v>17</v>
      </c>
      <c r="S31" s="775">
        <f t="shared" si="12"/>
        <v>100</v>
      </c>
      <c r="T31" s="774" t="s">
        <v>17</v>
      </c>
      <c r="U31" s="775">
        <f t="shared" si="13"/>
        <v>100</v>
      </c>
      <c r="V31" s="774" t="s">
        <v>17</v>
      </c>
      <c r="W31" s="775">
        <f t="shared" si="14"/>
        <v>100</v>
      </c>
      <c r="X31" s="1816"/>
      <c r="Y31" s="3202"/>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78"/>
      <c r="Q32" s="1813">
        <f t="shared" si="11"/>
        <v>111</v>
      </c>
      <c r="R32" s="774" t="s">
        <v>17</v>
      </c>
      <c r="S32" s="775">
        <f t="shared" si="12"/>
        <v>100</v>
      </c>
      <c r="T32" s="774" t="s">
        <v>17</v>
      </c>
      <c r="U32" s="775">
        <f t="shared" si="13"/>
        <v>100</v>
      </c>
      <c r="V32" s="774" t="s">
        <v>17</v>
      </c>
      <c r="W32" s="775">
        <f t="shared" si="14"/>
        <v>100</v>
      </c>
      <c r="X32" s="1816"/>
      <c r="Y32" s="3202"/>
      <c r="Z32" s="1817">
        <f t="shared" si="15"/>
        <v>111</v>
      </c>
      <c r="AA32" s="1814">
        <f t="shared" si="3"/>
        <v>1</v>
      </c>
      <c r="AB32" s="1814">
        <f t="shared" si="4"/>
        <v>1</v>
      </c>
      <c r="AC32" s="2678">
        <f t="shared" si="5"/>
        <v>1</v>
      </c>
    </row>
    <row r="33" spans="1:29" ht="15">
      <c r="A33" s="440" t="s">
        <v>2562</v>
      </c>
      <c r="B33" s="71" t="s">
        <v>2692</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274" t="s">
        <v>2564</v>
      </c>
      <c r="Q33" s="1813" t="str">
        <f t="shared" si="11"/>
        <v>建筑类型</v>
      </c>
      <c r="R33" s="774" t="s">
        <v>17</v>
      </c>
      <c r="S33" s="775">
        <f t="shared" si="12"/>
        <v>100</v>
      </c>
      <c r="T33" s="774" t="s">
        <v>17</v>
      </c>
      <c r="U33" s="775">
        <f t="shared" si="13"/>
        <v>100</v>
      </c>
      <c r="V33" s="774" t="s">
        <v>17</v>
      </c>
      <c r="W33" s="775">
        <f t="shared" si="14"/>
        <v>100</v>
      </c>
      <c r="X33" s="1816"/>
      <c r="Y33" s="3204" t="s">
        <v>2564</v>
      </c>
      <c r="Z33" s="1817" t="str">
        <f t="shared" si="15"/>
        <v>建筑类型</v>
      </c>
      <c r="AA33" s="1814">
        <f t="shared" si="3"/>
        <v>1</v>
      </c>
      <c r="AB33" s="1814">
        <f t="shared" si="4"/>
        <v>1</v>
      </c>
      <c r="AC33" s="2678">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75"/>
      <c r="Q34" s="776" t="str">
        <f t="shared" si="11"/>
        <v>项目建筑规模</v>
      </c>
      <c r="R34" s="777" t="s">
        <v>17</v>
      </c>
      <c r="S34" s="778" t="e">
        <f t="shared" si="12"/>
        <v>#N/A</v>
      </c>
      <c r="T34" s="777" t="s">
        <v>17</v>
      </c>
      <c r="U34" s="778" t="e">
        <f t="shared" si="13"/>
        <v>#N/A</v>
      </c>
      <c r="V34" s="777" t="s">
        <v>17</v>
      </c>
      <c r="W34" s="778" t="e">
        <f t="shared" si="14"/>
        <v>#N/A</v>
      </c>
      <c r="X34" s="779"/>
      <c r="Y34" s="3204"/>
      <c r="Z34" s="780" t="str">
        <f t="shared" si="15"/>
        <v>项目建筑规模</v>
      </c>
      <c r="AA34" s="1814" t="e">
        <f t="shared" si="3"/>
        <v>#N/A</v>
      </c>
      <c r="AB34" s="1814" t="e">
        <f t="shared" si="4"/>
        <v>#N/A</v>
      </c>
      <c r="AC34" s="2678"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75"/>
      <c r="Q35" s="1813" t="str">
        <f t="shared" si="11"/>
        <v>建筑结构</v>
      </c>
      <c r="R35" s="774" t="s">
        <v>17</v>
      </c>
      <c r="S35" s="775">
        <f t="shared" si="12"/>
        <v>100</v>
      </c>
      <c r="T35" s="774" t="s">
        <v>17</v>
      </c>
      <c r="U35" s="775">
        <f t="shared" si="13"/>
        <v>100</v>
      </c>
      <c r="V35" s="774" t="s">
        <v>17</v>
      </c>
      <c r="W35" s="775">
        <f t="shared" si="14"/>
        <v>100</v>
      </c>
      <c r="X35" s="1816"/>
      <c r="Y35" s="3204"/>
      <c r="Z35" s="1817" t="str">
        <f t="shared" si="15"/>
        <v>建筑结构</v>
      </c>
      <c r="AA35" s="1814">
        <f t="shared" si="3"/>
        <v>1</v>
      </c>
      <c r="AB35" s="1814">
        <f t="shared" si="4"/>
        <v>1</v>
      </c>
      <c r="AC35" s="2678">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75"/>
      <c r="Q36" s="1813" t="str">
        <f t="shared" si="11"/>
        <v>公共部分装修</v>
      </c>
      <c r="R36" s="774" t="s">
        <v>17</v>
      </c>
      <c r="S36" s="775">
        <f t="shared" si="12"/>
        <v>100</v>
      </c>
      <c r="T36" s="774" t="s">
        <v>17</v>
      </c>
      <c r="U36" s="775">
        <f t="shared" si="13"/>
        <v>100</v>
      </c>
      <c r="V36" s="774" t="s">
        <v>17</v>
      </c>
      <c r="W36" s="775">
        <f t="shared" si="14"/>
        <v>100</v>
      </c>
      <c r="X36" s="1816"/>
      <c r="Y36" s="3204"/>
      <c r="Z36" s="1817" t="str">
        <f t="shared" si="15"/>
        <v>公共部分装修</v>
      </c>
      <c r="AA36" s="1814">
        <f t="shared" si="3"/>
        <v>1</v>
      </c>
      <c r="AB36" s="1814">
        <f t="shared" si="4"/>
        <v>1</v>
      </c>
      <c r="AC36" s="2678">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75"/>
      <c r="Q37" s="1813" t="str">
        <f t="shared" si="11"/>
        <v>成新度</v>
      </c>
      <c r="R37" s="774" t="s">
        <v>17</v>
      </c>
      <c r="S37" s="775" t="e">
        <f t="shared" si="12"/>
        <v>#N/A</v>
      </c>
      <c r="T37" s="774" t="s">
        <v>17</v>
      </c>
      <c r="U37" s="775" t="e">
        <f t="shared" si="13"/>
        <v>#N/A</v>
      </c>
      <c r="V37" s="774" t="s">
        <v>17</v>
      </c>
      <c r="W37" s="775" t="e">
        <f t="shared" si="14"/>
        <v>#N/A</v>
      </c>
      <c r="X37" s="1816"/>
      <c r="Y37" s="3204"/>
      <c r="Z37" s="1817" t="str">
        <f t="shared" si="15"/>
        <v>成新度</v>
      </c>
      <c r="AA37" s="1814" t="e">
        <f t="shared" si="3"/>
        <v>#N/A</v>
      </c>
      <c r="AB37" s="1814" t="e">
        <f t="shared" si="4"/>
        <v>#N/A</v>
      </c>
      <c r="AC37" s="2678"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75"/>
      <c r="Q38" s="1798" t="str">
        <f t="shared" si="11"/>
        <v>写字楼等级</v>
      </c>
      <c r="R38" s="770" t="s">
        <v>17</v>
      </c>
      <c r="S38" s="771">
        <f t="shared" si="12"/>
        <v>100</v>
      </c>
      <c r="T38" s="770" t="s">
        <v>17</v>
      </c>
      <c r="U38" s="771">
        <f t="shared" si="13"/>
        <v>100</v>
      </c>
      <c r="V38" s="770" t="s">
        <v>17</v>
      </c>
      <c r="W38" s="771">
        <f t="shared" si="14"/>
        <v>100</v>
      </c>
      <c r="X38" s="772"/>
      <c r="Y38" s="3204"/>
      <c r="Z38" s="55" t="str">
        <f t="shared" si="15"/>
        <v>写字楼等级</v>
      </c>
      <c r="AA38" s="773">
        <f t="shared" si="3"/>
        <v>1</v>
      </c>
      <c r="AB38" s="773">
        <f t="shared" si="4"/>
        <v>1</v>
      </c>
      <c r="AC38" s="2675">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75" t="s">
        <v>2564</v>
      </c>
      <c r="Q39" s="1813" t="str">
        <f t="shared" si="11"/>
        <v>物业管理</v>
      </c>
      <c r="R39" s="774" t="s">
        <v>17</v>
      </c>
      <c r="S39" s="775">
        <f t="shared" si="12"/>
        <v>100</v>
      </c>
      <c r="T39" s="774" t="s">
        <v>17</v>
      </c>
      <c r="U39" s="775">
        <f t="shared" si="13"/>
        <v>100</v>
      </c>
      <c r="V39" s="774" t="s">
        <v>17</v>
      </c>
      <c r="W39" s="775">
        <f t="shared" si="14"/>
        <v>100</v>
      </c>
      <c r="X39" s="1816"/>
      <c r="Y39" s="3204" t="s">
        <v>2564</v>
      </c>
      <c r="Z39" s="1817" t="str">
        <f t="shared" si="15"/>
        <v>物业管理</v>
      </c>
      <c r="AA39" s="1814">
        <f t="shared" si="3"/>
        <v>1</v>
      </c>
      <c r="AB39" s="1814">
        <f t="shared" si="4"/>
        <v>1</v>
      </c>
      <c r="AC39" s="2678">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75"/>
      <c r="Q40" s="1813" t="str">
        <f t="shared" si="11"/>
        <v>市政基础设施</v>
      </c>
      <c r="R40" s="774" t="s">
        <v>17</v>
      </c>
      <c r="S40" s="775">
        <f t="shared" si="12"/>
        <v>100</v>
      </c>
      <c r="T40" s="774" t="s">
        <v>17</v>
      </c>
      <c r="U40" s="775">
        <f t="shared" si="13"/>
        <v>100</v>
      </c>
      <c r="V40" s="774" t="s">
        <v>17</v>
      </c>
      <c r="W40" s="775">
        <f t="shared" si="14"/>
        <v>100</v>
      </c>
      <c r="X40" s="1816"/>
      <c r="Y40" s="3204"/>
      <c r="Z40" s="1817" t="str">
        <f t="shared" si="15"/>
        <v>市政基础设施</v>
      </c>
      <c r="AA40" s="1814">
        <f t="shared" si="3"/>
        <v>1</v>
      </c>
      <c r="AB40" s="1814">
        <f t="shared" si="4"/>
        <v>1</v>
      </c>
      <c r="AC40" s="2678">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75"/>
      <c r="Q41" s="1813" t="str">
        <f t="shared" si="11"/>
        <v>层高</v>
      </c>
      <c r="R41" s="774" t="s">
        <v>17</v>
      </c>
      <c r="S41" s="775">
        <f t="shared" si="12"/>
        <v>100</v>
      </c>
      <c r="T41" s="774" t="s">
        <v>17</v>
      </c>
      <c r="U41" s="775">
        <f t="shared" si="13"/>
        <v>100</v>
      </c>
      <c r="V41" s="774" t="s">
        <v>17</v>
      </c>
      <c r="W41" s="775">
        <f t="shared" si="14"/>
        <v>100</v>
      </c>
      <c r="X41" s="1816"/>
      <c r="Y41" s="3204"/>
      <c r="Z41" s="1817" t="str">
        <f t="shared" si="15"/>
        <v>层高</v>
      </c>
      <c r="AA41" s="1814">
        <f t="shared" si="3"/>
        <v>1</v>
      </c>
      <c r="AB41" s="1814">
        <f t="shared" si="4"/>
        <v>1</v>
      </c>
      <c r="AC41" s="2678">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75"/>
      <c r="Q42" s="776" t="str">
        <f t="shared" si="11"/>
        <v>单套建筑面积</v>
      </c>
      <c r="R42" s="777" t="s">
        <v>17</v>
      </c>
      <c r="S42" s="778">
        <f t="shared" si="12"/>
        <v>100</v>
      </c>
      <c r="T42" s="777" t="s">
        <v>17</v>
      </c>
      <c r="U42" s="778">
        <f t="shared" si="13"/>
        <v>100</v>
      </c>
      <c r="V42" s="777" t="s">
        <v>17</v>
      </c>
      <c r="W42" s="778">
        <f t="shared" si="14"/>
        <v>100</v>
      </c>
      <c r="X42" s="779"/>
      <c r="Y42" s="3204"/>
      <c r="Z42" s="780" t="str">
        <f t="shared" si="15"/>
        <v>单套建筑面积</v>
      </c>
      <c r="AA42" s="1814">
        <f t="shared" si="3"/>
        <v>1</v>
      </c>
      <c r="AB42" s="1814">
        <f t="shared" si="4"/>
        <v>1</v>
      </c>
      <c r="AC42" s="2678">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75"/>
      <c r="Q43" s="1813" t="str">
        <f t="shared" si="11"/>
        <v>内部装修</v>
      </c>
      <c r="R43" s="774" t="s">
        <v>17</v>
      </c>
      <c r="S43" s="775">
        <f t="shared" si="12"/>
        <v>100</v>
      </c>
      <c r="T43" s="774" t="s">
        <v>17</v>
      </c>
      <c r="U43" s="775">
        <f t="shared" si="13"/>
        <v>100</v>
      </c>
      <c r="V43" s="774" t="s">
        <v>17</v>
      </c>
      <c r="W43" s="775">
        <f t="shared" si="14"/>
        <v>100</v>
      </c>
      <c r="X43" s="1816"/>
      <c r="Y43" s="3204"/>
      <c r="Z43" s="1817" t="str">
        <f t="shared" si="15"/>
        <v>内部装修</v>
      </c>
      <c r="AA43" s="1814">
        <f t="shared" si="3"/>
        <v>1</v>
      </c>
      <c r="AB43" s="1814">
        <f t="shared" si="4"/>
        <v>1</v>
      </c>
      <c r="AC43" s="2678">
        <f t="shared" si="5"/>
        <v>1</v>
      </c>
    </row>
    <row r="44" spans="1:29" ht="15">
      <c r="A44" s="472"/>
      <c r="B44" s="422" t="s">
        <v>2575</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275"/>
      <c r="Q44" s="1813" t="str">
        <f t="shared" si="11"/>
        <v>内部装修维护情况</v>
      </c>
      <c r="R44" s="774" t="s">
        <v>17</v>
      </c>
      <c r="S44" s="775">
        <f t="shared" si="12"/>
        <v>100</v>
      </c>
      <c r="T44" s="774" t="s">
        <v>17</v>
      </c>
      <c r="U44" s="775">
        <f t="shared" si="13"/>
        <v>100</v>
      </c>
      <c r="V44" s="774" t="s">
        <v>17</v>
      </c>
      <c r="W44" s="775">
        <f t="shared" si="14"/>
        <v>100</v>
      </c>
      <c r="X44" s="1816"/>
      <c r="Y44" s="3204"/>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75"/>
      <c r="Q45" s="1798">
        <f t="shared" si="11"/>
        <v>111</v>
      </c>
      <c r="R45" s="770" t="s">
        <v>17</v>
      </c>
      <c r="S45" s="771">
        <f t="shared" si="12"/>
        <v>100</v>
      </c>
      <c r="T45" s="770" t="s">
        <v>17</v>
      </c>
      <c r="U45" s="771">
        <f t="shared" si="13"/>
        <v>100</v>
      </c>
      <c r="V45" s="770" t="s">
        <v>17</v>
      </c>
      <c r="W45" s="771">
        <f t="shared" si="14"/>
        <v>100</v>
      </c>
      <c r="X45" s="772"/>
      <c r="Y45" s="3204"/>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75"/>
      <c r="Q46" s="1813">
        <f t="shared" si="11"/>
        <v>111</v>
      </c>
      <c r="R46" s="774" t="s">
        <v>17</v>
      </c>
      <c r="S46" s="775">
        <f t="shared" si="12"/>
        <v>100</v>
      </c>
      <c r="T46" s="774" t="s">
        <v>17</v>
      </c>
      <c r="U46" s="775">
        <f t="shared" si="13"/>
        <v>100</v>
      </c>
      <c r="V46" s="774" t="s">
        <v>17</v>
      </c>
      <c r="W46" s="775">
        <f t="shared" si="14"/>
        <v>100</v>
      </c>
      <c r="X46" s="1816"/>
      <c r="Y46" s="3204"/>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76"/>
      <c r="Q47" s="1813">
        <f t="shared" si="11"/>
        <v>111</v>
      </c>
      <c r="R47" s="774" t="s">
        <v>17</v>
      </c>
      <c r="S47" s="775">
        <f t="shared" si="12"/>
        <v>100</v>
      </c>
      <c r="T47" s="774" t="s">
        <v>17</v>
      </c>
      <c r="U47" s="775">
        <f t="shared" si="13"/>
        <v>100</v>
      </c>
      <c r="V47" s="774" t="s">
        <v>17</v>
      </c>
      <c r="W47" s="775">
        <f t="shared" si="14"/>
        <v>100</v>
      </c>
      <c r="X47" s="1816"/>
      <c r="Y47" s="3249"/>
      <c r="Z47" s="1817">
        <f t="shared" si="15"/>
        <v>111</v>
      </c>
      <c r="AA47" s="1814">
        <f t="shared" si="3"/>
        <v>1</v>
      </c>
      <c r="AB47" s="1814">
        <f t="shared" si="4"/>
        <v>1</v>
      </c>
      <c r="AC47" s="2678">
        <f t="shared" si="5"/>
        <v>1</v>
      </c>
    </row>
    <row r="48" spans="1:29" ht="15">
      <c r="A48" s="479" t="s">
        <v>2576</v>
      </c>
      <c r="B48" s="480"/>
      <c r="C48" s="1410" t="s">
        <v>1</v>
      </c>
      <c r="D48" s="1411"/>
      <c r="E48" s="1412"/>
      <c r="F48" s="1413"/>
      <c r="G48" s="1414"/>
      <c r="H48" s="1415"/>
      <c r="I48" s="1412"/>
      <c r="J48" s="485"/>
      <c r="K48" s="783"/>
      <c r="L48" s="1146"/>
      <c r="M48" s="1134"/>
      <c r="N48" s="1134"/>
      <c r="O48" s="1134"/>
      <c r="P48" s="3223" t="str">
        <f>A48</f>
        <v>成交单价（元/平方米）</v>
      </c>
      <c r="Q48" s="3198"/>
      <c r="R48" s="3250">
        <f>E48</f>
        <v>0</v>
      </c>
      <c r="S48" s="3250"/>
      <c r="T48" s="3250">
        <f>G48</f>
        <v>0</v>
      </c>
      <c r="U48" s="3250"/>
      <c r="V48" s="3250">
        <f>I48</f>
        <v>0</v>
      </c>
      <c r="W48" s="3250"/>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223" t="str">
        <f>A49</f>
        <v>比较价值（元/平方米）</v>
      </c>
      <c r="Q49" s="3198"/>
      <c r="R49" s="3250" t="e">
        <f>IF(F1="售价",ROUND(PRODUCT(R48,AA7:AA47),0),ROUND(PRODUCT(R48,AA7:AA47),1))</f>
        <v>#DIV/0!</v>
      </c>
      <c r="S49" s="3250"/>
      <c r="T49" s="3250" t="e">
        <f>IF(F1="售价",ROUND(PRODUCT(T48,AB7:AB47),0),ROUND(PRODUCT(T48,AB7:AB47),1))</f>
        <v>#DIV/0!</v>
      </c>
      <c r="U49" s="3250"/>
      <c r="V49" s="3250" t="e">
        <f>IF(F1="售价",ROUND(PRODUCT(V48,AC7:AC47),0),ROUND(PRODUCT(V48,AC7:AC47),1))</f>
        <v>#DIV/0!</v>
      </c>
      <c r="W49" s="3250"/>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291" t="str">
        <f>A50</f>
        <v>估价对象XX用房的比较价值（楼面单价，元/平方米）</v>
      </c>
      <c r="Q50" s="3292"/>
      <c r="R50" s="3293" t="e">
        <f>IF(F1="售价",ROUND(AVERAGE(R49:V49),0),ROUND(AVERAGE(R49:V49),1))</f>
        <v>#DIV/0!</v>
      </c>
      <c r="S50" s="3293"/>
      <c r="T50" s="3293"/>
      <c r="U50" s="3293"/>
      <c r="V50" s="3293"/>
      <c r="W50" s="3293"/>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5"/>
      <c r="Q58" s="504"/>
    </row>
    <row r="59" spans="1:29" s="508" customFormat="1" ht="15">
      <c r="A59" s="505" t="s">
        <v>2547</v>
      </c>
      <c r="B59" s="506"/>
      <c r="C59" s="1577" t="str">
        <f>YEAR(C7)&amp;"-"&amp;MONTH(C7)</f>
        <v>2018-7</v>
      </c>
      <c r="D59" s="1578">
        <f>EDATE(C59,-1)</f>
        <v>43252</v>
      </c>
      <c r="E59" s="1578">
        <f>EDATE(D59,-1)</f>
        <v>43221</v>
      </c>
      <c r="F59" s="1578">
        <f t="shared" ref="F59:O59" si="16">EDATE(E59,-1)</f>
        <v>43191</v>
      </c>
      <c r="G59" s="1578">
        <f t="shared" si="16"/>
        <v>43160</v>
      </c>
      <c r="H59" s="1578">
        <f t="shared" si="16"/>
        <v>43132</v>
      </c>
      <c r="I59" s="1578">
        <f t="shared" si="16"/>
        <v>43101</v>
      </c>
      <c r="J59" s="1578">
        <f t="shared" si="16"/>
        <v>43070</v>
      </c>
      <c r="K59" s="1578">
        <f t="shared" si="16"/>
        <v>43040</v>
      </c>
      <c r="L59" s="1578">
        <f t="shared" si="16"/>
        <v>43009</v>
      </c>
      <c r="M59" s="1578">
        <f t="shared" si="16"/>
        <v>42979</v>
      </c>
      <c r="N59" s="1578">
        <f t="shared" si="16"/>
        <v>42948</v>
      </c>
      <c r="O59" s="1578">
        <f t="shared" si="16"/>
        <v>42917</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2584</v>
      </c>
      <c r="B61" s="516"/>
      <c r="C61" s="517"/>
      <c r="D61" s="518"/>
      <c r="E61" s="518"/>
      <c r="F61" s="518"/>
      <c r="G61" s="518"/>
      <c r="H61" s="518"/>
      <c r="I61" s="518"/>
      <c r="J61" s="518"/>
      <c r="K61" s="518"/>
      <c r="L61" s="518"/>
      <c r="M61" s="519"/>
      <c r="N61" s="518"/>
      <c r="O61" s="519"/>
      <c r="P61" s="2686"/>
      <c r="Q61" s="504"/>
    </row>
    <row r="62" spans="1:29" s="117" customFormat="1" ht="15">
      <c r="A62" s="521" t="s">
        <v>2549</v>
      </c>
      <c r="B62" s="510"/>
      <c r="C62" s="522" t="s">
        <v>2651</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2587</v>
      </c>
      <c r="B64" s="528" t="s">
        <v>2553</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2698</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2562</v>
      </c>
      <c r="B101" s="528" t="s">
        <v>2611</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2613</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2615</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2616</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2617</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2700</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2619</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2" priority="16" stopIfTrue="1" operator="containsText" text="超过">
      <formula>NOT(ISERROR(SEARCH("超过",F53)))</formula>
    </cfRule>
  </conditionalFormatting>
  <conditionalFormatting sqref="H55">
    <cfRule type="containsText" dxfId="71" priority="15" stopIfTrue="1" operator="containsText" text="超过">
      <formula>NOT(ISERROR(SEARCH("超过",H55)))</formula>
    </cfRule>
  </conditionalFormatting>
  <conditionalFormatting sqref="F55">
    <cfRule type="containsText" dxfId="70" priority="14" stopIfTrue="1" operator="containsText" text="超过">
      <formula>NOT(ISERROR(SEARCH("超过",F55)))</formula>
    </cfRule>
  </conditionalFormatting>
  <conditionalFormatting sqref="F54 H54">
    <cfRule type="containsText" dxfId="69" priority="13" stopIfTrue="1" operator="containsText" text="超过">
      <formula>NOT(ISERROR(SEARCH("超过",F54)))</formula>
    </cfRule>
  </conditionalFormatting>
  <conditionalFormatting sqref="E53">
    <cfRule type="expression" dxfId="68" priority="12" stopIfTrue="1">
      <formula>$F$53="超过30%"</formula>
    </cfRule>
  </conditionalFormatting>
  <conditionalFormatting sqref="E54">
    <cfRule type="expression" dxfId="67" priority="11" stopIfTrue="1">
      <formula>$F$54="超过20%"</formula>
    </cfRule>
  </conditionalFormatting>
  <conditionalFormatting sqref="E55">
    <cfRule type="expression" dxfId="66" priority="10" stopIfTrue="1">
      <formula>$F$55="超过30%"</formula>
    </cfRule>
  </conditionalFormatting>
  <conditionalFormatting sqref="G55">
    <cfRule type="expression" dxfId="65" priority="9" stopIfTrue="1">
      <formula>$H$55="超过30%"</formula>
    </cfRule>
  </conditionalFormatting>
  <conditionalFormatting sqref="G53">
    <cfRule type="expression" dxfId="64" priority="8" stopIfTrue="1">
      <formula>$H$53="超过30%"</formula>
    </cfRule>
  </conditionalFormatting>
  <conditionalFormatting sqref="G54">
    <cfRule type="expression" dxfId="63" priority="7" stopIfTrue="1">
      <formula>$H$54="超过20%"</formula>
    </cfRule>
  </conditionalFormatting>
  <conditionalFormatting sqref="J53">
    <cfRule type="containsText" dxfId="62" priority="6" stopIfTrue="1" operator="containsText" text="超过">
      <formula>NOT(ISERROR(SEARCH("超过",J53)))</formula>
    </cfRule>
  </conditionalFormatting>
  <conditionalFormatting sqref="J55">
    <cfRule type="containsText" dxfId="61" priority="5" stopIfTrue="1" operator="containsText" text="超过">
      <formula>NOT(ISERROR(SEARCH("超过",J55)))</formula>
    </cfRule>
  </conditionalFormatting>
  <conditionalFormatting sqref="J54">
    <cfRule type="containsText" dxfId="60" priority="4" stopIfTrue="1" operator="containsText" text="超过">
      <formula>NOT(ISERROR(SEARCH("超过",J54)))</formula>
    </cfRule>
  </conditionalFormatting>
  <conditionalFormatting sqref="I53">
    <cfRule type="expression" dxfId="59" priority="3" stopIfTrue="1">
      <formula>$J$53="超过30%"</formula>
    </cfRule>
  </conditionalFormatting>
  <conditionalFormatting sqref="I54">
    <cfRule type="expression" dxfId="58" priority="2" stopIfTrue="1">
      <formula>$J$53+$J$54="超过20%"</formula>
    </cfRule>
  </conditionalFormatting>
  <conditionalFormatting sqref="I55">
    <cfRule type="expression" dxfId="5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25"/>
      <c r="F1" s="2588"/>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2329</v>
      </c>
      <c r="B2" s="1421" t="e">
        <f ca="1">IF(C2="——",IF(B37="元/平方米",ROUND(C39*D3/10000,0),ROUND(F3*C39/10000,0)),IF(B37="元/平方米",ROUND(C39*D3/10000,0),ROUND(F3*C39/10000,0))-D2)</f>
        <v>#DIV/0!</v>
      </c>
      <c r="C2" s="2590"/>
      <c r="D2" s="1127" t="e">
        <f ca="1">SUMIF(INDIRECT("'"&amp;F2&amp;"'"&amp;"!A:A"),"承租人权益价值",INDIRECT("'"&amp;F2&amp;"'"&amp;"!c:c"))</f>
        <v>#REF!</v>
      </c>
      <c r="E2" s="2591" t="s">
        <v>2330</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208" t="s">
        <v>2645</v>
      </c>
      <c r="D4" s="3209"/>
      <c r="E4" s="3210" t="s">
        <v>2646</v>
      </c>
      <c r="F4" s="3211"/>
      <c r="G4" s="3208" t="s">
        <v>2647</v>
      </c>
      <c r="H4" s="3209"/>
      <c r="I4" s="3208" t="s">
        <v>2648</v>
      </c>
      <c r="J4" s="3209"/>
      <c r="K4" s="610" t="s">
        <v>2649</v>
      </c>
      <c r="L4" s="1133"/>
      <c r="M4" s="1134"/>
      <c r="N4" s="1134"/>
      <c r="O4" s="1134"/>
      <c r="P4" s="3212" t="s">
        <v>2650</v>
      </c>
      <c r="Q4" s="3213"/>
      <c r="R4" s="3225" t="s">
        <v>2646</v>
      </c>
      <c r="S4" s="3226"/>
      <c r="T4" s="3225" t="s">
        <v>2647</v>
      </c>
      <c r="U4" s="3226"/>
      <c r="V4" s="3200" t="s">
        <v>2648</v>
      </c>
      <c r="W4" s="3200"/>
      <c r="X4" s="1816"/>
      <c r="Y4" s="3225" t="s">
        <v>2650</v>
      </c>
      <c r="Z4" s="3226"/>
      <c r="AA4" s="3205" t="s">
        <v>2646</v>
      </c>
      <c r="AB4" s="3206" t="s">
        <v>2647</v>
      </c>
      <c r="AC4" s="3205" t="s">
        <v>2648</v>
      </c>
    </row>
    <row r="5" spans="1:29" ht="15">
      <c r="A5" s="404"/>
      <c r="B5" s="405"/>
      <c r="C5" s="3229" t="s">
        <v>2541</v>
      </c>
      <c r="D5" s="3230"/>
      <c r="E5" s="3218" t="s">
        <v>2542</v>
      </c>
      <c r="F5" s="3219"/>
      <c r="G5" s="3229" t="s">
        <v>2543</v>
      </c>
      <c r="H5" s="3230"/>
      <c r="I5" s="3229" t="s">
        <v>2544</v>
      </c>
      <c r="J5" s="3230"/>
      <c r="K5" s="610"/>
      <c r="L5" s="1133"/>
      <c r="M5" s="1134"/>
      <c r="N5" s="1134"/>
      <c r="O5" s="1134"/>
      <c r="P5" s="3214"/>
      <c r="Q5" s="3215"/>
      <c r="R5" s="3227"/>
      <c r="S5" s="3228"/>
      <c r="T5" s="3227"/>
      <c r="U5" s="3228"/>
      <c r="V5" s="3200"/>
      <c r="W5" s="3200"/>
      <c r="X5" s="1816"/>
      <c r="Y5" s="3227"/>
      <c r="Z5" s="3228"/>
      <c r="AA5" s="3206"/>
      <c r="AB5" s="3206"/>
      <c r="AC5" s="3206"/>
    </row>
    <row r="6" spans="1:29" ht="15.75" thickBot="1">
      <c r="A6" s="406"/>
      <c r="B6" s="407"/>
      <c r="C6" s="3244" t="s">
        <v>2545</v>
      </c>
      <c r="D6" s="3245"/>
      <c r="E6" s="3247" t="s">
        <v>2545</v>
      </c>
      <c r="F6" s="3248"/>
      <c r="G6" s="3244" t="s">
        <v>2545</v>
      </c>
      <c r="H6" s="3245"/>
      <c r="I6" s="3244" t="s">
        <v>2545</v>
      </c>
      <c r="J6" s="3245"/>
      <c r="K6" s="610" t="s">
        <v>2546</v>
      </c>
      <c r="L6" s="1133"/>
      <c r="M6" s="1134"/>
      <c r="N6" s="1134"/>
      <c r="O6" s="1134"/>
      <c r="P6" s="3216"/>
      <c r="Q6" s="3217"/>
      <c r="R6" s="3227"/>
      <c r="S6" s="3228"/>
      <c r="T6" s="3236"/>
      <c r="U6" s="3237"/>
      <c r="V6" s="3200"/>
      <c r="W6" s="3200"/>
      <c r="X6" s="1816"/>
      <c r="Y6" s="3236"/>
      <c r="Z6" s="3237"/>
      <c r="AA6" s="3207"/>
      <c r="AB6" s="3207"/>
      <c r="AC6" s="3207"/>
    </row>
    <row r="7" spans="1:29" s="117" customFormat="1" ht="15.75" thickBot="1">
      <c r="A7" s="408" t="s">
        <v>2547</v>
      </c>
      <c r="B7" s="409"/>
      <c r="C7" s="410">
        <f>'数据-取费表'!B2</f>
        <v>43307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0" t="s">
        <v>2548</v>
      </c>
      <c r="Q7" s="3233"/>
      <c r="R7" s="770" t="s">
        <v>17</v>
      </c>
      <c r="S7" s="771">
        <f t="shared" ref="S7:S14" si="0">F7</f>
        <v>0</v>
      </c>
      <c r="T7" s="770" t="s">
        <v>17</v>
      </c>
      <c r="U7" s="771">
        <f t="shared" ref="U7:U14" si="1">H7</f>
        <v>0</v>
      </c>
      <c r="V7" s="770" t="s">
        <v>17</v>
      </c>
      <c r="W7" s="771">
        <f t="shared" ref="W7:W14" si="2">J7</f>
        <v>0</v>
      </c>
      <c r="X7" s="772"/>
      <c r="Y7" s="3220" t="s">
        <v>2548</v>
      </c>
      <c r="Z7" s="3221"/>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0" t="s">
        <v>2551</v>
      </c>
      <c r="Q8" s="3221"/>
      <c r="R8" s="770" t="s">
        <v>17</v>
      </c>
      <c r="S8" s="771">
        <f t="shared" si="0"/>
        <v>0</v>
      </c>
      <c r="T8" s="770" t="s">
        <v>17</v>
      </c>
      <c r="U8" s="771">
        <f t="shared" si="1"/>
        <v>0</v>
      </c>
      <c r="V8" s="770" t="s">
        <v>17</v>
      </c>
      <c r="W8" s="771">
        <f t="shared" si="2"/>
        <v>0</v>
      </c>
      <c r="X8" s="772"/>
      <c r="Y8" s="3220" t="s">
        <v>2551</v>
      </c>
      <c r="Z8" s="3221"/>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8" t="s">
        <v>2554</v>
      </c>
      <c r="Q9" s="1798" t="str">
        <f t="shared" ref="Q9:Q14" si="6">B9</f>
        <v>用途</v>
      </c>
      <c r="R9" s="770" t="s">
        <v>17</v>
      </c>
      <c r="S9" s="771">
        <f t="shared" si="0"/>
        <v>100</v>
      </c>
      <c r="T9" s="770" t="s">
        <v>17</v>
      </c>
      <c r="U9" s="771">
        <f t="shared" si="1"/>
        <v>100</v>
      </c>
      <c r="V9" s="770" t="s">
        <v>17</v>
      </c>
      <c r="W9" s="771">
        <f t="shared" si="2"/>
        <v>100</v>
      </c>
      <c r="X9" s="772"/>
      <c r="Y9" s="3072"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8"/>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8"/>
      <c r="Q11" s="1798">
        <f t="shared" si="6"/>
        <v>111</v>
      </c>
      <c r="R11" s="770" t="s">
        <v>17</v>
      </c>
      <c r="S11" s="771">
        <f t="shared" si="0"/>
        <v>100</v>
      </c>
      <c r="T11" s="770" t="s">
        <v>17</v>
      </c>
      <c r="U11" s="771">
        <f t="shared" si="1"/>
        <v>100</v>
      </c>
      <c r="V11" s="770" t="s">
        <v>17</v>
      </c>
      <c r="W11" s="771">
        <f t="shared" si="2"/>
        <v>100</v>
      </c>
      <c r="X11" s="772"/>
      <c r="Y11" s="307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8"/>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8"/>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85.5">
      <c r="A14" s="401" t="s">
        <v>2558</v>
      </c>
      <c r="B14" s="629" t="s">
        <v>2708</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1" t="s">
        <v>2559</v>
      </c>
      <c r="Q14" s="1813" t="str">
        <f t="shared" si="6"/>
        <v>交通便捷度</v>
      </c>
      <c r="R14" s="774" t="s">
        <v>17</v>
      </c>
      <c r="S14" s="775">
        <f t="shared" si="0"/>
        <v>100</v>
      </c>
      <c r="T14" s="774" t="s">
        <v>17</v>
      </c>
      <c r="U14" s="775">
        <f t="shared" si="1"/>
        <v>100</v>
      </c>
      <c r="V14" s="774" t="s">
        <v>17</v>
      </c>
      <c r="W14" s="775">
        <f t="shared" si="2"/>
        <v>100</v>
      </c>
      <c r="X14" s="1816"/>
      <c r="Y14" s="3201"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2"/>
      <c r="Q15" s="1813"/>
      <c r="R15" s="774"/>
      <c r="S15" s="775"/>
      <c r="T15" s="774"/>
      <c r="U15" s="775"/>
      <c r="V15" s="774"/>
      <c r="W15" s="775"/>
      <c r="X15" s="1816"/>
      <c r="Y15" s="3202"/>
      <c r="Z15" s="1817"/>
      <c r="AA15" s="1814">
        <v>1</v>
      </c>
      <c r="AB15" s="1814">
        <v>1</v>
      </c>
      <c r="AC15" s="1814">
        <v>1</v>
      </c>
    </row>
    <row r="16" spans="1:29" ht="42.75">
      <c r="A16" s="404"/>
      <c r="B16" s="631" t="s">
        <v>2687</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2"/>
      <c r="Q16" s="1813" t="str">
        <f>B16</f>
        <v>公共配套设施</v>
      </c>
      <c r="R16" s="774" t="s">
        <v>17</v>
      </c>
      <c r="S16" s="775">
        <f>F16</f>
        <v>100</v>
      </c>
      <c r="T16" s="774" t="s">
        <v>17</v>
      </c>
      <c r="U16" s="775">
        <f>H16</f>
        <v>100</v>
      </c>
      <c r="V16" s="774" t="s">
        <v>17</v>
      </c>
      <c r="W16" s="775">
        <f>J16</f>
        <v>100</v>
      </c>
      <c r="X16" s="1816"/>
      <c r="Y16" s="3202"/>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202"/>
      <c r="Q17" s="1813"/>
      <c r="R17" s="774"/>
      <c r="S17" s="775"/>
      <c r="T17" s="774"/>
      <c r="U17" s="775"/>
      <c r="V17" s="774"/>
      <c r="W17" s="775"/>
      <c r="X17" s="1816"/>
      <c r="Y17" s="3202"/>
      <c r="Z17" s="1817"/>
      <c r="AA17" s="1814">
        <v>1</v>
      </c>
      <c r="AB17" s="1814">
        <v>1</v>
      </c>
      <c r="AC17" s="1814">
        <v>1</v>
      </c>
    </row>
    <row r="18" spans="1:29" ht="28.5">
      <c r="A18" s="404"/>
      <c r="B18" s="633" t="s">
        <v>2688</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2"/>
      <c r="Q18" s="1813" t="str">
        <f>B18</f>
        <v>基础设施水平</v>
      </c>
      <c r="R18" s="774" t="s">
        <v>17</v>
      </c>
      <c r="S18" s="775">
        <f>F18</f>
        <v>100</v>
      </c>
      <c r="T18" s="774" t="s">
        <v>17</v>
      </c>
      <c r="U18" s="775">
        <f>H18</f>
        <v>100</v>
      </c>
      <c r="V18" s="774" t="s">
        <v>17</v>
      </c>
      <c r="W18" s="775">
        <f>J18</f>
        <v>100</v>
      </c>
      <c r="X18" s="1816"/>
      <c r="Y18" s="3202"/>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202"/>
      <c r="Q19" s="1813"/>
      <c r="R19" s="774"/>
      <c r="S19" s="775"/>
      <c r="T19" s="774"/>
      <c r="U19" s="775"/>
      <c r="V19" s="774"/>
      <c r="W19" s="775"/>
      <c r="X19" s="1816"/>
      <c r="Y19" s="3202"/>
      <c r="Z19" s="1817"/>
      <c r="AA19" s="1814">
        <v>1</v>
      </c>
      <c r="AB19" s="1814">
        <v>1</v>
      </c>
      <c r="AC19" s="1814">
        <v>1</v>
      </c>
    </row>
    <row r="20" spans="1:29" ht="57">
      <c r="A20" s="404"/>
      <c r="B20" s="631" t="s">
        <v>2709</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2"/>
      <c r="Q20" s="1813" t="str">
        <f>B20</f>
        <v>自然及人文环境</v>
      </c>
      <c r="R20" s="774" t="s">
        <v>17</v>
      </c>
      <c r="S20" s="775">
        <f>F20</f>
        <v>100</v>
      </c>
      <c r="T20" s="774" t="s">
        <v>17</v>
      </c>
      <c r="U20" s="775">
        <f>H20</f>
        <v>100</v>
      </c>
      <c r="V20" s="774" t="s">
        <v>17</v>
      </c>
      <c r="W20" s="775">
        <f>J20</f>
        <v>100</v>
      </c>
      <c r="X20" s="1816"/>
      <c r="Y20" s="320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2"/>
      <c r="Q21" s="1813"/>
      <c r="R21" s="774"/>
      <c r="S21" s="775"/>
      <c r="T21" s="774"/>
      <c r="U21" s="775"/>
      <c r="V21" s="774"/>
      <c r="W21" s="775"/>
      <c r="X21" s="1816"/>
      <c r="Y21" s="3202"/>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2"/>
      <c r="Q22" s="1813" t="str">
        <f>B22</f>
        <v>楼层</v>
      </c>
      <c r="R22" s="774" t="s">
        <v>17</v>
      </c>
      <c r="S22" s="775">
        <f>F22</f>
        <v>100</v>
      </c>
      <c r="T22" s="774" t="s">
        <v>17</v>
      </c>
      <c r="U22" s="775">
        <f>H22</f>
        <v>100</v>
      </c>
      <c r="V22" s="774" t="s">
        <v>17</v>
      </c>
      <c r="W22" s="775">
        <f>J22</f>
        <v>100</v>
      </c>
      <c r="X22" s="1816"/>
      <c r="Y22" s="320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2"/>
      <c r="Q23" s="1813">
        <f>B23</f>
        <v>111</v>
      </c>
      <c r="R23" s="774" t="s">
        <v>17</v>
      </c>
      <c r="S23" s="775">
        <f>F23</f>
        <v>100</v>
      </c>
      <c r="T23" s="774" t="s">
        <v>17</v>
      </c>
      <c r="U23" s="775">
        <f>H23</f>
        <v>100</v>
      </c>
      <c r="V23" s="774" t="s">
        <v>17</v>
      </c>
      <c r="W23" s="775">
        <f>J23</f>
        <v>100</v>
      </c>
      <c r="X23" s="1816"/>
      <c r="Y23" s="320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2"/>
      <c r="Q24" s="1813">
        <f t="shared" ref="Q24:Q36" si="11">B24</f>
        <v>111</v>
      </c>
      <c r="R24" s="774" t="s">
        <v>17</v>
      </c>
      <c r="S24" s="775">
        <f>F24</f>
        <v>100</v>
      </c>
      <c r="T24" s="774" t="s">
        <v>17</v>
      </c>
      <c r="U24" s="775">
        <f>H24</f>
        <v>100</v>
      </c>
      <c r="V24" s="774" t="s">
        <v>17</v>
      </c>
      <c r="W24" s="775">
        <f>J24</f>
        <v>100</v>
      </c>
      <c r="X24" s="1816"/>
      <c r="Y24" s="320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2"/>
      <c r="Q25" s="1798">
        <f t="shared" si="11"/>
        <v>111</v>
      </c>
      <c r="R25" s="770" t="s">
        <v>17</v>
      </c>
      <c r="S25" s="771">
        <f>F25</f>
        <v>100</v>
      </c>
      <c r="T25" s="770" t="s">
        <v>17</v>
      </c>
      <c r="U25" s="771">
        <f>H25</f>
        <v>100</v>
      </c>
      <c r="V25" s="770" t="s">
        <v>17</v>
      </c>
      <c r="W25" s="771">
        <f>J25</f>
        <v>100</v>
      </c>
      <c r="X25" s="772"/>
      <c r="Y25" s="3202"/>
      <c r="Z25" s="55">
        <f>Q25</f>
        <v>111</v>
      </c>
      <c r="AA25" s="1814">
        <f>D25/F25</f>
        <v>1</v>
      </c>
      <c r="AB25" s="1814">
        <f>D25/H25</f>
        <v>1</v>
      </c>
      <c r="AC25" s="1814">
        <f>D25/J25</f>
        <v>1</v>
      </c>
    </row>
    <row r="26" spans="1:29" ht="15">
      <c r="A26" s="652" t="s">
        <v>2562</v>
      </c>
      <c r="B26" s="70" t="s">
        <v>2711</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03"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4"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4"/>
      <c r="Q27" s="776" t="str">
        <f t="shared" si="11"/>
        <v>项目停车位配比</v>
      </c>
      <c r="R27" s="777" t="s">
        <v>17</v>
      </c>
      <c r="S27" s="778">
        <f t="shared" si="12"/>
        <v>100</v>
      </c>
      <c r="T27" s="777" t="s">
        <v>17</v>
      </c>
      <c r="U27" s="778">
        <f t="shared" si="13"/>
        <v>100</v>
      </c>
      <c r="V27" s="777" t="s">
        <v>17</v>
      </c>
      <c r="W27" s="778">
        <f t="shared" si="14"/>
        <v>100</v>
      </c>
      <c r="X27" s="779"/>
      <c r="Y27" s="3204"/>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4"/>
      <c r="Q28" s="1813" t="str">
        <f t="shared" si="11"/>
        <v>公共部分装修</v>
      </c>
      <c r="R28" s="774" t="s">
        <v>17</v>
      </c>
      <c r="S28" s="775">
        <f t="shared" si="12"/>
        <v>100</v>
      </c>
      <c r="T28" s="774" t="s">
        <v>17</v>
      </c>
      <c r="U28" s="775">
        <f t="shared" si="13"/>
        <v>100</v>
      </c>
      <c r="V28" s="774" t="s">
        <v>17</v>
      </c>
      <c r="W28" s="775">
        <f t="shared" si="14"/>
        <v>100</v>
      </c>
      <c r="X28" s="1816"/>
      <c r="Y28" s="3204"/>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4"/>
      <c r="Q29" s="1813" t="str">
        <f t="shared" si="11"/>
        <v>成新率</v>
      </c>
      <c r="R29" s="774" t="s">
        <v>17</v>
      </c>
      <c r="S29" s="775" t="e">
        <f t="shared" si="12"/>
        <v>#N/A</v>
      </c>
      <c r="T29" s="774" t="s">
        <v>17</v>
      </c>
      <c r="U29" s="775" t="e">
        <f t="shared" si="13"/>
        <v>#N/A</v>
      </c>
      <c r="V29" s="774" t="s">
        <v>17</v>
      </c>
      <c r="W29" s="775" t="e">
        <f t="shared" si="14"/>
        <v>#N/A</v>
      </c>
      <c r="X29" s="1816"/>
      <c r="Y29" s="3204"/>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4"/>
      <c r="Q30" s="1813" t="str">
        <f t="shared" si="11"/>
        <v>物业等级</v>
      </c>
      <c r="R30" s="774" t="s">
        <v>17</v>
      </c>
      <c r="S30" s="775">
        <f t="shared" si="12"/>
        <v>100</v>
      </c>
      <c r="T30" s="774" t="s">
        <v>17</v>
      </c>
      <c r="U30" s="775">
        <f t="shared" si="13"/>
        <v>100</v>
      </c>
      <c r="V30" s="774" t="s">
        <v>17</v>
      </c>
      <c r="W30" s="775">
        <f t="shared" si="14"/>
        <v>100</v>
      </c>
      <c r="X30" s="1816"/>
      <c r="Y30" s="3204"/>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4"/>
      <c r="Q31" s="1798" t="str">
        <f t="shared" si="11"/>
        <v>停车位面积</v>
      </c>
      <c r="R31" s="770" t="s">
        <v>17</v>
      </c>
      <c r="S31" s="771" t="e">
        <f t="shared" si="12"/>
        <v>#N/A</v>
      </c>
      <c r="T31" s="770" t="s">
        <v>17</v>
      </c>
      <c r="U31" s="771" t="e">
        <f t="shared" si="13"/>
        <v>#N/A</v>
      </c>
      <c r="V31" s="770" t="s">
        <v>17</v>
      </c>
      <c r="W31" s="771" t="e">
        <f t="shared" si="14"/>
        <v>#N/A</v>
      </c>
      <c r="X31" s="772"/>
      <c r="Y31" s="3204"/>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4" t="s">
        <v>2564</v>
      </c>
      <c r="Q32" s="1813" t="str">
        <f t="shared" si="11"/>
        <v>车位类型</v>
      </c>
      <c r="R32" s="774" t="s">
        <v>17</v>
      </c>
      <c r="S32" s="775">
        <f t="shared" si="12"/>
        <v>100</v>
      </c>
      <c r="T32" s="774" t="s">
        <v>17</v>
      </c>
      <c r="U32" s="775">
        <f t="shared" si="13"/>
        <v>100</v>
      </c>
      <c r="V32" s="774" t="s">
        <v>17</v>
      </c>
      <c r="W32" s="775">
        <f t="shared" si="14"/>
        <v>100</v>
      </c>
      <c r="X32" s="1816"/>
      <c r="Y32" s="3204"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4"/>
      <c r="Q33" s="1813" t="str">
        <f t="shared" si="11"/>
        <v>是否直接入户</v>
      </c>
      <c r="R33" s="774" t="s">
        <v>17</v>
      </c>
      <c r="S33" s="775">
        <f t="shared" si="12"/>
        <v>100</v>
      </c>
      <c r="T33" s="774" t="s">
        <v>17</v>
      </c>
      <c r="U33" s="775">
        <f t="shared" si="13"/>
        <v>100</v>
      </c>
      <c r="V33" s="774" t="s">
        <v>17</v>
      </c>
      <c r="W33" s="775">
        <f t="shared" si="14"/>
        <v>100</v>
      </c>
      <c r="X33" s="1816"/>
      <c r="Y33" s="320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4"/>
      <c r="Q34" s="1813">
        <f t="shared" si="11"/>
        <v>111</v>
      </c>
      <c r="R34" s="774" t="s">
        <v>17</v>
      </c>
      <c r="S34" s="775">
        <f t="shared" si="12"/>
        <v>100</v>
      </c>
      <c r="T34" s="774" t="s">
        <v>17</v>
      </c>
      <c r="U34" s="775">
        <f t="shared" si="13"/>
        <v>100</v>
      </c>
      <c r="V34" s="774" t="s">
        <v>17</v>
      </c>
      <c r="W34" s="775">
        <f t="shared" si="14"/>
        <v>100</v>
      </c>
      <c r="X34" s="1816"/>
      <c r="Y34" s="320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4"/>
      <c r="Q35" s="776">
        <f t="shared" si="11"/>
        <v>111</v>
      </c>
      <c r="R35" s="777" t="s">
        <v>17</v>
      </c>
      <c r="S35" s="778">
        <f t="shared" si="12"/>
        <v>100</v>
      </c>
      <c r="T35" s="777" t="s">
        <v>17</v>
      </c>
      <c r="U35" s="778">
        <f t="shared" si="13"/>
        <v>100</v>
      </c>
      <c r="V35" s="777" t="s">
        <v>17</v>
      </c>
      <c r="W35" s="778">
        <f t="shared" si="14"/>
        <v>100</v>
      </c>
      <c r="X35" s="779"/>
      <c r="Y35" s="320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4"/>
      <c r="Q36" s="1813">
        <f t="shared" si="11"/>
        <v>111</v>
      </c>
      <c r="R36" s="774" t="s">
        <v>17</v>
      </c>
      <c r="S36" s="775">
        <f t="shared" si="12"/>
        <v>100</v>
      </c>
      <c r="T36" s="774" t="s">
        <v>17</v>
      </c>
      <c r="U36" s="775">
        <f t="shared" si="13"/>
        <v>100</v>
      </c>
      <c r="V36" s="774" t="s">
        <v>17</v>
      </c>
      <c r="W36" s="775">
        <f t="shared" si="14"/>
        <v>100</v>
      </c>
      <c r="X36" s="1816"/>
      <c r="Y36" s="3204"/>
      <c r="Z36" s="1817">
        <f t="shared" si="15"/>
        <v>111</v>
      </c>
      <c r="AA36" s="1814">
        <f t="shared" si="3"/>
        <v>1</v>
      </c>
      <c r="AB36" s="1814">
        <f t="shared" si="4"/>
        <v>1</v>
      </c>
      <c r="AC36" s="1814">
        <f t="shared" si="5"/>
        <v>1</v>
      </c>
    </row>
    <row r="37" spans="1:29" ht="15">
      <c r="A37" s="479" t="s">
        <v>2719</v>
      </c>
      <c r="B37" s="2699" t="s">
        <v>2720</v>
      </c>
      <c r="C37" s="1410" t="s">
        <v>1</v>
      </c>
      <c r="D37" s="1411"/>
      <c r="E37" s="1412"/>
      <c r="F37" s="1413"/>
      <c r="G37" s="1414"/>
      <c r="H37" s="1415"/>
      <c r="I37" s="1412"/>
      <c r="J37" s="1415"/>
      <c r="K37" s="619"/>
      <c r="L37" s="1146"/>
      <c r="M37" s="1147"/>
      <c r="N37" s="1134"/>
      <c r="O37" s="1147"/>
      <c r="P37" s="3198" t="str">
        <f>A37</f>
        <v>成交单价</v>
      </c>
      <c r="Q37" s="3198"/>
      <c r="R37" s="3250">
        <f>E37</f>
        <v>0</v>
      </c>
      <c r="S37" s="3250"/>
      <c r="T37" s="3250">
        <f>G37</f>
        <v>0</v>
      </c>
      <c r="U37" s="3250"/>
      <c r="V37" s="3250">
        <f>I37</f>
        <v>0</v>
      </c>
      <c r="W37" s="3250"/>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8" t="str">
        <f>A38</f>
        <v>比较价值（元/平方米）</v>
      </c>
      <c r="Q38" s="3198"/>
      <c r="R38" s="3250" t="e">
        <f>IF(F1="售价",ROUND(PRODUCT(R37,AA7:AA36),0),ROUND(PRODUCT(R37,AA7:AA36),1))</f>
        <v>#DIV/0!</v>
      </c>
      <c r="S38" s="3250"/>
      <c r="T38" s="3250" t="e">
        <f>IF(F1="售价",ROUND(PRODUCT(T37,AB7:AB36),0),ROUND(PRODUCT(T37,AB7:AB36),1))</f>
        <v>#DIV/0!</v>
      </c>
      <c r="U38" s="3250"/>
      <c r="V38" s="3250" t="e">
        <f>IF(F1="售价",ROUND(PRODUCT(V37,AC7:AC36),0),ROUND(PRODUCT(V37,AC7:AC36),1))</f>
        <v>#DIV/0!</v>
      </c>
      <c r="W38" s="3250"/>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195" t="str">
        <f>A39</f>
        <v>估价对象XX用房的比较价值（楼面单价，元/平方米）</v>
      </c>
      <c r="Q39" s="3196"/>
      <c r="R39" s="3251" t="e">
        <f>IF(F1="售价",ROUND(AVERAGE(R38:V38),0),ROUND(AVERAGE(R38:V38),1))</f>
        <v>#DIV/0!</v>
      </c>
      <c r="S39" s="3251"/>
      <c r="T39" s="3251"/>
      <c r="U39" s="3251"/>
      <c r="V39" s="3251"/>
      <c r="W39" s="325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7" t="str">
        <f>YEAR(C7)&amp;"-"&amp;MONTH(C7)</f>
        <v>2018-7</v>
      </c>
      <c r="D48" s="1578">
        <f>EDATE(C48,-1)</f>
        <v>43252</v>
      </c>
      <c r="E48" s="1578">
        <f t="shared" ref="E48:O48" si="16">EDATE(D48,-1)</f>
        <v>43221</v>
      </c>
      <c r="F48" s="1578">
        <f t="shared" si="16"/>
        <v>43191</v>
      </c>
      <c r="G48" s="1578">
        <f t="shared" si="16"/>
        <v>43160</v>
      </c>
      <c r="H48" s="1578">
        <f t="shared" si="16"/>
        <v>43132</v>
      </c>
      <c r="I48" s="1578">
        <f t="shared" si="16"/>
        <v>43101</v>
      </c>
      <c r="J48" s="1578">
        <f t="shared" si="16"/>
        <v>43070</v>
      </c>
      <c r="K48" s="1578">
        <f t="shared" si="16"/>
        <v>43040</v>
      </c>
      <c r="L48" s="1578">
        <f t="shared" si="16"/>
        <v>43009</v>
      </c>
      <c r="M48" s="1578">
        <f t="shared" si="16"/>
        <v>42979</v>
      </c>
      <c r="N48" s="1578">
        <f t="shared" si="16"/>
        <v>42948</v>
      </c>
      <c r="O48" s="1578">
        <f t="shared" si="16"/>
        <v>42917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33"/>
      <c r="F1" s="2588"/>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IF(C2="——",ROUND(C37*D3/10000,0),ROUND(C37*D3/10000,0)-D2)</f>
        <v>#DIV/0!</v>
      </c>
      <c r="C2" s="2590"/>
      <c r="D2" s="1127" t="e">
        <f ca="1">SUMIF(INDIRECT("'"&amp;F2&amp;"'"&amp;"!A:A"),"承租人权益价值",INDIRECT("'"&amp;F2&amp;"'"&amp;"!c:c"))</f>
        <v>#REF!</v>
      </c>
      <c r="E2" s="2591" t="s">
        <v>2330</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08" t="s">
        <v>2645</v>
      </c>
      <c r="D4" s="3209"/>
      <c r="E4" s="3210" t="s">
        <v>2646</v>
      </c>
      <c r="F4" s="3211"/>
      <c r="G4" s="3208" t="s">
        <v>2647</v>
      </c>
      <c r="H4" s="3209"/>
      <c r="I4" s="3208" t="s">
        <v>2648</v>
      </c>
      <c r="J4" s="3209"/>
      <c r="K4" s="610" t="s">
        <v>2649</v>
      </c>
      <c r="L4" s="1133"/>
      <c r="M4" s="1134"/>
      <c r="N4" s="1134"/>
      <c r="O4" s="1134"/>
      <c r="P4" s="3212" t="s">
        <v>2650</v>
      </c>
      <c r="Q4" s="3213"/>
      <c r="R4" s="3225" t="s">
        <v>2646</v>
      </c>
      <c r="S4" s="3226"/>
      <c r="T4" s="3225" t="s">
        <v>2647</v>
      </c>
      <c r="U4" s="3226"/>
      <c r="V4" s="3200" t="s">
        <v>2648</v>
      </c>
      <c r="W4" s="3200"/>
      <c r="X4" s="1816"/>
      <c r="Y4" s="3225" t="s">
        <v>2650</v>
      </c>
      <c r="Z4" s="3226"/>
      <c r="AA4" s="3205" t="s">
        <v>2646</v>
      </c>
      <c r="AB4" s="3206" t="s">
        <v>2647</v>
      </c>
      <c r="AC4" s="3205" t="s">
        <v>2648</v>
      </c>
    </row>
    <row r="5" spans="1:29" ht="15">
      <c r="A5" s="404"/>
      <c r="B5" s="405"/>
      <c r="C5" s="3229" t="s">
        <v>2541</v>
      </c>
      <c r="D5" s="3230"/>
      <c r="E5" s="3218" t="s">
        <v>2542</v>
      </c>
      <c r="F5" s="3219"/>
      <c r="G5" s="3229" t="s">
        <v>2543</v>
      </c>
      <c r="H5" s="3230"/>
      <c r="I5" s="3229" t="s">
        <v>2544</v>
      </c>
      <c r="J5" s="3230"/>
      <c r="K5" s="610"/>
      <c r="L5" s="1133"/>
      <c r="M5" s="1134"/>
      <c r="N5" s="1134"/>
      <c r="O5" s="1134"/>
      <c r="P5" s="3214"/>
      <c r="Q5" s="3215"/>
      <c r="R5" s="3227"/>
      <c r="S5" s="3228"/>
      <c r="T5" s="3227"/>
      <c r="U5" s="3228"/>
      <c r="V5" s="3200"/>
      <c r="W5" s="3200"/>
      <c r="X5" s="1816"/>
      <c r="Y5" s="3227"/>
      <c r="Z5" s="3228"/>
      <c r="AA5" s="3206"/>
      <c r="AB5" s="3206"/>
      <c r="AC5" s="3206"/>
    </row>
    <row r="6" spans="1:29" ht="15.75" thickBot="1">
      <c r="A6" s="406"/>
      <c r="B6" s="407"/>
      <c r="C6" s="3244" t="s">
        <v>2545</v>
      </c>
      <c r="D6" s="3245"/>
      <c r="E6" s="3247" t="s">
        <v>2545</v>
      </c>
      <c r="F6" s="3248"/>
      <c r="G6" s="3244" t="s">
        <v>2545</v>
      </c>
      <c r="H6" s="3245"/>
      <c r="I6" s="3244" t="s">
        <v>2545</v>
      </c>
      <c r="J6" s="3245"/>
      <c r="K6" s="610" t="s">
        <v>2546</v>
      </c>
      <c r="L6" s="1133"/>
      <c r="M6" s="1134"/>
      <c r="N6" s="1134"/>
      <c r="O6" s="1134"/>
      <c r="P6" s="3216"/>
      <c r="Q6" s="3217"/>
      <c r="R6" s="3227"/>
      <c r="S6" s="3228"/>
      <c r="T6" s="3236"/>
      <c r="U6" s="3237"/>
      <c r="V6" s="3200"/>
      <c r="W6" s="3200"/>
      <c r="X6" s="1816"/>
      <c r="Y6" s="3236"/>
      <c r="Z6" s="3237"/>
      <c r="AA6" s="3207"/>
      <c r="AB6" s="3207"/>
      <c r="AC6" s="3207"/>
    </row>
    <row r="7" spans="1:29" s="117" customFormat="1" ht="15.75" thickBot="1">
      <c r="A7" s="408" t="s">
        <v>2547</v>
      </c>
      <c r="B7" s="409"/>
      <c r="C7" s="410">
        <f>'数据-取费表'!B2</f>
        <v>43307</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220" t="s">
        <v>2548</v>
      </c>
      <c r="Q7" s="3233"/>
      <c r="R7" s="770" t="s">
        <v>17</v>
      </c>
      <c r="S7" s="771">
        <f t="shared" ref="S7:S14" si="0">F7</f>
        <v>0</v>
      </c>
      <c r="T7" s="770" t="s">
        <v>17</v>
      </c>
      <c r="U7" s="771">
        <f t="shared" ref="U7:U14" si="1">H7</f>
        <v>0</v>
      </c>
      <c r="V7" s="770" t="s">
        <v>17</v>
      </c>
      <c r="W7" s="771">
        <f t="shared" ref="W7:W14" si="2">J7</f>
        <v>0</v>
      </c>
      <c r="X7" s="772"/>
      <c r="Y7" s="3220" t="s">
        <v>2548</v>
      </c>
      <c r="Z7" s="3221"/>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0" t="s">
        <v>2551</v>
      </c>
      <c r="Q8" s="3221"/>
      <c r="R8" s="770" t="s">
        <v>17</v>
      </c>
      <c r="S8" s="771">
        <f t="shared" si="0"/>
        <v>0</v>
      </c>
      <c r="T8" s="770" t="s">
        <v>17</v>
      </c>
      <c r="U8" s="771">
        <f t="shared" si="1"/>
        <v>0</v>
      </c>
      <c r="V8" s="770" t="s">
        <v>17</v>
      </c>
      <c r="W8" s="771">
        <f t="shared" si="2"/>
        <v>0</v>
      </c>
      <c r="X8" s="772"/>
      <c r="Y8" s="3220" t="s">
        <v>2551</v>
      </c>
      <c r="Z8" s="3221"/>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8" t="s">
        <v>2554</v>
      </c>
      <c r="Q9" s="1798" t="str">
        <f t="shared" ref="Q9:Q14" si="6">B9</f>
        <v>用途</v>
      </c>
      <c r="R9" s="770" t="s">
        <v>17</v>
      </c>
      <c r="S9" s="771">
        <f t="shared" si="0"/>
        <v>100</v>
      </c>
      <c r="T9" s="770" t="s">
        <v>17</v>
      </c>
      <c r="U9" s="771">
        <f t="shared" si="1"/>
        <v>100</v>
      </c>
      <c r="V9" s="770" t="s">
        <v>17</v>
      </c>
      <c r="W9" s="771">
        <f t="shared" si="2"/>
        <v>100</v>
      </c>
      <c r="X9" s="772"/>
      <c r="Y9" s="3072"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8"/>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8"/>
      <c r="Q11" s="1798">
        <f t="shared" si="6"/>
        <v>111</v>
      </c>
      <c r="R11" s="770" t="s">
        <v>17</v>
      </c>
      <c r="S11" s="771">
        <f t="shared" si="0"/>
        <v>100</v>
      </c>
      <c r="T11" s="770" t="s">
        <v>17</v>
      </c>
      <c r="U11" s="771">
        <f t="shared" si="1"/>
        <v>100</v>
      </c>
      <c r="V11" s="770" t="s">
        <v>17</v>
      </c>
      <c r="W11" s="771">
        <f t="shared" si="2"/>
        <v>100</v>
      </c>
      <c r="X11" s="772"/>
      <c r="Y11" s="3072"/>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8"/>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198"/>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85.5">
      <c r="A14" s="440" t="s">
        <v>2558</v>
      </c>
      <c r="B14" s="69" t="s">
        <v>2708</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1" t="s">
        <v>2559</v>
      </c>
      <c r="Q14" s="1813" t="str">
        <f t="shared" si="6"/>
        <v>交通便捷度</v>
      </c>
      <c r="R14" s="774" t="s">
        <v>17</v>
      </c>
      <c r="S14" s="775">
        <f t="shared" si="0"/>
        <v>100</v>
      </c>
      <c r="T14" s="774" t="s">
        <v>17</v>
      </c>
      <c r="U14" s="775">
        <f t="shared" si="1"/>
        <v>100</v>
      </c>
      <c r="V14" s="774" t="s">
        <v>17</v>
      </c>
      <c r="W14" s="775">
        <f t="shared" si="2"/>
        <v>100</v>
      </c>
      <c r="X14" s="1816"/>
      <c r="Y14" s="3201"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2"/>
      <c r="Q15" s="1813"/>
      <c r="R15" s="774"/>
      <c r="S15" s="775"/>
      <c r="T15" s="774"/>
      <c r="U15" s="775"/>
      <c r="V15" s="774"/>
      <c r="W15" s="775"/>
      <c r="X15" s="1816"/>
      <c r="Y15" s="3202"/>
      <c r="Z15" s="1817"/>
      <c r="AA15" s="1814">
        <v>1</v>
      </c>
      <c r="AB15" s="1814">
        <v>1</v>
      </c>
      <c r="AC15" s="1814">
        <v>1</v>
      </c>
    </row>
    <row r="16" spans="1:29" ht="42.75">
      <c r="A16" s="428"/>
      <c r="B16" s="451" t="s">
        <v>2687</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2"/>
      <c r="Q16" s="1813" t="str">
        <f>B16</f>
        <v>公共配套设施</v>
      </c>
      <c r="R16" s="774" t="s">
        <v>17</v>
      </c>
      <c r="S16" s="775">
        <f>F16</f>
        <v>100</v>
      </c>
      <c r="T16" s="774" t="s">
        <v>17</v>
      </c>
      <c r="U16" s="775">
        <f>H16</f>
        <v>100</v>
      </c>
      <c r="V16" s="774" t="s">
        <v>17</v>
      </c>
      <c r="W16" s="775">
        <f>J16</f>
        <v>100</v>
      </c>
      <c r="X16" s="1816"/>
      <c r="Y16" s="3202"/>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202"/>
      <c r="Q17" s="1813"/>
      <c r="R17" s="774"/>
      <c r="S17" s="775"/>
      <c r="T17" s="774"/>
      <c r="U17" s="775"/>
      <c r="V17" s="774"/>
      <c r="W17" s="775"/>
      <c r="X17" s="1816"/>
      <c r="Y17" s="3202"/>
      <c r="Z17" s="1817"/>
      <c r="AA17" s="1814">
        <v>1</v>
      </c>
      <c r="AB17" s="1814">
        <v>1</v>
      </c>
      <c r="AC17" s="1814">
        <v>1</v>
      </c>
    </row>
    <row r="18" spans="1:29" ht="28.5">
      <c r="A18" s="428"/>
      <c r="B18" s="1387" t="s">
        <v>2688</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2"/>
      <c r="Q18" s="1813" t="str">
        <f>B18</f>
        <v>基础设施水平</v>
      </c>
      <c r="R18" s="774" t="s">
        <v>17</v>
      </c>
      <c r="S18" s="775">
        <f>F18</f>
        <v>100</v>
      </c>
      <c r="T18" s="774" t="s">
        <v>17</v>
      </c>
      <c r="U18" s="775">
        <f>H18</f>
        <v>100</v>
      </c>
      <c r="V18" s="774" t="s">
        <v>17</v>
      </c>
      <c r="W18" s="775">
        <f>J18</f>
        <v>100</v>
      </c>
      <c r="X18" s="1816"/>
      <c r="Y18" s="3202"/>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202"/>
      <c r="Q19" s="1813"/>
      <c r="R19" s="774"/>
      <c r="S19" s="775"/>
      <c r="T19" s="774"/>
      <c r="U19" s="775"/>
      <c r="V19" s="774"/>
      <c r="W19" s="775"/>
      <c r="X19" s="1816"/>
      <c r="Y19" s="3202"/>
      <c r="Z19" s="1817"/>
      <c r="AA19" s="1814">
        <v>1</v>
      </c>
      <c r="AB19" s="1814">
        <v>1</v>
      </c>
      <c r="AC19" s="1814">
        <v>1</v>
      </c>
    </row>
    <row r="20" spans="1:29" ht="57">
      <c r="A20" s="428"/>
      <c r="B20" s="451" t="s">
        <v>2709</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2"/>
      <c r="Q20" s="1813" t="str">
        <f>B20</f>
        <v>自然及人文环境</v>
      </c>
      <c r="R20" s="774" t="s">
        <v>17</v>
      </c>
      <c r="S20" s="775">
        <f>F20</f>
        <v>100</v>
      </c>
      <c r="T20" s="774" t="s">
        <v>17</v>
      </c>
      <c r="U20" s="775">
        <f>H20</f>
        <v>100</v>
      </c>
      <c r="V20" s="774" t="s">
        <v>17</v>
      </c>
      <c r="W20" s="775">
        <f>J20</f>
        <v>100</v>
      </c>
      <c r="X20" s="1816"/>
      <c r="Y20" s="320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2"/>
      <c r="Q21" s="1813"/>
      <c r="R21" s="774"/>
      <c r="S21" s="775"/>
      <c r="T21" s="774"/>
      <c r="U21" s="775"/>
      <c r="V21" s="774"/>
      <c r="W21" s="775"/>
      <c r="X21" s="1816"/>
      <c r="Y21" s="3202"/>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2"/>
      <c r="Q22" s="1813" t="str">
        <f>B22</f>
        <v>楼层</v>
      </c>
      <c r="R22" s="774" t="s">
        <v>17</v>
      </c>
      <c r="S22" s="775">
        <f>F22</f>
        <v>100</v>
      </c>
      <c r="T22" s="774" t="s">
        <v>17</v>
      </c>
      <c r="U22" s="775">
        <f>H22</f>
        <v>100</v>
      </c>
      <c r="V22" s="774" t="s">
        <v>17</v>
      </c>
      <c r="W22" s="775">
        <f>J22</f>
        <v>100</v>
      </c>
      <c r="X22" s="1816"/>
      <c r="Y22" s="3202"/>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2"/>
      <c r="Q23" s="1813">
        <f>B23</f>
        <v>111</v>
      </c>
      <c r="R23" s="774" t="s">
        <v>17</v>
      </c>
      <c r="S23" s="775">
        <f>F23</f>
        <v>100</v>
      </c>
      <c r="T23" s="774" t="s">
        <v>17</v>
      </c>
      <c r="U23" s="775">
        <f>H23</f>
        <v>100</v>
      </c>
      <c r="V23" s="774" t="s">
        <v>17</v>
      </c>
      <c r="W23" s="775">
        <f>J23</f>
        <v>100</v>
      </c>
      <c r="X23" s="1816"/>
      <c r="Y23" s="3202"/>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2"/>
      <c r="Q24" s="1813">
        <f t="shared" ref="Q24:Q34" si="11">B24</f>
        <v>111</v>
      </c>
      <c r="R24" s="774" t="s">
        <v>17</v>
      </c>
      <c r="S24" s="775">
        <f>F24</f>
        <v>100</v>
      </c>
      <c r="T24" s="774" t="s">
        <v>17</v>
      </c>
      <c r="U24" s="775">
        <f>H24</f>
        <v>100</v>
      </c>
      <c r="V24" s="774" t="s">
        <v>17</v>
      </c>
      <c r="W24" s="775">
        <f>J24</f>
        <v>100</v>
      </c>
      <c r="X24" s="1816"/>
      <c r="Y24" s="3202"/>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202"/>
      <c r="Q25" s="1798">
        <f t="shared" si="11"/>
        <v>111</v>
      </c>
      <c r="R25" s="770" t="s">
        <v>17</v>
      </c>
      <c r="S25" s="771">
        <f>F25</f>
        <v>100</v>
      </c>
      <c r="T25" s="770" t="s">
        <v>17</v>
      </c>
      <c r="U25" s="771">
        <f>H25</f>
        <v>100</v>
      </c>
      <c r="V25" s="770" t="s">
        <v>17</v>
      </c>
      <c r="W25" s="771">
        <f>J25</f>
        <v>100</v>
      </c>
      <c r="X25" s="772"/>
      <c r="Y25" s="3202"/>
      <c r="Z25" s="55">
        <f>Q25</f>
        <v>111</v>
      </c>
      <c r="AA25" s="1814">
        <f>D25/F25</f>
        <v>1</v>
      </c>
      <c r="AB25" s="1814">
        <f>D25/H25</f>
        <v>1</v>
      </c>
      <c r="AC25" s="1814">
        <f>D25/J25</f>
        <v>1</v>
      </c>
    </row>
    <row r="26" spans="1:29" ht="15">
      <c r="A26" s="466" t="s">
        <v>2562</v>
      </c>
      <c r="B26" s="71" t="s">
        <v>2713</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03"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4"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4"/>
      <c r="Q27" s="776" t="str">
        <f t="shared" si="11"/>
        <v>成新率</v>
      </c>
      <c r="R27" s="777" t="s">
        <v>17</v>
      </c>
      <c r="S27" s="778" t="e">
        <f t="shared" si="12"/>
        <v>#N/A</v>
      </c>
      <c r="T27" s="777" t="s">
        <v>17</v>
      </c>
      <c r="U27" s="778" t="e">
        <f t="shared" si="13"/>
        <v>#N/A</v>
      </c>
      <c r="V27" s="777" t="s">
        <v>17</v>
      </c>
      <c r="W27" s="778" t="e">
        <f t="shared" si="14"/>
        <v>#N/A</v>
      </c>
      <c r="X27" s="779"/>
      <c r="Y27" s="3204"/>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4"/>
      <c r="Q28" s="1813" t="str">
        <f t="shared" si="11"/>
        <v>物业等级</v>
      </c>
      <c r="R28" s="774" t="s">
        <v>17</v>
      </c>
      <c r="S28" s="775">
        <f t="shared" si="12"/>
        <v>100</v>
      </c>
      <c r="T28" s="774" t="s">
        <v>17</v>
      </c>
      <c r="U28" s="775">
        <f t="shared" si="13"/>
        <v>100</v>
      </c>
      <c r="V28" s="774" t="s">
        <v>17</v>
      </c>
      <c r="W28" s="775">
        <f t="shared" si="14"/>
        <v>100</v>
      </c>
      <c r="X28" s="1816"/>
      <c r="Y28" s="3204"/>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4"/>
      <c r="Q29" s="1813" t="str">
        <f t="shared" si="11"/>
        <v>有无电梯</v>
      </c>
      <c r="R29" s="774" t="s">
        <v>17</v>
      </c>
      <c r="S29" s="775">
        <f t="shared" si="12"/>
        <v>100</v>
      </c>
      <c r="T29" s="774" t="s">
        <v>17</v>
      </c>
      <c r="U29" s="775">
        <f t="shared" si="13"/>
        <v>100</v>
      </c>
      <c r="V29" s="774" t="s">
        <v>17</v>
      </c>
      <c r="W29" s="775">
        <f t="shared" si="14"/>
        <v>100</v>
      </c>
      <c r="X29" s="1816"/>
      <c r="Y29" s="3204"/>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4"/>
      <c r="Q30" s="1813" t="str">
        <f t="shared" si="11"/>
        <v>建筑面积</v>
      </c>
      <c r="R30" s="774" t="s">
        <v>17</v>
      </c>
      <c r="S30" s="775" t="e">
        <f t="shared" si="12"/>
        <v>#N/A</v>
      </c>
      <c r="T30" s="774" t="s">
        <v>17</v>
      </c>
      <c r="U30" s="775" t="e">
        <f t="shared" si="13"/>
        <v>#N/A</v>
      </c>
      <c r="V30" s="774" t="s">
        <v>17</v>
      </c>
      <c r="W30" s="775" t="e">
        <f t="shared" si="14"/>
        <v>#N/A</v>
      </c>
      <c r="X30" s="1816"/>
      <c r="Y30" s="3204"/>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4"/>
      <c r="Q31" s="1798" t="str">
        <f t="shared" si="11"/>
        <v>是否封闭</v>
      </c>
      <c r="R31" s="770" t="s">
        <v>17</v>
      </c>
      <c r="S31" s="771">
        <f t="shared" si="12"/>
        <v>100</v>
      </c>
      <c r="T31" s="770" t="s">
        <v>17</v>
      </c>
      <c r="U31" s="771">
        <f t="shared" si="13"/>
        <v>100</v>
      </c>
      <c r="V31" s="770" t="s">
        <v>17</v>
      </c>
      <c r="W31" s="771">
        <f t="shared" si="14"/>
        <v>100</v>
      </c>
      <c r="X31" s="772"/>
      <c r="Y31" s="3204"/>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4" t="s">
        <v>2564</v>
      </c>
      <c r="Q32" s="1813">
        <f t="shared" si="11"/>
        <v>111</v>
      </c>
      <c r="R32" s="774" t="s">
        <v>17</v>
      </c>
      <c r="S32" s="775">
        <f t="shared" si="12"/>
        <v>100</v>
      </c>
      <c r="T32" s="774" t="s">
        <v>17</v>
      </c>
      <c r="U32" s="775">
        <f t="shared" si="13"/>
        <v>100</v>
      </c>
      <c r="V32" s="774" t="s">
        <v>17</v>
      </c>
      <c r="W32" s="775">
        <f t="shared" si="14"/>
        <v>100</v>
      </c>
      <c r="X32" s="1816"/>
      <c r="Y32" s="3204" t="s">
        <v>2564</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4"/>
      <c r="Q33" s="1813">
        <f t="shared" si="11"/>
        <v>111</v>
      </c>
      <c r="R33" s="774" t="s">
        <v>17</v>
      </c>
      <c r="S33" s="775">
        <f t="shared" si="12"/>
        <v>100</v>
      </c>
      <c r="T33" s="774" t="s">
        <v>17</v>
      </c>
      <c r="U33" s="775">
        <f t="shared" si="13"/>
        <v>100</v>
      </c>
      <c r="V33" s="774" t="s">
        <v>17</v>
      </c>
      <c r="W33" s="775">
        <f t="shared" si="14"/>
        <v>100</v>
      </c>
      <c r="X33" s="1816"/>
      <c r="Y33" s="3204"/>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204"/>
      <c r="Q34" s="1813">
        <f t="shared" si="11"/>
        <v>111</v>
      </c>
      <c r="R34" s="774" t="s">
        <v>17</v>
      </c>
      <c r="S34" s="775">
        <f t="shared" si="12"/>
        <v>100</v>
      </c>
      <c r="T34" s="774" t="s">
        <v>17</v>
      </c>
      <c r="U34" s="775">
        <f t="shared" si="13"/>
        <v>100</v>
      </c>
      <c r="V34" s="774" t="s">
        <v>17</v>
      </c>
      <c r="W34" s="775">
        <f t="shared" si="14"/>
        <v>100</v>
      </c>
      <c r="X34" s="1816"/>
      <c r="Y34" s="3204"/>
      <c r="Z34" s="1817">
        <f t="shared" si="15"/>
        <v>111</v>
      </c>
      <c r="AA34" s="1814">
        <f t="shared" si="3"/>
        <v>1</v>
      </c>
      <c r="AB34" s="1814">
        <f t="shared" si="4"/>
        <v>1</v>
      </c>
      <c r="AC34" s="1814">
        <f t="shared" si="5"/>
        <v>1</v>
      </c>
    </row>
    <row r="35" spans="1:29" ht="15">
      <c r="A35" s="479" t="s">
        <v>2576</v>
      </c>
      <c r="B35" s="480"/>
      <c r="C35" s="1410" t="s">
        <v>1</v>
      </c>
      <c r="D35" s="1411"/>
      <c r="E35" s="1412"/>
      <c r="F35" s="1413"/>
      <c r="G35" s="1414"/>
      <c r="H35" s="1415"/>
      <c r="I35" s="1412"/>
      <c r="J35" s="1415"/>
      <c r="K35" s="783"/>
      <c r="L35" s="1146"/>
      <c r="M35" s="1147"/>
      <c r="N35" s="1134"/>
      <c r="O35" s="1147"/>
      <c r="P35" s="3198" t="str">
        <f>A35</f>
        <v>成交单价（元/平方米）</v>
      </c>
      <c r="Q35" s="3198"/>
      <c r="R35" s="3250">
        <f>E35</f>
        <v>0</v>
      </c>
      <c r="S35" s="3250"/>
      <c r="T35" s="3250">
        <f>G35</f>
        <v>0</v>
      </c>
      <c r="U35" s="3250"/>
      <c r="V35" s="3250">
        <f>I35</f>
        <v>0</v>
      </c>
      <c r="W35" s="3250"/>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198" t="str">
        <f>A36</f>
        <v>比较价值（元/平方米）</v>
      </c>
      <c r="Q36" s="3198"/>
      <c r="R36" s="3250" t="e">
        <f>IF(F1="售价",ROUND(PRODUCT(R35,AA7:AA34),0),ROUND(PRODUCT(R35,AA7:AA34),1))</f>
        <v>#DIV/0!</v>
      </c>
      <c r="S36" s="3250"/>
      <c r="T36" s="3250" t="e">
        <f>IF(F1="售价",ROUND(PRODUCT(T35,AB7:AB34),0),ROUND(PRODUCT(T35,AB7:AB34),1))</f>
        <v>#DIV/0!</v>
      </c>
      <c r="U36" s="3250"/>
      <c r="V36" s="3250" t="e">
        <f>IF(F1="售价",ROUND(PRODUCT(V35,AC7:AC34),0),ROUND(PRODUCT(V35,AC7:AC34),1))</f>
        <v>#DIV/0!</v>
      </c>
      <c r="W36" s="3250"/>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195" t="str">
        <f>A37</f>
        <v>估价对象XX用房的比较价值（楼面单价，元/平方米）</v>
      </c>
      <c r="Q37" s="3196"/>
      <c r="R37" s="3251" t="e">
        <f>IF(F1="售价",ROUND(AVERAGE(R36:V36),0),ROUND(AVERAGE(R36:V36),1))</f>
        <v>#DIV/0!</v>
      </c>
      <c r="S37" s="3251"/>
      <c r="T37" s="3251"/>
      <c r="U37" s="3251"/>
      <c r="V37" s="3251"/>
      <c r="W37" s="325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7" t="str">
        <f>YEAR(C7)&amp;"-"&amp;MONTH(C7)</f>
        <v>2018-7</v>
      </c>
      <c r="D46" s="1578">
        <f>EDATE(C46,-1)</f>
        <v>43252</v>
      </c>
      <c r="E46" s="1578">
        <f t="shared" ref="E46:O46" si="16">EDATE(D46,-1)</f>
        <v>43221</v>
      </c>
      <c r="F46" s="1578">
        <f t="shared" si="16"/>
        <v>43191</v>
      </c>
      <c r="G46" s="1578">
        <f t="shared" si="16"/>
        <v>43160</v>
      </c>
      <c r="H46" s="1578">
        <f t="shared" si="16"/>
        <v>43132</v>
      </c>
      <c r="I46" s="1578">
        <f t="shared" si="16"/>
        <v>43101</v>
      </c>
      <c r="J46" s="1578">
        <f t="shared" si="16"/>
        <v>43070</v>
      </c>
      <c r="K46" s="1578">
        <f t="shared" si="16"/>
        <v>43040</v>
      </c>
      <c r="L46" s="1578">
        <f t="shared" si="16"/>
        <v>43009</v>
      </c>
      <c r="M46" s="1578">
        <f t="shared" si="16"/>
        <v>42979</v>
      </c>
      <c r="N46" s="1578">
        <f t="shared" si="16"/>
        <v>42948</v>
      </c>
      <c r="O46" s="1578">
        <f t="shared" si="16"/>
        <v>42917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208" t="s">
        <v>2645</v>
      </c>
      <c r="D4" s="3209"/>
      <c r="E4" s="3210" t="s">
        <v>2646</v>
      </c>
      <c r="F4" s="3211"/>
      <c r="G4" s="3208" t="s">
        <v>2647</v>
      </c>
      <c r="H4" s="3209"/>
      <c r="I4" s="3208" t="s">
        <v>2648</v>
      </c>
      <c r="J4" s="3209"/>
      <c r="K4" s="610" t="s">
        <v>2649</v>
      </c>
      <c r="L4" s="1133"/>
      <c r="M4" s="1134"/>
      <c r="N4" s="1134"/>
      <c r="O4" s="1134"/>
      <c r="P4" s="3212" t="s">
        <v>2650</v>
      </c>
      <c r="Q4" s="3213"/>
      <c r="R4" s="3225" t="s">
        <v>2646</v>
      </c>
      <c r="S4" s="3226"/>
      <c r="T4" s="3225" t="s">
        <v>2647</v>
      </c>
      <c r="U4" s="3226"/>
      <c r="V4" s="3200" t="s">
        <v>2648</v>
      </c>
      <c r="W4" s="3200"/>
      <c r="X4" s="1816"/>
      <c r="Y4" s="3225" t="s">
        <v>2650</v>
      </c>
      <c r="Z4" s="3226"/>
      <c r="AA4" s="3205" t="s">
        <v>2646</v>
      </c>
      <c r="AB4" s="3206" t="s">
        <v>2647</v>
      </c>
      <c r="AC4" s="3205" t="s">
        <v>2648</v>
      </c>
    </row>
    <row r="5" spans="1:30" ht="15">
      <c r="A5" s="404"/>
      <c r="B5" s="405"/>
      <c r="C5" s="3229" t="s">
        <v>2541</v>
      </c>
      <c r="D5" s="3230"/>
      <c r="E5" s="3218" t="s">
        <v>2542</v>
      </c>
      <c r="F5" s="3219"/>
      <c r="G5" s="3229" t="s">
        <v>2543</v>
      </c>
      <c r="H5" s="3230"/>
      <c r="I5" s="3229" t="s">
        <v>2544</v>
      </c>
      <c r="J5" s="3230"/>
      <c r="K5" s="610"/>
      <c r="L5" s="1133"/>
      <c r="M5" s="1134"/>
      <c r="N5" s="1134"/>
      <c r="O5" s="1134"/>
      <c r="P5" s="3214"/>
      <c r="Q5" s="3215"/>
      <c r="R5" s="3227"/>
      <c r="S5" s="3228"/>
      <c r="T5" s="3227"/>
      <c r="U5" s="3228"/>
      <c r="V5" s="3200"/>
      <c r="W5" s="3200"/>
      <c r="X5" s="1816"/>
      <c r="Y5" s="3227"/>
      <c r="Z5" s="3228"/>
      <c r="AA5" s="3206"/>
      <c r="AB5" s="3206"/>
      <c r="AC5" s="3206"/>
    </row>
    <row r="6" spans="1:30" ht="15.75" thickBot="1">
      <c r="A6" s="406"/>
      <c r="B6" s="407"/>
      <c r="C6" s="3244" t="s">
        <v>2545</v>
      </c>
      <c r="D6" s="3245"/>
      <c r="E6" s="3247" t="s">
        <v>2545</v>
      </c>
      <c r="F6" s="3248"/>
      <c r="G6" s="3244" t="s">
        <v>2545</v>
      </c>
      <c r="H6" s="3245"/>
      <c r="I6" s="3244" t="s">
        <v>2545</v>
      </c>
      <c r="J6" s="3245"/>
      <c r="K6" s="610" t="s">
        <v>2546</v>
      </c>
      <c r="L6" s="1133"/>
      <c r="M6" s="1134"/>
      <c r="N6" s="1134"/>
      <c r="O6" s="1134"/>
      <c r="P6" s="3216"/>
      <c r="Q6" s="3217"/>
      <c r="R6" s="3227"/>
      <c r="S6" s="3228"/>
      <c r="T6" s="3236"/>
      <c r="U6" s="3237"/>
      <c r="V6" s="3200"/>
      <c r="W6" s="3200"/>
      <c r="X6" s="1816"/>
      <c r="Y6" s="3236"/>
      <c r="Z6" s="3237"/>
      <c r="AA6" s="3207"/>
      <c r="AB6" s="3207"/>
      <c r="AC6" s="3207"/>
    </row>
    <row r="7" spans="1:30" s="117" customFormat="1" ht="15.75" thickBot="1">
      <c r="A7" s="408" t="s">
        <v>2547</v>
      </c>
      <c r="B7" s="409"/>
      <c r="C7" s="410">
        <f>'数据-取费表'!B2</f>
        <v>43307</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220" t="s">
        <v>2548</v>
      </c>
      <c r="Q7" s="3233"/>
      <c r="R7" s="770" t="s">
        <v>17</v>
      </c>
      <c r="S7" s="771">
        <f t="shared" ref="S7:S15" si="0">F7</f>
        <v>0</v>
      </c>
      <c r="T7" s="770" t="s">
        <v>17</v>
      </c>
      <c r="U7" s="771">
        <f t="shared" ref="U7:U15" si="1">H7</f>
        <v>0</v>
      </c>
      <c r="V7" s="770" t="s">
        <v>17</v>
      </c>
      <c r="W7" s="771">
        <f t="shared" ref="W7:W15" si="2">J7</f>
        <v>0</v>
      </c>
      <c r="X7" s="772"/>
      <c r="Y7" s="3220" t="s">
        <v>2548</v>
      </c>
      <c r="Z7" s="3221"/>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0" t="s">
        <v>2551</v>
      </c>
      <c r="Q8" s="3221"/>
      <c r="R8" s="770" t="s">
        <v>17</v>
      </c>
      <c r="S8" s="771">
        <f t="shared" si="0"/>
        <v>0</v>
      </c>
      <c r="T8" s="770" t="s">
        <v>17</v>
      </c>
      <c r="U8" s="771">
        <f t="shared" si="1"/>
        <v>0</v>
      </c>
      <c r="V8" s="770" t="s">
        <v>17</v>
      </c>
      <c r="W8" s="771">
        <f t="shared" si="2"/>
        <v>0</v>
      </c>
      <c r="X8" s="772"/>
      <c r="Y8" s="3220" t="s">
        <v>2551</v>
      </c>
      <c r="Z8" s="3221"/>
      <c r="AA8" s="773" t="e">
        <f t="shared" ref="AA8:AA45" si="3">D8/F8</f>
        <v>#DIV/0!</v>
      </c>
      <c r="AB8" s="773" t="e">
        <f t="shared" ref="AB8:AB45" si="4">D8/H8</f>
        <v>#DIV/0!</v>
      </c>
      <c r="AC8" s="773" t="e">
        <f t="shared" ref="AC8:AC45" si="5">D8/J8</f>
        <v>#DIV/0!</v>
      </c>
    </row>
    <row r="9" spans="1:30" s="117" customFormat="1">
      <c r="A9" s="415" t="s">
        <v>2552</v>
      </c>
      <c r="B9" s="71" t="s">
        <v>2553</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198" t="s">
        <v>2554</v>
      </c>
      <c r="Q9" s="1798" t="str">
        <f t="shared" ref="Q9:Q15" si="6">B9</f>
        <v>用途</v>
      </c>
      <c r="R9" s="770" t="s">
        <v>17</v>
      </c>
      <c r="S9" s="771">
        <f t="shared" si="0"/>
        <v>100</v>
      </c>
      <c r="T9" s="770" t="s">
        <v>17</v>
      </c>
      <c r="U9" s="771">
        <f t="shared" si="1"/>
        <v>100</v>
      </c>
      <c r="V9" s="770" t="s">
        <v>17</v>
      </c>
      <c r="W9" s="771">
        <f t="shared" si="2"/>
        <v>100</v>
      </c>
      <c r="X9" s="772"/>
      <c r="Y9" s="3072"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198"/>
      <c r="Q10" s="1798" t="str">
        <f t="shared" si="6"/>
        <v>土地使用年限（年）</v>
      </c>
      <c r="R10" s="770" t="s">
        <v>17</v>
      </c>
      <c r="S10" s="771">
        <f t="shared" si="0"/>
        <v>105</v>
      </c>
      <c r="T10" s="770" t="s">
        <v>17</v>
      </c>
      <c r="U10" s="771">
        <f t="shared" si="1"/>
        <v>105</v>
      </c>
      <c r="V10" s="770" t="s">
        <v>17</v>
      </c>
      <c r="W10" s="771">
        <f t="shared" si="2"/>
        <v>105</v>
      </c>
      <c r="X10" s="772"/>
      <c r="Y10" s="3072"/>
      <c r="Z10" s="55" t="str">
        <f t="shared" si="7"/>
        <v>土地使用年限（年）</v>
      </c>
      <c r="AA10" s="773">
        <f t="shared" si="3"/>
        <v>0.95238095238095233</v>
      </c>
      <c r="AB10" s="773">
        <f t="shared" si="4"/>
        <v>0.95238095238095233</v>
      </c>
      <c r="AC10" s="773">
        <f t="shared" si="5"/>
        <v>0.95238095238095233</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8"/>
      <c r="Q11" s="1798"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30" s="117" customFormat="1" ht="15">
      <c r="A12" s="431"/>
      <c r="B12" s="2604"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8"/>
      <c r="Q12" s="1798" t="str">
        <f t="shared" si="6"/>
        <v>配建</v>
      </c>
      <c r="R12" s="770" t="s">
        <v>17</v>
      </c>
      <c r="S12" s="771">
        <f t="shared" si="0"/>
        <v>100</v>
      </c>
      <c r="T12" s="770" t="s">
        <v>17</v>
      </c>
      <c r="U12" s="771">
        <f t="shared" si="1"/>
        <v>100</v>
      </c>
      <c r="V12" s="770" t="s">
        <v>17</v>
      </c>
      <c r="W12" s="771">
        <f t="shared" si="2"/>
        <v>100</v>
      </c>
      <c r="X12" s="772"/>
      <c r="Y12" s="3072"/>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8"/>
      <c r="Q13" s="1798">
        <f t="shared" si="6"/>
        <v>111</v>
      </c>
      <c r="R13" s="770" t="s">
        <v>17</v>
      </c>
      <c r="S13" s="771">
        <f t="shared" si="0"/>
        <v>100</v>
      </c>
      <c r="T13" s="770" t="s">
        <v>17</v>
      </c>
      <c r="U13" s="771">
        <f t="shared" si="1"/>
        <v>100</v>
      </c>
      <c r="V13" s="770" t="s">
        <v>17</v>
      </c>
      <c r="W13" s="771">
        <f t="shared" si="2"/>
        <v>100</v>
      </c>
      <c r="X13" s="772"/>
      <c r="Y13" s="3072"/>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8"/>
      <c r="Q14" s="1798">
        <f t="shared" si="6"/>
        <v>111</v>
      </c>
      <c r="R14" s="770" t="s">
        <v>17</v>
      </c>
      <c r="S14" s="771">
        <f t="shared" si="0"/>
        <v>100</v>
      </c>
      <c r="T14" s="770" t="s">
        <v>17</v>
      </c>
      <c r="U14" s="771">
        <f t="shared" si="1"/>
        <v>100</v>
      </c>
      <c r="V14" s="770" t="s">
        <v>17</v>
      </c>
      <c r="W14" s="771">
        <f t="shared" si="2"/>
        <v>100</v>
      </c>
      <c r="X14" s="772"/>
      <c r="Y14" s="3072"/>
      <c r="Z14" s="55">
        <f t="shared" si="7"/>
        <v>111</v>
      </c>
      <c r="AA14" s="773">
        <f>D14/F14</f>
        <v>1</v>
      </c>
      <c r="AB14" s="773">
        <f>D14/H14</f>
        <v>1</v>
      </c>
      <c r="AC14" s="773">
        <f>D14/J14</f>
        <v>1</v>
      </c>
    </row>
    <row r="15" spans="1:30" ht="99.75">
      <c r="A15" s="440" t="s">
        <v>2558</v>
      </c>
      <c r="B15" s="69" t="s">
        <v>2089</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1" t="s">
        <v>2559</v>
      </c>
      <c r="Q15" s="1813" t="str">
        <f t="shared" si="6"/>
        <v>居住社区成熟度</v>
      </c>
      <c r="R15" s="774" t="s">
        <v>17</v>
      </c>
      <c r="S15" s="775">
        <f t="shared" si="0"/>
        <v>100</v>
      </c>
      <c r="T15" s="774" t="s">
        <v>17</v>
      </c>
      <c r="U15" s="775">
        <f t="shared" si="1"/>
        <v>100</v>
      </c>
      <c r="V15" s="774" t="s">
        <v>17</v>
      </c>
      <c r="W15" s="775">
        <f t="shared" si="2"/>
        <v>100</v>
      </c>
      <c r="X15" s="1816"/>
      <c r="Y15" s="3201" t="s">
        <v>2559</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202"/>
      <c r="Q16" s="1813"/>
      <c r="R16" s="774"/>
      <c r="S16" s="775"/>
      <c r="T16" s="774"/>
      <c r="U16" s="775"/>
      <c r="V16" s="774"/>
      <c r="W16" s="775"/>
      <c r="X16" s="1816"/>
      <c r="Y16" s="3202"/>
      <c r="Z16" s="1817"/>
      <c r="AA16" s="1814">
        <v>1</v>
      </c>
      <c r="AB16" s="1814">
        <v>1</v>
      </c>
      <c r="AC16" s="1814">
        <v>1</v>
      </c>
    </row>
    <row r="17" spans="1:29" ht="71.25">
      <c r="A17" s="428"/>
      <c r="B17" s="451" t="s">
        <v>2652</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2"/>
      <c r="Q17" s="1813" t="str">
        <f>B17</f>
        <v>商业繁华度</v>
      </c>
      <c r="R17" s="774" t="s">
        <v>17</v>
      </c>
      <c r="S17" s="775">
        <f>F17</f>
        <v>100</v>
      </c>
      <c r="T17" s="774" t="s">
        <v>17</v>
      </c>
      <c r="U17" s="775">
        <f>H17</f>
        <v>100</v>
      </c>
      <c r="V17" s="774" t="s">
        <v>17</v>
      </c>
      <c r="W17" s="775">
        <f>J17</f>
        <v>100</v>
      </c>
      <c r="X17" s="1816"/>
      <c r="Y17" s="3202"/>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202"/>
      <c r="Q18" s="1813"/>
      <c r="R18" s="774"/>
      <c r="S18" s="775"/>
      <c r="T18" s="774"/>
      <c r="U18" s="775"/>
      <c r="V18" s="774"/>
      <c r="W18" s="775"/>
      <c r="X18" s="1816"/>
      <c r="Y18" s="3202"/>
      <c r="Z18" s="1817"/>
      <c r="AA18" s="1814">
        <v>1</v>
      </c>
      <c r="AB18" s="1814">
        <v>1</v>
      </c>
      <c r="AC18" s="1814">
        <v>1</v>
      </c>
    </row>
    <row r="19" spans="1:29" ht="71.25">
      <c r="A19" s="428"/>
      <c r="B19" s="451" t="s">
        <v>2686</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2"/>
      <c r="Q19" s="1813" t="str">
        <f>B19</f>
        <v>办公集聚程度</v>
      </c>
      <c r="R19" s="774" t="s">
        <v>17</v>
      </c>
      <c r="S19" s="775">
        <f>F19</f>
        <v>100</v>
      </c>
      <c r="T19" s="774" t="s">
        <v>17</v>
      </c>
      <c r="U19" s="775">
        <f>H19</f>
        <v>100</v>
      </c>
      <c r="V19" s="774" t="s">
        <v>17</v>
      </c>
      <c r="W19" s="775">
        <f>J19</f>
        <v>100</v>
      </c>
      <c r="X19" s="1816"/>
      <c r="Y19" s="3202"/>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202"/>
      <c r="Q20" s="1813"/>
      <c r="R20" s="774"/>
      <c r="S20" s="775"/>
      <c r="T20" s="774"/>
      <c r="U20" s="775"/>
      <c r="V20" s="774"/>
      <c r="W20" s="775"/>
      <c r="X20" s="1816"/>
      <c r="Y20" s="3202"/>
      <c r="Z20" s="1817"/>
      <c r="AA20" s="1814">
        <v>1</v>
      </c>
      <c r="AB20" s="1814">
        <v>1</v>
      </c>
      <c r="AC20" s="1814">
        <v>1</v>
      </c>
    </row>
    <row r="21" spans="1:29" ht="85.5">
      <c r="A21" s="428"/>
      <c r="B21" s="451" t="s">
        <v>2708</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2"/>
      <c r="Q21" s="1813" t="str">
        <f>B21</f>
        <v>交通便捷度</v>
      </c>
      <c r="R21" s="774" t="s">
        <v>17</v>
      </c>
      <c r="S21" s="775">
        <f>F21</f>
        <v>100</v>
      </c>
      <c r="T21" s="774" t="s">
        <v>17</v>
      </c>
      <c r="U21" s="775">
        <f>H21</f>
        <v>100</v>
      </c>
      <c r="V21" s="774" t="s">
        <v>17</v>
      </c>
      <c r="W21" s="775">
        <f>J21</f>
        <v>100</v>
      </c>
      <c r="X21" s="1816"/>
      <c r="Y21" s="3202"/>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202"/>
      <c r="Q22" s="1813"/>
      <c r="R22" s="774"/>
      <c r="S22" s="775"/>
      <c r="T22" s="774"/>
      <c r="U22" s="775"/>
      <c r="V22" s="774"/>
      <c r="W22" s="775"/>
      <c r="X22" s="1816"/>
      <c r="Y22" s="3202"/>
      <c r="Z22" s="1817"/>
      <c r="AA22" s="1814">
        <v>1</v>
      </c>
      <c r="AB22" s="1814">
        <v>1</v>
      </c>
      <c r="AC22" s="1814">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2"/>
      <c r="Q23" s="1813" t="str">
        <f t="shared" ref="Q23:Q37" si="8">B23</f>
        <v>区域土地利用方向</v>
      </c>
      <c r="R23" s="774" t="s">
        <v>17</v>
      </c>
      <c r="S23" s="775">
        <f>F23</f>
        <v>100</v>
      </c>
      <c r="T23" s="774" t="s">
        <v>17</v>
      </c>
      <c r="U23" s="775">
        <f>H23</f>
        <v>100</v>
      </c>
      <c r="V23" s="774" t="s">
        <v>17</v>
      </c>
      <c r="W23" s="775">
        <f>J23</f>
        <v>100</v>
      </c>
      <c r="X23" s="1816"/>
      <c r="Y23" s="3202"/>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202"/>
      <c r="Q24" s="1813"/>
      <c r="R24" s="774"/>
      <c r="S24" s="775"/>
      <c r="T24" s="774"/>
      <c r="U24" s="775"/>
      <c r="V24" s="774"/>
      <c r="W24" s="775"/>
      <c r="X24" s="1816"/>
      <c r="Y24" s="3202"/>
      <c r="Z24" s="1817"/>
      <c r="AA24" s="1814"/>
      <c r="AB24" s="1814"/>
      <c r="AC24" s="1814"/>
    </row>
    <row r="25" spans="1:29" ht="57">
      <c r="A25" s="404"/>
      <c r="B25" s="1387" t="s">
        <v>2748</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2"/>
      <c r="Q25" s="1813" t="str">
        <f t="shared" si="8"/>
        <v>自然及人文环境状况</v>
      </c>
      <c r="R25" s="774" t="s">
        <v>17</v>
      </c>
      <c r="S25" s="775">
        <f>F25</f>
        <v>100</v>
      </c>
      <c r="T25" s="774" t="s">
        <v>17</v>
      </c>
      <c r="U25" s="775">
        <f>H25</f>
        <v>100</v>
      </c>
      <c r="V25" s="774" t="s">
        <v>17</v>
      </c>
      <c r="W25" s="775">
        <f>J25</f>
        <v>100</v>
      </c>
      <c r="X25" s="1816"/>
      <c r="Y25" s="3202"/>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202"/>
      <c r="Q26" s="1813"/>
      <c r="R26" s="774"/>
      <c r="S26" s="775"/>
      <c r="T26" s="774"/>
      <c r="U26" s="775"/>
      <c r="V26" s="774"/>
      <c r="W26" s="775"/>
      <c r="X26" s="1816"/>
      <c r="Y26" s="3202"/>
      <c r="Z26" s="1817"/>
      <c r="AA26" s="1814">
        <v>1</v>
      </c>
      <c r="AB26" s="1814">
        <v>1</v>
      </c>
      <c r="AC26" s="1814">
        <v>1</v>
      </c>
    </row>
    <row r="27" spans="1:29" s="117" customFormat="1" ht="42.75">
      <c r="A27" s="649"/>
      <c r="B27" s="1387" t="s">
        <v>2653</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2"/>
      <c r="Q27" s="1798" t="str">
        <f t="shared" si="8"/>
        <v>公共配套设施</v>
      </c>
      <c r="R27" s="770" t="s">
        <v>17</v>
      </c>
      <c r="S27" s="771">
        <f>F27</f>
        <v>100</v>
      </c>
      <c r="T27" s="770" t="s">
        <v>17</v>
      </c>
      <c r="U27" s="771">
        <f>H27</f>
        <v>100</v>
      </c>
      <c r="V27" s="770" t="s">
        <v>17</v>
      </c>
      <c r="W27" s="771">
        <f>J27</f>
        <v>100</v>
      </c>
      <c r="X27" s="772"/>
      <c r="Y27" s="3202"/>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202"/>
      <c r="Q28" s="1798"/>
      <c r="R28" s="770"/>
      <c r="S28" s="771"/>
      <c r="T28" s="770"/>
      <c r="U28" s="771"/>
      <c r="V28" s="770"/>
      <c r="W28" s="771"/>
      <c r="X28" s="772"/>
      <c r="Y28" s="3202"/>
      <c r="Z28" s="55"/>
      <c r="AA28" s="1814">
        <v>1</v>
      </c>
      <c r="AB28" s="1814">
        <v>1</v>
      </c>
      <c r="AC28" s="1814">
        <v>1</v>
      </c>
    </row>
    <row r="29" spans="1:29" s="117" customFormat="1" ht="28.5">
      <c r="A29" s="649"/>
      <c r="B29" s="1387" t="s">
        <v>2654</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2"/>
      <c r="Q29" s="1798" t="str">
        <f t="shared" ref="Q29" si="9">B29</f>
        <v>基础设施水平</v>
      </c>
      <c r="R29" s="770" t="s">
        <v>17</v>
      </c>
      <c r="S29" s="771">
        <f>F29</f>
        <v>100</v>
      </c>
      <c r="T29" s="770" t="s">
        <v>17</v>
      </c>
      <c r="U29" s="771">
        <f>H29</f>
        <v>100</v>
      </c>
      <c r="V29" s="770" t="s">
        <v>17</v>
      </c>
      <c r="W29" s="771">
        <f>J29</f>
        <v>100</v>
      </c>
      <c r="X29" s="772"/>
      <c r="Y29" s="3202"/>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202"/>
      <c r="Q30" s="1798"/>
      <c r="R30" s="770"/>
      <c r="S30" s="771"/>
      <c r="T30" s="770"/>
      <c r="U30" s="771"/>
      <c r="V30" s="770"/>
      <c r="W30" s="771"/>
      <c r="X30" s="772"/>
      <c r="Y30" s="3202"/>
      <c r="Z30" s="55"/>
      <c r="AA30" s="1814">
        <v>1</v>
      </c>
      <c r="AB30" s="1814">
        <v>1</v>
      </c>
      <c r="AC30" s="1814">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2"/>
      <c r="Z31" s="1817" t="str">
        <f t="shared" ref="Z31:Z45" si="13">Q31</f>
        <v>临街状况</v>
      </c>
      <c r="AA31" s="1814">
        <f t="shared" si="3"/>
        <v>1</v>
      </c>
      <c r="AB31" s="1814">
        <f t="shared" si="4"/>
        <v>1</v>
      </c>
      <c r="AC31" s="1814">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2"/>
      <c r="Q32" s="1813" t="str">
        <f t="shared" si="8"/>
        <v>毗邻道路的类型与等级</v>
      </c>
      <c r="R32" s="774" t="s">
        <v>17</v>
      </c>
      <c r="S32" s="775">
        <f t="shared" si="10"/>
        <v>100</v>
      </c>
      <c r="T32" s="774" t="s">
        <v>17</v>
      </c>
      <c r="U32" s="775">
        <f t="shared" si="11"/>
        <v>100</v>
      </c>
      <c r="V32" s="774" t="s">
        <v>17</v>
      </c>
      <c r="W32" s="775">
        <f t="shared" si="12"/>
        <v>100</v>
      </c>
      <c r="X32" s="1816"/>
      <c r="Y32" s="3202"/>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202"/>
      <c r="Q33" s="1813"/>
      <c r="R33" s="774"/>
      <c r="S33" s="775"/>
      <c r="T33" s="774"/>
      <c r="U33" s="775"/>
      <c r="V33" s="774"/>
      <c r="W33" s="775"/>
      <c r="X33" s="1816"/>
      <c r="Y33" s="3202"/>
      <c r="Z33" s="1817"/>
      <c r="AA33" s="1814">
        <v>1</v>
      </c>
      <c r="AB33" s="1814">
        <v>1</v>
      </c>
      <c r="AC33" s="1814">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2"/>
      <c r="Q34" s="1813" t="str">
        <f t="shared" si="8"/>
        <v>土地级别</v>
      </c>
      <c r="R34" s="774" t="s">
        <v>17</v>
      </c>
      <c r="S34" s="775">
        <f t="shared" si="10"/>
        <v>100</v>
      </c>
      <c r="T34" s="774" t="s">
        <v>17</v>
      </c>
      <c r="U34" s="775">
        <f t="shared" si="11"/>
        <v>100</v>
      </c>
      <c r="V34" s="774" t="s">
        <v>17</v>
      </c>
      <c r="W34" s="775">
        <f t="shared" si="12"/>
        <v>100</v>
      </c>
      <c r="X34" s="1816"/>
      <c r="Y34" s="320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2"/>
      <c r="Q35" s="1813">
        <f t="shared" si="8"/>
        <v>111</v>
      </c>
      <c r="R35" s="774" t="s">
        <v>17</v>
      </c>
      <c r="S35" s="775">
        <f t="shared" si="10"/>
        <v>100</v>
      </c>
      <c r="T35" s="774" t="s">
        <v>17</v>
      </c>
      <c r="U35" s="775">
        <f t="shared" si="11"/>
        <v>100</v>
      </c>
      <c r="V35" s="774" t="s">
        <v>17</v>
      </c>
      <c r="W35" s="775">
        <f t="shared" si="12"/>
        <v>100</v>
      </c>
      <c r="X35" s="1816"/>
      <c r="Y35" s="320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03" t="s">
        <v>2564</v>
      </c>
      <c r="Q36" s="1813">
        <f t="shared" si="8"/>
        <v>111</v>
      </c>
      <c r="R36" s="774" t="s">
        <v>17</v>
      </c>
      <c r="S36" s="775">
        <f t="shared" si="10"/>
        <v>100</v>
      </c>
      <c r="T36" s="774" t="s">
        <v>17</v>
      </c>
      <c r="U36" s="775">
        <f t="shared" si="11"/>
        <v>100</v>
      </c>
      <c r="V36" s="774" t="s">
        <v>17</v>
      </c>
      <c r="W36" s="775">
        <f t="shared" si="12"/>
        <v>100</v>
      </c>
      <c r="X36" s="1816"/>
      <c r="Y36" s="3204" t="s">
        <v>2564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4"/>
      <c r="Q37" s="1813">
        <f t="shared" si="8"/>
        <v>111</v>
      </c>
      <c r="R37" s="777" t="s">
        <v>17</v>
      </c>
      <c r="S37" s="778">
        <f t="shared" si="10"/>
        <v>100</v>
      </c>
      <c r="T37" s="777" t="s">
        <v>17</v>
      </c>
      <c r="U37" s="778">
        <f t="shared" si="11"/>
        <v>100</v>
      </c>
      <c r="V37" s="777" t="s">
        <v>17</v>
      </c>
      <c r="W37" s="778">
        <f t="shared" si="12"/>
        <v>100</v>
      </c>
      <c r="X37" s="779"/>
      <c r="Y37" s="3204"/>
      <c r="Z37" s="780">
        <f t="shared" si="13"/>
        <v>111</v>
      </c>
      <c r="AA37" s="1814">
        <f t="shared" si="3"/>
        <v>1</v>
      </c>
      <c r="AB37" s="1814">
        <f t="shared" si="4"/>
        <v>1</v>
      </c>
      <c r="AC37" s="1814">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4"/>
      <c r="Q38" s="1813" t="str">
        <f>B38</f>
        <v>宗地面积</v>
      </c>
      <c r="R38" s="774" t="s">
        <v>17</v>
      </c>
      <c r="S38" s="775" t="e">
        <f t="shared" si="10"/>
        <v>#N/A</v>
      </c>
      <c r="T38" s="774" t="s">
        <v>17</v>
      </c>
      <c r="U38" s="775" t="e">
        <f t="shared" si="11"/>
        <v>#N/A</v>
      </c>
      <c r="V38" s="774" t="s">
        <v>17</v>
      </c>
      <c r="W38" s="775" t="e">
        <f t="shared" si="12"/>
        <v>#N/A</v>
      </c>
      <c r="X38" s="1816"/>
      <c r="Y38" s="3204"/>
      <c r="Z38" s="1817" t="str">
        <f t="shared" si="13"/>
        <v>宗地面积</v>
      </c>
      <c r="AA38" s="1814" t="e">
        <f t="shared" si="3"/>
        <v>#N/A</v>
      </c>
      <c r="AB38" s="1814" t="e">
        <f t="shared" si="4"/>
        <v>#N/A</v>
      </c>
      <c r="AC38" s="1814" t="e">
        <f t="shared" si="5"/>
        <v>#N/A</v>
      </c>
    </row>
    <row r="39" spans="1:29" ht="15">
      <c r="A39" s="472"/>
      <c r="B39" s="422" t="s">
        <v>2751</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204"/>
      <c r="Q39" s="1813" t="str">
        <f t="shared" ref="Q39:Q45" si="14">B39</f>
        <v>宗地形状</v>
      </c>
      <c r="R39" s="774" t="s">
        <v>17</v>
      </c>
      <c r="S39" s="775">
        <f t="shared" si="10"/>
        <v>100</v>
      </c>
      <c r="T39" s="774" t="s">
        <v>17</v>
      </c>
      <c r="U39" s="775">
        <f t="shared" si="11"/>
        <v>100</v>
      </c>
      <c r="V39" s="774" t="s">
        <v>17</v>
      </c>
      <c r="W39" s="775">
        <f t="shared" si="12"/>
        <v>100</v>
      </c>
      <c r="X39" s="1816"/>
      <c r="Y39" s="3204"/>
      <c r="Z39" s="1817" t="str">
        <f t="shared" si="13"/>
        <v>宗地形状</v>
      </c>
      <c r="AA39" s="1814">
        <f t="shared" si="3"/>
        <v>1</v>
      </c>
      <c r="AB39" s="1814">
        <f t="shared" si="4"/>
        <v>1</v>
      </c>
      <c r="AC39" s="1814">
        <f t="shared" si="5"/>
        <v>1</v>
      </c>
    </row>
    <row r="40" spans="1:29" ht="15">
      <c r="A40" s="472"/>
      <c r="B40" s="422" t="s">
        <v>2752</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204"/>
      <c r="Q40" s="1813" t="str">
        <f t="shared" si="14"/>
        <v>临街宽度及深度</v>
      </c>
      <c r="R40" s="774" t="s">
        <v>17</v>
      </c>
      <c r="S40" s="775">
        <f t="shared" si="10"/>
        <v>100</v>
      </c>
      <c r="T40" s="774" t="s">
        <v>17</v>
      </c>
      <c r="U40" s="775">
        <f t="shared" si="11"/>
        <v>100</v>
      </c>
      <c r="V40" s="774" t="s">
        <v>17</v>
      </c>
      <c r="W40" s="775">
        <f t="shared" si="12"/>
        <v>100</v>
      </c>
      <c r="X40" s="1816"/>
      <c r="Y40" s="3204"/>
      <c r="Z40" s="1817" t="str">
        <f t="shared" si="13"/>
        <v>临街宽度及深度</v>
      </c>
      <c r="AA40" s="1814">
        <f t="shared" si="3"/>
        <v>1</v>
      </c>
      <c r="AB40" s="1814">
        <f t="shared" si="4"/>
        <v>1</v>
      </c>
      <c r="AC40" s="1814">
        <f t="shared" si="5"/>
        <v>1</v>
      </c>
    </row>
    <row r="41" spans="1:29" s="117" customFormat="1" ht="15">
      <c r="A41" s="473"/>
      <c r="B41" s="422" t="s">
        <v>2753</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204"/>
      <c r="Q41" s="1813" t="str">
        <f t="shared" si="14"/>
        <v>宗地开发程度</v>
      </c>
      <c r="R41" s="770" t="s">
        <v>17</v>
      </c>
      <c r="S41" s="771">
        <f t="shared" si="10"/>
        <v>100</v>
      </c>
      <c r="T41" s="770" t="s">
        <v>17</v>
      </c>
      <c r="U41" s="771">
        <f t="shared" si="11"/>
        <v>100</v>
      </c>
      <c r="V41" s="770" t="s">
        <v>17</v>
      </c>
      <c r="W41" s="771">
        <f t="shared" si="12"/>
        <v>100</v>
      </c>
      <c r="X41" s="772"/>
      <c r="Y41" s="3204"/>
      <c r="Z41" s="55" t="str">
        <f t="shared" si="13"/>
        <v>宗地开发程度</v>
      </c>
      <c r="AA41" s="773">
        <f t="shared" si="3"/>
        <v>1</v>
      </c>
      <c r="AB41" s="773">
        <f t="shared" si="4"/>
        <v>1</v>
      </c>
      <c r="AC41" s="773">
        <f t="shared" si="5"/>
        <v>1</v>
      </c>
    </row>
    <row r="42" spans="1:29" ht="15">
      <c r="A42" s="472"/>
      <c r="B42" s="422" t="s">
        <v>2754</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204" t="s">
        <v>2564</v>
      </c>
      <c r="Q42" s="1813" t="str">
        <f t="shared" si="14"/>
        <v>工程地质条件</v>
      </c>
      <c r="R42" s="774" t="s">
        <v>17</v>
      </c>
      <c r="S42" s="775">
        <f t="shared" si="10"/>
        <v>100</v>
      </c>
      <c r="T42" s="774" t="s">
        <v>17</v>
      </c>
      <c r="U42" s="775">
        <f t="shared" si="11"/>
        <v>100</v>
      </c>
      <c r="V42" s="774" t="s">
        <v>17</v>
      </c>
      <c r="W42" s="775">
        <f t="shared" si="12"/>
        <v>100</v>
      </c>
      <c r="X42" s="1816"/>
      <c r="Y42" s="3204" t="s">
        <v>2564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4"/>
      <c r="Q43" s="1813">
        <f t="shared" si="14"/>
        <v>111</v>
      </c>
      <c r="R43" s="774" t="s">
        <v>17</v>
      </c>
      <c r="S43" s="775">
        <f t="shared" si="10"/>
        <v>100</v>
      </c>
      <c r="T43" s="774" t="s">
        <v>17</v>
      </c>
      <c r="U43" s="775">
        <f t="shared" si="11"/>
        <v>100</v>
      </c>
      <c r="V43" s="774" t="s">
        <v>17</v>
      </c>
      <c r="W43" s="775">
        <f t="shared" si="12"/>
        <v>100</v>
      </c>
      <c r="X43" s="1816"/>
      <c r="Y43" s="320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4"/>
      <c r="Q44" s="1813">
        <f t="shared" si="14"/>
        <v>111</v>
      </c>
      <c r="R44" s="774" t="s">
        <v>17</v>
      </c>
      <c r="S44" s="775">
        <f t="shared" si="10"/>
        <v>100</v>
      </c>
      <c r="T44" s="774" t="s">
        <v>17</v>
      </c>
      <c r="U44" s="775">
        <f t="shared" si="11"/>
        <v>100</v>
      </c>
      <c r="V44" s="774" t="s">
        <v>17</v>
      </c>
      <c r="W44" s="775">
        <f t="shared" si="12"/>
        <v>100</v>
      </c>
      <c r="X44" s="1816"/>
      <c r="Y44" s="3204"/>
      <c r="Z44" s="1817">
        <f t="shared" si="13"/>
        <v>111</v>
      </c>
      <c r="AA44" s="1814">
        <f t="shared" si="3"/>
        <v>1</v>
      </c>
      <c r="AB44" s="1814">
        <f t="shared" si="4"/>
        <v>1</v>
      </c>
      <c r="AC44" s="1814">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4"/>
      <c r="Q45" s="1813">
        <f t="shared" si="14"/>
        <v>111</v>
      </c>
      <c r="R45" s="777" t="s">
        <v>17</v>
      </c>
      <c r="S45" s="778">
        <f t="shared" si="10"/>
        <v>100</v>
      </c>
      <c r="T45" s="777" t="s">
        <v>17</v>
      </c>
      <c r="U45" s="778">
        <f t="shared" si="11"/>
        <v>100</v>
      </c>
      <c r="V45" s="777" t="s">
        <v>17</v>
      </c>
      <c r="W45" s="778">
        <f t="shared" si="12"/>
        <v>100</v>
      </c>
      <c r="X45" s="779"/>
      <c r="Y45" s="3204"/>
      <c r="Z45" s="780">
        <f t="shared" si="13"/>
        <v>111</v>
      </c>
      <c r="AA45" s="1814">
        <f t="shared" si="3"/>
        <v>1</v>
      </c>
      <c r="AB45" s="1814">
        <f t="shared" si="4"/>
        <v>1</v>
      </c>
      <c r="AC45" s="1814">
        <f t="shared" si="5"/>
        <v>1</v>
      </c>
    </row>
    <row r="46" spans="1:29" ht="15">
      <c r="A46" s="479" t="s">
        <v>2719</v>
      </c>
      <c r="B46" s="2708" t="s">
        <v>2755</v>
      </c>
      <c r="C46" s="682" t="s">
        <v>1</v>
      </c>
      <c r="D46" s="481"/>
      <c r="E46" s="482"/>
      <c r="F46" s="483"/>
      <c r="G46" s="484"/>
      <c r="H46" s="485"/>
      <c r="I46" s="482"/>
      <c r="J46" s="485"/>
      <c r="K46" s="783"/>
      <c r="L46" s="1146"/>
      <c r="M46" s="1147"/>
      <c r="N46" s="1134"/>
      <c r="O46" s="1147"/>
      <c r="P46" s="3198" t="str">
        <f>A46</f>
        <v>成交单价</v>
      </c>
      <c r="Q46" s="3198"/>
      <c r="R46" s="3200">
        <f>E46</f>
        <v>0</v>
      </c>
      <c r="S46" s="3200"/>
      <c r="T46" s="3200">
        <f>G46</f>
        <v>0</v>
      </c>
      <c r="U46" s="3200"/>
      <c r="V46" s="3200">
        <f>I46</f>
        <v>0</v>
      </c>
      <c r="W46" s="3200"/>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6"/>
      <c r="M47" s="1147"/>
      <c r="N47" s="1147"/>
      <c r="O47" s="1147"/>
      <c r="P47" s="3198" t="str">
        <f>A47</f>
        <v>比较价值（元/平方米）</v>
      </c>
      <c r="Q47" s="3198"/>
      <c r="R47" s="3199" t="e">
        <f>ROUND(PRODUCT(R46,AA7:AA45),0)</f>
        <v>#DIV/0!</v>
      </c>
      <c r="S47" s="3199"/>
      <c r="T47" s="3199" t="e">
        <f>ROUND(PRODUCT(T46,AB7:AB45),0)</f>
        <v>#DIV/0!</v>
      </c>
      <c r="U47" s="3199"/>
      <c r="V47" s="3199" t="e">
        <f>ROUND(PRODUCT(V46,AC7:AC45),0)</f>
        <v>#DIV/0!</v>
      </c>
      <c r="W47" s="3199"/>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6"/>
      <c r="M48" s="1147"/>
      <c r="N48" s="1147"/>
      <c r="O48" s="1147"/>
      <c r="P48" s="3195" t="str">
        <f>A48</f>
        <v>估价对象XX用房的比较价值（楼面单价，元/平方米）</v>
      </c>
      <c r="Q48" s="3196"/>
      <c r="R48" s="3197" t="e">
        <f>ROUND(AVERAGE(R47:V47),0)</f>
        <v>#DIV/0!</v>
      </c>
      <c r="S48" s="3197"/>
      <c r="T48" s="3197"/>
      <c r="U48" s="3197"/>
      <c r="V48" s="3197"/>
      <c r="W48" s="319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09" t="s">
        <v>2759</v>
      </c>
      <c r="D55" s="2710" t="s">
        <v>2760</v>
      </c>
      <c r="E55" s="686" t="s">
        <v>2761</v>
      </c>
      <c r="F55" s="1110" t="s">
        <v>2762</v>
      </c>
      <c r="G55" s="3208" t="s">
        <v>2763</v>
      </c>
      <c r="H55" s="3222"/>
      <c r="I55" s="144" t="s">
        <v>2764</v>
      </c>
      <c r="J55" s="2711">
        <f>项目基本情况!F35</f>
        <v>0</v>
      </c>
      <c r="K55" s="2712" t="s">
        <v>2765</v>
      </c>
      <c r="L55" s="1109"/>
      <c r="M55" s="1147"/>
      <c r="N55" s="1147"/>
      <c r="O55" s="1147"/>
    </row>
    <row r="56" spans="1:15" s="692" customFormat="1">
      <c r="A56" s="688" t="s">
        <v>2766</v>
      </c>
      <c r="B56" s="689" t="e">
        <f>C48</f>
        <v>#DIV/0!</v>
      </c>
      <c r="C56" s="690">
        <v>1</v>
      </c>
      <c r="D56" s="1166">
        <v>1</v>
      </c>
      <c r="E56" s="690">
        <f>'数据-汇总表'!E8+'数据-汇总表'!E9</f>
        <v>1611</v>
      </c>
      <c r="F56" s="1106" t="e">
        <f t="shared" ref="F56:F65" si="15">ROUND(B56*E56/10000,0)</f>
        <v>#DIV/0!</v>
      </c>
      <c r="G56" s="3223"/>
      <c r="H56" s="3198"/>
      <c r="I56" s="1111">
        <v>1</v>
      </c>
      <c r="J56" s="1114">
        <v>1</v>
      </c>
      <c r="K56" s="1148"/>
      <c r="L56" s="944"/>
      <c r="M56" s="944"/>
      <c r="N56" s="944"/>
      <c r="O56" s="944"/>
    </row>
    <row r="57" spans="1:15" s="692" customFormat="1">
      <c r="A57" s="693" t="s">
        <v>2767</v>
      </c>
      <c r="B57" s="262" t="e">
        <f>ROUND($C$48*C57*D57,0)</f>
        <v>#DIV/0!</v>
      </c>
      <c r="C57" s="200">
        <f t="shared" ref="C57:C65" si="16">IF($C$55="北京市系数",I57,J57)</f>
        <v>0</v>
      </c>
      <c r="D57" s="1167">
        <v>0.25</v>
      </c>
      <c r="E57" s="694"/>
      <c r="F57" s="1106" t="e">
        <f t="shared" si="15"/>
        <v>#DIV/0!</v>
      </c>
      <c r="G57" s="3224" t="s">
        <v>2768</v>
      </c>
      <c r="H57" s="1107">
        <f>项目基本情况!B37</f>
        <v>0</v>
      </c>
      <c r="I57" s="1111">
        <f>SUMIF(修正!A45:A56,H57,修正!B45:B56)</f>
        <v>0</v>
      </c>
      <c r="J57" s="1115"/>
      <c r="K57" s="1147"/>
      <c r="L57" s="944"/>
      <c r="M57" s="944"/>
      <c r="N57" s="944"/>
      <c r="O57" s="944"/>
    </row>
    <row r="58" spans="1:15" s="692" customFormat="1">
      <c r="A58" s="693" t="s">
        <v>2769</v>
      </c>
      <c r="B58" s="262" t="e">
        <f t="shared" ref="B58:B65" si="17">ROUND($C$48*C58*D58,0)</f>
        <v>#DIV/0!</v>
      </c>
      <c r="C58" s="200">
        <f t="shared" si="16"/>
        <v>0</v>
      </c>
      <c r="D58" s="1167">
        <v>0.25</v>
      </c>
      <c r="E58" s="694"/>
      <c r="F58" s="1106" t="e">
        <f t="shared" si="15"/>
        <v>#DIV/0!</v>
      </c>
      <c r="G58" s="3224"/>
      <c r="H58" s="1107">
        <f>项目基本情况!B37</f>
        <v>0</v>
      </c>
      <c r="I58" s="1111">
        <f>SUMIF(修正!A45:A56,H58,修正!C45:C56)</f>
        <v>0</v>
      </c>
      <c r="J58" s="1115"/>
      <c r="K58" s="1148"/>
      <c r="L58" s="944"/>
      <c r="M58" s="944"/>
      <c r="N58" s="944"/>
      <c r="O58" s="944"/>
    </row>
    <row r="59" spans="1:15" s="692" customFormat="1">
      <c r="A59" s="693" t="s">
        <v>2770</v>
      </c>
      <c r="B59" s="262" t="e">
        <f t="shared" si="17"/>
        <v>#DIV/0!</v>
      </c>
      <c r="C59" s="200">
        <f t="shared" si="16"/>
        <v>0</v>
      </c>
      <c r="D59" s="1167">
        <v>0.25</v>
      </c>
      <c r="E59" s="694"/>
      <c r="F59" s="1106" t="e">
        <f t="shared" si="15"/>
        <v>#DIV/0!</v>
      </c>
      <c r="G59" s="3224"/>
      <c r="H59" s="1107">
        <f>项目基本情况!B37</f>
        <v>0</v>
      </c>
      <c r="I59" s="1111">
        <f>SUMIF(修正!A45:A56,H59,修正!D45:D56)</f>
        <v>0</v>
      </c>
      <c r="J59" s="1115"/>
      <c r="K59" s="1147"/>
      <c r="L59" s="944"/>
      <c r="M59" s="944"/>
      <c r="N59" s="944"/>
      <c r="O59" s="944"/>
    </row>
    <row r="60" spans="1:15" s="692" customFormat="1">
      <c r="A60" s="693" t="s">
        <v>2771</v>
      </c>
      <c r="B60" s="262" t="e">
        <f t="shared" si="17"/>
        <v>#DIV/0!</v>
      </c>
      <c r="C60" s="200">
        <f t="shared" si="16"/>
        <v>0</v>
      </c>
      <c r="D60" s="1167">
        <v>0.25</v>
      </c>
      <c r="E60" s="694"/>
      <c r="F60" s="1106" t="e">
        <f t="shared" si="15"/>
        <v>#DIV/0!</v>
      </c>
      <c r="G60" s="3224"/>
      <c r="H60" s="1107">
        <f>项目基本情况!B37</f>
        <v>0</v>
      </c>
      <c r="I60" s="1111">
        <f>SUMIF(修正!A45:A56,H60,修正!E45:E56)</f>
        <v>0</v>
      </c>
      <c r="J60" s="1115"/>
      <c r="K60" s="1148"/>
      <c r="L60" s="944"/>
      <c r="M60" s="944"/>
      <c r="N60" s="944"/>
      <c r="O60" s="944"/>
    </row>
    <row r="61" spans="1:15" s="692" customFormat="1">
      <c r="A61" s="693" t="s">
        <v>2772</v>
      </c>
      <c r="B61" s="262" t="e">
        <f t="shared" si="17"/>
        <v>#DIV/0!</v>
      </c>
      <c r="C61" s="200">
        <f t="shared" si="16"/>
        <v>0</v>
      </c>
      <c r="D61" s="1167">
        <v>0.25</v>
      </c>
      <c r="E61" s="261">
        <f>'数据-汇总表'!E11</f>
        <v>0</v>
      </c>
      <c r="F61" s="1106" t="e">
        <f t="shared" si="15"/>
        <v>#DIV/0!</v>
      </c>
      <c r="G61" s="2713" t="s">
        <v>2773</v>
      </c>
      <c r="H61" s="1107">
        <f>项目基本情况!C37</f>
        <v>0</v>
      </c>
      <c r="I61" s="1111">
        <f>SUMIF(修正!A45:A56,H61,修正!F45:F56)</f>
        <v>0</v>
      </c>
      <c r="J61" s="1115"/>
      <c r="K61" s="1147"/>
      <c r="L61" s="944"/>
      <c r="M61" s="944"/>
      <c r="N61" s="944"/>
      <c r="O61" s="944"/>
    </row>
    <row r="62" spans="1:15" s="692" customFormat="1">
      <c r="A62" s="693" t="s">
        <v>2774</v>
      </c>
      <c r="B62" s="262" t="e">
        <f t="shared" si="17"/>
        <v>#DIV/0!</v>
      </c>
      <c r="C62" s="200">
        <f t="shared" si="16"/>
        <v>0</v>
      </c>
      <c r="D62" s="1167">
        <v>0.25</v>
      </c>
      <c r="E62" s="261">
        <f>'数据-汇总表'!E12</f>
        <v>0</v>
      </c>
      <c r="F62" s="1106" t="e">
        <f t="shared" si="15"/>
        <v>#DIV/0!</v>
      </c>
      <c r="G62" s="1112" t="s">
        <v>2775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2776</v>
      </c>
      <c r="B63" s="262" t="e">
        <f t="shared" si="17"/>
        <v>#DIV/0!</v>
      </c>
      <c r="C63" s="200">
        <f t="shared" si="16"/>
        <v>0</v>
      </c>
      <c r="D63" s="1167">
        <v>0.25</v>
      </c>
      <c r="E63" s="261">
        <f>'数据-汇总表'!E13</f>
        <v>0</v>
      </c>
      <c r="F63" s="1106" t="e">
        <f t="shared" si="15"/>
        <v>#DIV/0!</v>
      </c>
      <c r="G63" s="1112" t="s">
        <v>2777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2778</v>
      </c>
      <c r="B64" s="262" t="e">
        <f t="shared" si="17"/>
        <v>#DIV/0!</v>
      </c>
      <c r="C64" s="200">
        <f t="shared" si="16"/>
        <v>0</v>
      </c>
      <c r="D64" s="1167">
        <v>0.25</v>
      </c>
      <c r="E64" s="261">
        <f>'数据-汇总表'!E14</f>
        <v>0</v>
      </c>
      <c r="F64" s="1106" t="e">
        <f t="shared" si="15"/>
        <v>#DIV/0!</v>
      </c>
      <c r="G64" s="2713" t="s">
        <v>2768</v>
      </c>
      <c r="H64" s="1107">
        <f>项目基本情况!B37</f>
        <v>0</v>
      </c>
      <c r="I64" s="1111">
        <f>SUMIF(修正!A45:A56,H64,修正!H45:H56)</f>
        <v>0</v>
      </c>
      <c r="J64" s="1115"/>
      <c r="K64" s="1148"/>
      <c r="L64" s="944"/>
      <c r="M64" s="944"/>
      <c r="N64" s="944"/>
      <c r="O64" s="944"/>
    </row>
    <row r="65" spans="1:17" s="692" customFormat="1" ht="15" thickBot="1">
      <c r="A65" s="693" t="s">
        <v>2779</v>
      </c>
      <c r="B65" s="262" t="e">
        <f t="shared" si="17"/>
        <v>#DIV/0!</v>
      </c>
      <c r="C65" s="200">
        <f t="shared" si="16"/>
        <v>0</v>
      </c>
      <c r="D65" s="1167">
        <v>0.25</v>
      </c>
      <c r="E65" s="261">
        <f>'数据-汇总表'!E15</f>
        <v>0</v>
      </c>
      <c r="F65" s="1106" t="e">
        <f t="shared" si="15"/>
        <v>#DIV/0!</v>
      </c>
      <c r="G65" s="2714" t="s">
        <v>2773</v>
      </c>
      <c r="H65" s="1117">
        <f>项目基本情况!C37</f>
        <v>0</v>
      </c>
      <c r="I65" s="1113">
        <f>SUMIF(修正!A45:A56,H65,修正!H45:H56)</f>
        <v>0</v>
      </c>
      <c r="J65" s="1116"/>
      <c r="K65" s="1147"/>
      <c r="L65" s="944"/>
      <c r="M65" s="944"/>
      <c r="N65" s="944"/>
      <c r="O65" s="944"/>
    </row>
    <row r="66" spans="1:17" s="692" customFormat="1" ht="13.5" thickBot="1">
      <c r="A66" s="695" t="s">
        <v>2780</v>
      </c>
      <c r="B66" s="696" t="s">
        <v>28</v>
      </c>
      <c r="C66" s="696" t="s">
        <v>29</v>
      </c>
      <c r="D66" s="696" t="s">
        <v>1029</v>
      </c>
      <c r="E66" s="696">
        <f>IF(B46="楼面地价",SUM(E56:E65),'数据-汇总表'!D3)</f>
        <v>1611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5" t="s">
        <v>2781</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6" t="s">
        <v>2782</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2690</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2791</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2793</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2794</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8" priority="14" stopIfTrue="1" operator="containsText" text="超过">
      <formula>NOT(ISERROR(SEARCH("超过",F51)))</formula>
    </cfRule>
  </conditionalFormatting>
  <conditionalFormatting sqref="J53">
    <cfRule type="containsText" dxfId="27" priority="13" stopIfTrue="1" operator="containsText" text="超过">
      <formula>NOT(ISERROR(SEARCH("超过",J53)))</formula>
    </cfRule>
  </conditionalFormatting>
  <conditionalFormatting sqref="H53">
    <cfRule type="containsText" dxfId="26" priority="12" stopIfTrue="1" operator="containsText" text="超过">
      <formula>NOT(ISERROR(SEARCH("超过",H53)))</formula>
    </cfRule>
  </conditionalFormatting>
  <conditionalFormatting sqref="F53">
    <cfRule type="containsText" dxfId="25" priority="11" stopIfTrue="1" operator="containsText" text="超过">
      <formula>NOT(ISERROR(SEARCH("超过",F53)))</formula>
    </cfRule>
  </conditionalFormatting>
  <conditionalFormatting sqref="F52 H52 J52">
    <cfRule type="containsText" dxfId="24" priority="10" stopIfTrue="1" operator="containsText" text="超过">
      <formula>NOT(ISERROR(SEARCH("超过",F52)))</formula>
    </cfRule>
  </conditionalFormatting>
  <conditionalFormatting sqref="E51">
    <cfRule type="expression" dxfId="23" priority="9" stopIfTrue="1">
      <formula>$F$51="超过30%"</formula>
    </cfRule>
  </conditionalFormatting>
  <conditionalFormatting sqref="G53">
    <cfRule type="expression" dxfId="22" priority="8" stopIfTrue="1">
      <formula>$H$53="超过30%"</formula>
    </cfRule>
  </conditionalFormatting>
  <conditionalFormatting sqref="E52">
    <cfRule type="expression" dxfId="21" priority="7" stopIfTrue="1">
      <formula>$F$52="超过20%"</formula>
    </cfRule>
  </conditionalFormatting>
  <conditionalFormatting sqref="E53">
    <cfRule type="expression" dxfId="20" priority="6" stopIfTrue="1">
      <formula>$F$53="超过30%"</formula>
    </cfRule>
  </conditionalFormatting>
  <conditionalFormatting sqref="G51">
    <cfRule type="expression" dxfId="19" priority="5" stopIfTrue="1">
      <formula>$H$53+$H$51="超过30%"</formula>
    </cfRule>
  </conditionalFormatting>
  <conditionalFormatting sqref="G52">
    <cfRule type="expression" dxfId="18" priority="4" stopIfTrue="1">
      <formula>$H$52="超过20%"</formula>
    </cfRule>
  </conditionalFormatting>
  <conditionalFormatting sqref="I51">
    <cfRule type="expression" dxfId="17" priority="3" stopIfTrue="1">
      <formula>$J$51="超过30%"</formula>
    </cfRule>
  </conditionalFormatting>
  <conditionalFormatting sqref="I52">
    <cfRule type="expression" dxfId="16" priority="2" stopIfTrue="1">
      <formula>$J$52="超过20%"</formula>
    </cfRule>
  </conditionalFormatting>
  <conditionalFormatting sqref="I53">
    <cfRule type="expression" dxfId="1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2802</v>
      </c>
      <c r="B1" s="241"/>
      <c r="C1" s="245" t="s">
        <v>2803</v>
      </c>
      <c r="D1" s="388">
        <f>SUM(D29:D30,D33:D39)</f>
        <v>0</v>
      </c>
      <c r="E1" s="2721"/>
      <c r="F1" s="2721"/>
      <c r="G1" s="2721"/>
      <c r="H1" s="2721"/>
      <c r="I1" s="2721"/>
      <c r="J1" s="2721"/>
      <c r="K1" s="1373"/>
      <c r="L1" s="2722" t="s">
        <v>2804</v>
      </c>
      <c r="M1" s="1083">
        <f>SUMPRODUCT((区片价!B5:B9=I2)*(区片价!C3:F3=E2)*(区片价!C5:F9))</f>
        <v>0</v>
      </c>
      <c r="N1" s="1086">
        <f>SUMPRODUCT((因素修正幅度!B5:B9=I2)*(因素修正幅度!C3:F3=E2)*(因素修正幅度!C5:F9))</f>
        <v>0</v>
      </c>
      <c r="O1" s="2723"/>
      <c r="P1" s="2723"/>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t="e">
        <f>C26</f>
        <v>#DIV/0!</v>
      </c>
      <c r="C2" s="2725" t="s">
        <v>2811</v>
      </c>
      <c r="D2" s="2726" t="s">
        <v>2812</v>
      </c>
      <c r="E2" s="2727"/>
      <c r="F2" s="2726" t="s">
        <v>2813</v>
      </c>
      <c r="G2" s="2728">
        <f>IF(E2="商业",项目基本情况!B37,IF(E2="办公",项目基本情况!C37,IF(E2="住宅",项目基本情况!D37,项目基本情况!E37)))</f>
        <v>0</v>
      </c>
      <c r="H2" s="2726" t="s">
        <v>2814</v>
      </c>
      <c r="I2" s="2728">
        <f>IF(E2="商业",项目基本情况!B38,IF(E2="办公",项目基本情况!C38,IF(E2="住宅",项目基本情况!D38,项目基本情况!E38)))</f>
        <v>0</v>
      </c>
      <c r="J2" s="2729"/>
      <c r="K2" s="1373"/>
      <c r="L2" s="2730"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2816</v>
      </c>
      <c r="B3" s="248" t="e">
        <f>ROUND(B2*10000/D1,0)</f>
        <v>#DIV/0!</v>
      </c>
      <c r="C3" s="2725" t="s">
        <v>2817</v>
      </c>
      <c r="D3" s="2726" t="s">
        <v>2818</v>
      </c>
      <c r="E3" s="2731"/>
      <c r="F3" s="2732" t="s">
        <v>2819</v>
      </c>
      <c r="G3" s="916">
        <f>IF(F3="宗地容积率",'数据-汇总表'!I4,IF(F3="估价对象容积率",'数据-汇总表'!I6,'数据-汇总表'!I7))</f>
        <v>0.99</v>
      </c>
      <c r="H3" s="198" t="s">
        <v>2820</v>
      </c>
      <c r="I3" s="947"/>
      <c r="J3" s="2729" t="s">
        <v>2821</v>
      </c>
      <c r="K3" s="1373"/>
      <c r="L3" s="2730"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08"/>
      <c r="B4" s="3309"/>
      <c r="C4" s="3309"/>
      <c r="D4" s="3310"/>
      <c r="E4" s="3310"/>
      <c r="F4" s="3310"/>
      <c r="G4" s="3310"/>
      <c r="H4" s="3310"/>
      <c r="I4" s="3310"/>
      <c r="J4" s="3311"/>
      <c r="K4" s="1373"/>
      <c r="L4" s="2730"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2824</v>
      </c>
      <c r="C5" s="917" t="e">
        <f>ROUND(IF(E2="商业",IF(F16="增加",C6*C7+C16,C6*C7-C16),IF(E2="住宅",IF(F16="增加",C6*C12+C16,C6*C12-C16),IF(F16="增加",C6+C16,C6-C16))),0)</f>
        <v>#DIV/0!</v>
      </c>
      <c r="D5" s="1790">
        <f>ROUND(IF(E2="商业",IF(F16="增加",C6+C16,C6-C16)),0)</f>
        <v>0</v>
      </c>
      <c r="E5" s="2735"/>
      <c r="F5" s="2735"/>
      <c r="G5" s="2736"/>
      <c r="H5" s="2736"/>
      <c r="I5" s="2736"/>
      <c r="J5" s="2737"/>
      <c r="K5" s="2738"/>
      <c r="L5" s="2730"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9"/>
      <c r="AD5" s="2740"/>
      <c r="AE5" s="2740"/>
      <c r="AF5" s="2740"/>
      <c r="AG5" s="2740"/>
      <c r="AH5" s="2740"/>
      <c r="AI5" s="2740"/>
      <c r="AJ5" s="2741"/>
    </row>
    <row r="6" spans="1:36" ht="15.75" thickBot="1">
      <c r="A6" s="2743" t="s">
        <v>2826</v>
      </c>
      <c r="B6" s="2744" t="s">
        <v>2827</v>
      </c>
      <c r="C6" s="918">
        <f>SUMIF(L1:L12,G2,M1:M12)</f>
        <v>0</v>
      </c>
      <c r="D6" s="2745" t="s">
        <v>2828</v>
      </c>
      <c r="E6" s="2746"/>
      <c r="F6" s="2746"/>
      <c r="G6" s="2747"/>
      <c r="H6" s="2747"/>
      <c r="I6" s="2747"/>
      <c r="J6" s="2748"/>
      <c r="K6" s="1845"/>
      <c r="L6" s="2730"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9"/>
      <c r="AD6" s="2740"/>
      <c r="AE6" s="2740"/>
      <c r="AF6" s="2740"/>
      <c r="AG6" s="2740"/>
      <c r="AH6" s="2740"/>
      <c r="AI6" s="2740"/>
      <c r="AJ6" s="2741"/>
    </row>
    <row r="7" spans="1:36" ht="24">
      <c r="A7" s="3294" t="str">
        <f>IF(E2="商业",IF(C8="不临58条商业街","",2),"")</f>
        <v/>
      </c>
      <c r="B7" s="2749" t="s">
        <v>2830</v>
      </c>
      <c r="C7" s="919" t="e">
        <f>IF(C8="不临58条商业街",1,ROUND(1+(1.6*E8+1.2*E9+0.8*E10+0.4*E11)*C9,4))</f>
        <v>#DIV/0!</v>
      </c>
      <c r="D7" s="2750" t="s">
        <v>2831</v>
      </c>
      <c r="E7" s="948"/>
      <c r="F7" s="2751"/>
      <c r="G7" s="2752"/>
      <c r="H7" s="2752"/>
      <c r="I7" s="2752"/>
      <c r="J7" s="2753"/>
      <c r="K7" s="1845"/>
      <c r="L7" s="2730"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2833</v>
      </c>
      <c r="X7" s="1607">
        <f>G2</f>
        <v>0</v>
      </c>
      <c r="Y7" s="1607" t="s">
        <v>2834</v>
      </c>
      <c r="Z7" s="1608">
        <f>G3</f>
        <v>0.99</v>
      </c>
      <c r="AA7" s="1609"/>
      <c r="AB7" s="1609"/>
      <c r="AC7" s="1610"/>
      <c r="AD7" s="1611"/>
      <c r="AE7" s="1611"/>
      <c r="AF7" s="1611"/>
      <c r="AG7" s="1611"/>
      <c r="AH7" s="1611"/>
      <c r="AI7" s="1611"/>
      <c r="AJ7" s="1612"/>
    </row>
    <row r="8" spans="1:36" ht="15">
      <c r="A8" s="3295"/>
      <c r="B8" s="198" t="s">
        <v>2835</v>
      </c>
      <c r="C8" s="2754"/>
      <c r="D8" s="920" t="s">
        <v>139</v>
      </c>
      <c r="E8" s="921" t="e">
        <f>ROUND(C11/E7,4)</f>
        <v>#DIV/0!</v>
      </c>
      <c r="F8" s="2755" t="s">
        <v>2836</v>
      </c>
      <c r="G8" s="2756"/>
      <c r="H8" s="2756"/>
      <c r="I8" s="2756"/>
      <c r="J8" s="2757"/>
      <c r="K8" s="1373"/>
      <c r="L8" s="2730"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05" t="s">
        <v>2838</v>
      </c>
      <c r="X8" s="3306"/>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95"/>
      <c r="B9" s="198" t="s">
        <v>2851</v>
      </c>
      <c r="C9" s="922">
        <f>SUMIF(修正!C59:C119,C8,修正!E59:E119)</f>
        <v>0</v>
      </c>
      <c r="D9" s="200" t="s">
        <v>140</v>
      </c>
      <c r="E9" s="200" t="e">
        <f>ROUND(C11/E7,4)</f>
        <v>#DIV/0!</v>
      </c>
      <c r="F9" s="2755" t="s">
        <v>2852</v>
      </c>
      <c r="G9" s="2756"/>
      <c r="H9" s="2756"/>
      <c r="I9" s="2756"/>
      <c r="J9" s="2757"/>
      <c r="K9" s="1373"/>
      <c r="L9" s="2730"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07"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95"/>
      <c r="B10" s="198" t="s">
        <v>2856</v>
      </c>
      <c r="C10" s="200">
        <f>SUMIF(修正!C59:C119,C8,修正!F59:F119)</f>
        <v>0</v>
      </c>
      <c r="D10" s="200" t="s">
        <v>141</v>
      </c>
      <c r="E10" s="200" t="e">
        <f>ROUND(C11/E7,4)</f>
        <v>#DIV/0!</v>
      </c>
      <c r="F10" s="2755" t="s">
        <v>2857</v>
      </c>
      <c r="G10" s="2756"/>
      <c r="H10" s="2756"/>
      <c r="I10" s="2756"/>
      <c r="J10" s="2757"/>
      <c r="K10" s="1373"/>
      <c r="L10" s="2730"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0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95"/>
      <c r="B11" s="2758" t="s">
        <v>2859</v>
      </c>
      <c r="C11" s="923">
        <f>C10/4</f>
        <v>0</v>
      </c>
      <c r="D11" s="923" t="s">
        <v>142</v>
      </c>
      <c r="E11" s="923" t="e">
        <f>ROUND(C11/E7,4)</f>
        <v>#DIV/0!</v>
      </c>
      <c r="F11" s="2759" t="s">
        <v>2860</v>
      </c>
      <c r="G11" s="2760"/>
      <c r="H11" s="2760"/>
      <c r="I11" s="2760"/>
      <c r="J11" s="2761"/>
      <c r="K11" s="1373"/>
      <c r="L11" s="2730"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07" t="s">
        <v>2862</v>
      </c>
      <c r="X11" s="1617" t="s">
        <v>2863</v>
      </c>
      <c r="Y11" s="1618">
        <f>$G$3</f>
        <v>0.99</v>
      </c>
      <c r="Z11" s="1618">
        <f t="shared" ref="Z11:AJ11" si="3">$G$3</f>
        <v>0.99</v>
      </c>
      <c r="AA11" s="1618">
        <f t="shared" si="3"/>
        <v>0.99</v>
      </c>
      <c r="AB11" s="1618">
        <f t="shared" si="3"/>
        <v>0.99</v>
      </c>
      <c r="AC11" s="1618">
        <f t="shared" si="3"/>
        <v>0.99</v>
      </c>
      <c r="AD11" s="1618">
        <f t="shared" si="3"/>
        <v>0.99</v>
      </c>
      <c r="AE11" s="1618">
        <f t="shared" si="3"/>
        <v>0.99</v>
      </c>
      <c r="AF11" s="1618">
        <f t="shared" si="3"/>
        <v>0.99</v>
      </c>
      <c r="AG11" s="1618">
        <f t="shared" si="3"/>
        <v>0.99</v>
      </c>
      <c r="AH11" s="1618">
        <f t="shared" si="3"/>
        <v>0.99</v>
      </c>
      <c r="AI11" s="1618">
        <f t="shared" si="3"/>
        <v>0.99</v>
      </c>
      <c r="AJ11" s="1618">
        <f t="shared" si="3"/>
        <v>0.99</v>
      </c>
    </row>
    <row r="12" spans="1:36" ht="25.5" thickBot="1">
      <c r="A12" s="3294" t="s">
        <v>2864</v>
      </c>
      <c r="B12" s="2762" t="s">
        <v>2865</v>
      </c>
      <c r="C12" s="919">
        <f>ROUND(C15*D15*E15*F15*G15*H15*I15*J15,4)</f>
        <v>1</v>
      </c>
      <c r="D12" s="2763" t="s">
        <v>2866</v>
      </c>
      <c r="E12" s="2764"/>
      <c r="F12" s="2764"/>
      <c r="G12" s="2765"/>
      <c r="H12" s="2765"/>
      <c r="I12" s="2765"/>
      <c r="J12" s="2766"/>
      <c r="K12" s="1373"/>
      <c r="L12" s="2767"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07"/>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12"/>
      <c r="B13" s="2768" t="s">
        <v>2869</v>
      </c>
      <c r="C13" s="2769" t="s">
        <v>2870</v>
      </c>
      <c r="D13" s="1811" t="s">
        <v>2871</v>
      </c>
      <c r="E13" s="1811" t="s">
        <v>2872</v>
      </c>
      <c r="F13" s="30" t="s">
        <v>2873</v>
      </c>
      <c r="G13" s="2770" t="s">
        <v>2874</v>
      </c>
      <c r="H13" s="2770" t="s">
        <v>2874</v>
      </c>
      <c r="I13" s="2770" t="s">
        <v>2874</v>
      </c>
      <c r="J13" s="2771" t="s">
        <v>2874</v>
      </c>
      <c r="K13" s="1373"/>
      <c r="L13" s="1373"/>
      <c r="M13" s="1373"/>
      <c r="N13" s="1373"/>
      <c r="O13" s="1373"/>
      <c r="P13" s="1373"/>
      <c r="Q13" s="1373"/>
      <c r="R13" s="1605">
        <v>12</v>
      </c>
      <c r="S13" s="1606"/>
      <c r="T13" s="1605" t="e">
        <f t="shared" si="0"/>
        <v>#DIV/0!</v>
      </c>
      <c r="U13" s="1606"/>
      <c r="V13" s="1605" t="e">
        <f t="shared" si="1"/>
        <v>#DIV/0!</v>
      </c>
      <c r="W13" s="3307"/>
      <c r="X13" s="1619"/>
      <c r="Y13" s="1616">
        <f>(-0.163*(Y12^2)-0.59*Y12+7617)*(10^(-4))/Y11</f>
        <v>0.76939393939393941</v>
      </c>
      <c r="Z13" s="1616">
        <f t="shared" ref="Z13:AJ13" si="5">(-0.163*(Z12^2)-0.59*Z12+7617)*(10^(-4))/Z11</f>
        <v>0.76939393939393941</v>
      </c>
      <c r="AA13" s="1616">
        <f t="shared" si="5"/>
        <v>0.76939393939393941</v>
      </c>
      <c r="AB13" s="1616">
        <f t="shared" si="5"/>
        <v>0.76939393939393941</v>
      </c>
      <c r="AC13" s="1616">
        <f t="shared" si="5"/>
        <v>0.76939393939393941</v>
      </c>
      <c r="AD13" s="1616">
        <f t="shared" si="5"/>
        <v>0.76939393939393941</v>
      </c>
      <c r="AE13" s="1616">
        <f t="shared" si="5"/>
        <v>0.76939393939393941</v>
      </c>
      <c r="AF13" s="1616">
        <f t="shared" si="5"/>
        <v>0.76939393939393941</v>
      </c>
      <c r="AG13" s="1616">
        <f t="shared" si="5"/>
        <v>0.76939393939393941</v>
      </c>
      <c r="AH13" s="1616">
        <f t="shared" si="5"/>
        <v>0.76939393939393941</v>
      </c>
      <c r="AI13" s="1616">
        <f t="shared" si="5"/>
        <v>0.76939393939393941</v>
      </c>
      <c r="AJ13" s="1616">
        <f t="shared" si="5"/>
        <v>0.76939393939393941</v>
      </c>
    </row>
    <row r="14" spans="1:36" ht="15">
      <c r="A14" s="3312"/>
      <c r="B14" s="2772"/>
      <c r="C14" s="2773"/>
      <c r="D14" s="2774"/>
      <c r="E14" s="2774"/>
      <c r="F14" s="2775"/>
      <c r="G14" s="2776" t="s">
        <v>2875</v>
      </c>
      <c r="H14" s="2777"/>
      <c r="I14" s="2778"/>
      <c r="J14" s="2779"/>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13"/>
      <c r="B15" s="2780" t="s">
        <v>2876</v>
      </c>
      <c r="C15" s="229">
        <f>IF(C14="有",1.1,1)</f>
        <v>1</v>
      </c>
      <c r="D15" s="229">
        <f>IF(D14="有",1.1,1)</f>
        <v>1</v>
      </c>
      <c r="E15" s="229">
        <f>IF(E14="有",1.1,1)</f>
        <v>1</v>
      </c>
      <c r="F15" s="229">
        <f>IF(F14="500米范围内",1.2,IF(F14="500-1000米",1.1,1))</f>
        <v>1</v>
      </c>
      <c r="G15" s="949">
        <v>1</v>
      </c>
      <c r="H15" s="949">
        <v>1</v>
      </c>
      <c r="I15" s="949">
        <v>1</v>
      </c>
      <c r="J15" s="950">
        <v>1</v>
      </c>
      <c r="K15" s="1373"/>
      <c r="L15" s="2781" t="s">
        <v>2812</v>
      </c>
      <c r="M15" s="920" t="s">
        <v>2877</v>
      </c>
      <c r="N15" s="920" t="s">
        <v>2878</v>
      </c>
      <c r="O15" s="920" t="s">
        <v>2879</v>
      </c>
      <c r="P15" s="2782" t="s">
        <v>2880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94" t="s">
        <v>2881</v>
      </c>
      <c r="B16" s="2749" t="s">
        <v>2882</v>
      </c>
      <c r="C16" s="1804" t="e">
        <f>ROUND(SUM(G17:J17)/C17,0)</f>
        <v>#DIV/0!</v>
      </c>
      <c r="D16" s="2783" t="s">
        <v>2883</v>
      </c>
      <c r="E16" s="2784"/>
      <c r="F16" s="2785"/>
      <c r="G16" s="2786"/>
      <c r="H16" s="2786"/>
      <c r="I16" s="2786"/>
      <c r="J16" s="2787"/>
      <c r="K16" s="1373"/>
      <c r="L16" s="2788" t="s">
        <v>2884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95"/>
      <c r="B17" s="2789" t="s">
        <v>2885</v>
      </c>
      <c r="C17" s="924">
        <f>SUMPRODUCT((修正!A2:A5=E2)*(修正!B1:M1=G2)*(修正!B2:M5))</f>
        <v>0</v>
      </c>
      <c r="D17" s="2790"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2889</v>
      </c>
      <c r="C18" s="926">
        <f>SUMIF(修正!C18:C39,E3,修正!E18:E39)</f>
        <v>0</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7.75" thickBot="1">
      <c r="A19" s="2793" t="s">
        <v>809</v>
      </c>
      <c r="B19" s="2794" t="s">
        <v>2890</v>
      </c>
      <c r="C19" s="927" t="e">
        <f>ROUND(IF(H19="按公示增长率计算",SUMPRODUCT((地价!A3:A23=YEAR(G19)&amp;"-"&amp;ROUNDUP(MONTH(G19)/3,0))*(地价!X2:AB2=E2)*(地价!X3:AB23)),IF(H19="地价指数",M20/M19,(1+I19)^O19)),4)</f>
        <v>#DIV/0!</v>
      </c>
      <c r="D19" s="2801" t="s">
        <v>2891</v>
      </c>
      <c r="E19" s="928">
        <v>41640</v>
      </c>
      <c r="F19" s="2801" t="s">
        <v>2892</v>
      </c>
      <c r="G19" s="929">
        <f>'数据-取费表'!B2</f>
        <v>43307</v>
      </c>
      <c r="H19" s="2802" t="s">
        <v>2893</v>
      </c>
      <c r="I19" s="930" t="str">
        <f>IF(H19="季度增幅（自定义）",SUMIF(N21:N24,E2,O21:O24),"")</f>
        <v/>
      </c>
      <c r="J19" s="2799"/>
      <c r="K19" s="1380"/>
      <c r="L19" s="2803" t="s">
        <v>2894</v>
      </c>
      <c r="M19" s="1737">
        <f>ROUND(SUMIF(地价!B2:F2,E2,地价!B23:F23),0)</f>
        <v>0</v>
      </c>
      <c r="N19" s="2804" t="s">
        <v>2895</v>
      </c>
      <c r="O19" s="931">
        <f>ROUNDDOWN(DATEDIF(E19,G19,"M")/3,0)</f>
        <v>18</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2896</v>
      </c>
      <c r="C20" s="932" t="e">
        <f>ROUND(POWER(1+G20,J20-I20)*(POWER(1+G20,I20)-1)/(POWER(1+G20,J20)-1),4)</f>
        <v>#DIV/0!</v>
      </c>
      <c r="D20" s="2810" t="s">
        <v>2897</v>
      </c>
      <c r="E20" s="1771">
        <f ca="1">存贷款利率!D4/100</f>
        <v>4.3499999999999997E-2</v>
      </c>
      <c r="F20" s="2810" t="s">
        <v>2888</v>
      </c>
      <c r="G20" s="937">
        <f>SUMIF(M15:P15,E2,M17:P17)</f>
        <v>0</v>
      </c>
      <c r="H20" s="2810" t="s">
        <v>2898</v>
      </c>
      <c r="I20" s="938" t="e">
        <f>SUMIF('数据-取费表'!C6:C15,E2,'数据-取费表'!F6:F15)/COUNTIF('数据-取费表'!C6:C15,E2)</f>
        <v>#DIV/0!</v>
      </c>
      <c r="J20" s="939">
        <f>IF(E2="住宅",70,IF(E2="商业",40,50))</f>
        <v>50</v>
      </c>
      <c r="K20" s="1380"/>
      <c r="L20" s="2811" t="s">
        <v>2899</v>
      </c>
      <c r="M20" s="1738">
        <f>ROUND(SUMPRODUCT((地价!A4:A23=YEAR(G19)&amp;"-"&amp;ROUNDUP(MONTH(G19)/3,0))*(地价!B2:F2=E2)*(地价!B4:F23)),0)</f>
        <v>0</v>
      </c>
      <c r="N20" s="2812" t="s">
        <v>2900</v>
      </c>
      <c r="O20" s="2813" t="s">
        <v>2901</v>
      </c>
      <c r="P20" s="2814" t="s">
        <v>2902</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2903</v>
      </c>
      <c r="C21" s="940">
        <f>IF(B21="容积率修正",IF(G3&lt;=10,D22,J22),C23)</f>
        <v>0</v>
      </c>
      <c r="D21" s="2817"/>
      <c r="E21" s="2817"/>
      <c r="F21" s="2817"/>
      <c r="G21" s="2817"/>
      <c r="H21" s="2817"/>
      <c r="I21" s="2817"/>
      <c r="J21" s="2818"/>
      <c r="K21" s="1380"/>
      <c r="N21" s="2819" t="s">
        <v>2904</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2" customFormat="1" ht="14.25">
      <c r="A22" s="2668" t="s">
        <v>2905</v>
      </c>
      <c r="B22" s="2820" t="s">
        <v>2906</v>
      </c>
      <c r="C22" s="1813" t="s">
        <v>2907</v>
      </c>
      <c r="D22" s="1813">
        <f>IF(E22=G22,F22,IF(G3&lt;=10,ROUND(F22+(H22-F22)*(G3-E22)/(G22-E22),4),"——"))</f>
        <v>0</v>
      </c>
      <c r="E22" s="916">
        <f>ROUNDDOWN(G3,1)</f>
        <v>0.9</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9" t="s">
        <v>2908</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8" t="s">
        <v>2909</v>
      </c>
      <c r="B23" s="2821" t="s">
        <v>2910</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2911</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2912</v>
      </c>
      <c r="C24" s="927">
        <f>SUMIF(A45:A88,E2,B45:B88)</f>
        <v>0</v>
      </c>
      <c r="D24" s="2797"/>
      <c r="E24" s="2827"/>
      <c r="F24" s="2827"/>
      <c r="G24" s="2827"/>
      <c r="H24" s="2827"/>
      <c r="I24" s="2827"/>
      <c r="J24" s="2828"/>
      <c r="K24" s="1380"/>
      <c r="N24" s="2829" t="s">
        <v>2913</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2914</v>
      </c>
      <c r="C25" s="933"/>
      <c r="D25" s="2752"/>
      <c r="E25" s="2752"/>
      <c r="F25" s="2831"/>
      <c r="G25" s="2752"/>
      <c r="H25" s="2752"/>
      <c r="I25" s="2752"/>
      <c r="J25" s="2753"/>
      <c r="K25" s="1373"/>
      <c r="N25" s="2832" t="s">
        <v>2915</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3"/>
      <c r="B26" s="2820" t="s">
        <v>2916</v>
      </c>
      <c r="C26" s="206" t="e">
        <f>E29+SUM(E33:E39)</f>
        <v>#DIV/0!</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2917</v>
      </c>
      <c r="C27" s="934" t="e">
        <f>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2918</v>
      </c>
      <c r="C28" s="2844" t="s">
        <v>2919</v>
      </c>
      <c r="D28" s="2844" t="s">
        <v>2920</v>
      </c>
      <c r="E28" s="2845" t="s">
        <v>2921</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2922</v>
      </c>
      <c r="C29" s="206" t="e">
        <f>ROUND(C5*C18*C19*C20*C21*C24,0)</f>
        <v>#DIV/0!</v>
      </c>
      <c r="D29" s="2849"/>
      <c r="E29" s="945" t="e">
        <f>ROUND(C29*D29/10000,0)</f>
        <v>#DIV/0!</v>
      </c>
      <c r="F29" s="2850" t="s">
        <v>2923</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2924</v>
      </c>
      <c r="C30" s="229" t="e">
        <f>ROUND(IF(E2="工业",C29*M39,C29*M38),0)</f>
        <v>#DIV/0!</v>
      </c>
      <c r="D30" s="2855"/>
      <c r="E30" s="945" t="e">
        <f>ROUND(C30*D30/10000,0)</f>
        <v>#DIV/0!</v>
      </c>
      <c r="F30" s="2856" t="s">
        <v>2925</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2926</v>
      </c>
      <c r="C31" s="2861" t="s">
        <v>2927</v>
      </c>
      <c r="D31" s="2765"/>
      <c r="E31" s="2861"/>
      <c r="F31" s="2861"/>
      <c r="G31" s="2763" t="s">
        <v>2928</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2919</v>
      </c>
      <c r="D32" s="498" t="s">
        <v>2920</v>
      </c>
      <c r="E32" s="498" t="s">
        <v>2921</v>
      </c>
      <c r="F32" s="388" t="s">
        <v>2929</v>
      </c>
      <c r="G32" s="2864" t="s">
        <v>2919</v>
      </c>
      <c r="H32" s="2864" t="s">
        <v>2920</v>
      </c>
      <c r="I32" s="2864"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302" t="s">
        <v>2930</v>
      </c>
      <c r="B33" s="2865" t="s">
        <v>2931</v>
      </c>
      <c r="C33" s="206" t="e">
        <f>ROUND(D5*C19*C20*C24*F33,0)</f>
        <v>#DIV/0!</v>
      </c>
      <c r="D33" s="2849"/>
      <c r="E33" s="200" t="e">
        <f>ROUND(C33*D33/10000,0)</f>
        <v>#DIV/0!</v>
      </c>
      <c r="F33" s="200">
        <f>SUMIF(修正!A45:A56,G2,修正!B45:B56)</f>
        <v>0</v>
      </c>
      <c r="G33" s="200" t="e">
        <f t="shared" ref="G33" si="6">ROUND(IF(E2="工业",C33*$M$39,C33*$M$38),0)</f>
        <v>#DIV/0!</v>
      </c>
      <c r="H33" s="200">
        <f>D33</f>
        <v>0</v>
      </c>
      <c r="I33" s="200" t="e">
        <f>ROUND(G33*H33/10000,0)</f>
        <v>#DIV/0!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03"/>
      <c r="B34" s="2769" t="s">
        <v>2932</v>
      </c>
      <c r="C34" s="206" t="e">
        <f>ROUND(D5*C19*C20*C24*F34,0)</f>
        <v>#DIV/0!</v>
      </c>
      <c r="D34" s="284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03"/>
      <c r="B35" s="2769" t="s">
        <v>2933</v>
      </c>
      <c r="C35" s="206" t="e">
        <f>ROUND(D5*C19*C20*C24*F35,0)</f>
        <v>#DIV/0!</v>
      </c>
      <c r="D35" s="2849"/>
      <c r="E35" s="200" t="e">
        <f t="shared" si="7"/>
        <v>#DIV/0!</v>
      </c>
      <c r="F35" s="200">
        <f>SUMIF(修正!A45:A56,G2,修正!D45:D56)</f>
        <v>0</v>
      </c>
      <c r="G35" s="200" t="e">
        <f>ROUND(IF(E2="工业",C35*$M$39,C35*$M$38),0)</f>
        <v>#DIV/0!</v>
      </c>
      <c r="H35" s="200">
        <f t="shared" si="8"/>
        <v>0</v>
      </c>
      <c r="I35" s="200" t="e">
        <f t="shared" si="9"/>
        <v>#DIV/0!</v>
      </c>
      <c r="J35" s="2866"/>
      <c r="K35" s="1373"/>
      <c r="L35" s="1373"/>
      <c r="M35" s="1373"/>
      <c r="N35" s="1373"/>
      <c r="O35" s="1373"/>
      <c r="P35" s="1373"/>
      <c r="Q35" s="1373"/>
      <c r="R35" s="1373"/>
      <c r="S35" s="1373"/>
      <c r="T35" s="1373"/>
      <c r="U35" s="1373"/>
      <c r="V35" s="1373"/>
      <c r="W35" s="1373"/>
      <c r="X35" s="1373"/>
      <c r="Y35" s="1373"/>
      <c r="Z35" s="1374"/>
    </row>
    <row r="36" spans="1:37" ht="13.5" thickBot="1">
      <c r="A36" s="3304"/>
      <c r="B36" s="2769" t="s">
        <v>2934</v>
      </c>
      <c r="C36" s="206" t="e">
        <f>ROUND(D5*C19*C20*C24*F36,0)</f>
        <v>#DIV/0!</v>
      </c>
      <c r="D36" s="2849"/>
      <c r="E36" s="200" t="e">
        <f t="shared" si="7"/>
        <v>#DIV/0!</v>
      </c>
      <c r="F36" s="200">
        <f>SUMIF(修正!A45:A56,G2,修正!E45:E56)</f>
        <v>0</v>
      </c>
      <c r="G36" s="200" t="e">
        <f>ROUND(IF(E2="工业",C36*$M$39,C36*$M$38),0)</f>
        <v>#DIV/0!</v>
      </c>
      <c r="H36" s="200">
        <f t="shared" si="8"/>
        <v>0</v>
      </c>
      <c r="I36" s="200" t="e">
        <f t="shared" si="9"/>
        <v>#DIV/0!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2935</v>
      </c>
      <c r="C37" s="200" t="e">
        <f>ROUND(C5*C19*C20*C24*F37,0)</f>
        <v>#DIV/0!</v>
      </c>
      <c r="D37" s="2849"/>
      <c r="E37" s="200" t="e">
        <f t="shared" si="7"/>
        <v>#DIV/0!</v>
      </c>
      <c r="F37" s="206">
        <f>SUMIF(修正!A45:A56,G2,修正!F45:F56)</f>
        <v>0</v>
      </c>
      <c r="G37" s="200" t="e">
        <f>ROUND(IF(E2="工业",C37*$M$39,C37*$M$38),0)</f>
        <v>#DIV/0!</v>
      </c>
      <c r="H37" s="200">
        <f t="shared" si="8"/>
        <v>0</v>
      </c>
      <c r="I37" s="200" t="e">
        <f t="shared" si="9"/>
        <v>#DIV/0!</v>
      </c>
      <c r="J37" s="2866"/>
      <c r="K37" s="1373"/>
      <c r="L37" s="2868" t="s">
        <v>2936</v>
      </c>
      <c r="M37" s="2869"/>
      <c r="N37" s="1373"/>
      <c r="O37" s="1373"/>
      <c r="P37" s="1373"/>
      <c r="Q37" s="1373"/>
      <c r="R37" s="1373"/>
      <c r="S37" s="1373"/>
      <c r="T37" s="1373"/>
      <c r="U37" s="1373"/>
      <c r="V37" s="1373"/>
      <c r="W37" s="1373"/>
      <c r="X37" s="1373"/>
      <c r="Y37" s="1373"/>
      <c r="Z37" s="1374"/>
    </row>
    <row r="38" spans="1:37">
      <c r="A38" s="2867"/>
      <c r="B38" s="2769" t="s">
        <v>2937</v>
      </c>
      <c r="C38" s="200" t="e">
        <f>ROUND(C5*C19*C20*C24*F38,0)</f>
        <v>#DIV/0!</v>
      </c>
      <c r="D38" s="2849"/>
      <c r="E38" s="200" t="e">
        <f t="shared" si="7"/>
        <v>#DIV/0!</v>
      </c>
      <c r="F38" s="206">
        <f>SUMIF(修正!A45:A56,G2,修正!G45:G56)</f>
        <v>0</v>
      </c>
      <c r="G38" s="200" t="e">
        <f>ROUND(IF(E2="工业",C38*$M$39,C38*$M$38),0)</f>
        <v>#DIV/0!</v>
      </c>
      <c r="H38" s="200">
        <f t="shared" si="8"/>
        <v>0</v>
      </c>
      <c r="I38" s="200" t="e">
        <f t="shared" si="9"/>
        <v>#DIV/0!</v>
      </c>
      <c r="J38" s="2866"/>
      <c r="K38" s="1373"/>
      <c r="L38" s="1890" t="s">
        <v>2938</v>
      </c>
      <c r="M38" s="2870">
        <v>0.25</v>
      </c>
      <c r="N38" s="1373"/>
      <c r="O38" s="1373"/>
      <c r="P38" s="1373"/>
      <c r="Q38" s="1373"/>
      <c r="R38" s="1373"/>
      <c r="S38" s="1373"/>
      <c r="T38" s="1373"/>
      <c r="U38" s="1373"/>
      <c r="V38" s="1373"/>
      <c r="W38" s="1373"/>
      <c r="X38" s="1373"/>
      <c r="Y38" s="1373"/>
      <c r="Z38" s="1374"/>
    </row>
    <row r="39" spans="1:37" ht="13.5" thickBot="1">
      <c r="A39" s="2853"/>
      <c r="B39" s="2871" t="s">
        <v>2939</v>
      </c>
      <c r="C39" s="229" t="e">
        <f>ROUND(C5*C19*C20*C24*F39,0)</f>
        <v>#DIV/0!</v>
      </c>
      <c r="D39" s="2855"/>
      <c r="E39" s="229" t="e">
        <f t="shared" si="7"/>
        <v>#DIV/0!</v>
      </c>
      <c r="F39" s="935">
        <f>SUMIF(修正!A45:A56,G2,修正!H45:H56)</f>
        <v>0</v>
      </c>
      <c r="G39" s="229" t="e">
        <f>ROUND(IF(E2="工业",C39*$M$39,C39*$M$38),0)</f>
        <v>#DIV/0!</v>
      </c>
      <c r="H39" s="229">
        <f t="shared" si="8"/>
        <v>0</v>
      </c>
      <c r="I39" s="229" t="e">
        <f t="shared" si="9"/>
        <v>#DIV/0!</v>
      </c>
      <c r="J39" s="2872"/>
      <c r="K39" s="1373"/>
      <c r="L39" s="2873" t="s">
        <v>2880</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2940</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2941</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2942</v>
      </c>
      <c r="B47" s="1812" t="s">
        <v>2943</v>
      </c>
      <c r="C47" s="1812" t="s">
        <v>2944</v>
      </c>
      <c r="D47" s="1812" t="s">
        <v>2945</v>
      </c>
      <c r="E47" s="819" t="s">
        <v>2946</v>
      </c>
      <c r="F47" s="2883" t="s">
        <v>2947</v>
      </c>
      <c r="G47" s="1812" t="s">
        <v>754</v>
      </c>
      <c r="H47" s="2884" t="s">
        <v>2948</v>
      </c>
      <c r="I47" s="1812" t="s">
        <v>2949</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c r="A48" s="2882" t="s">
        <v>2950</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2951</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2952</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2953</v>
      </c>
      <c r="B51" s="2887" t="s">
        <v>2954</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2955</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2956</v>
      </c>
      <c r="B53" s="2888" t="s">
        <v>2957</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2958</v>
      </c>
      <c r="B54" s="1728"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2959</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2960</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2961</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2942</v>
      </c>
      <c r="B58" s="1812"/>
      <c r="C58" s="1812" t="s">
        <v>2944</v>
      </c>
      <c r="D58" s="1812" t="s">
        <v>2945</v>
      </c>
      <c r="E58" s="819" t="s">
        <v>2946</v>
      </c>
      <c r="F58" s="2883" t="s">
        <v>2962</v>
      </c>
      <c r="G58" s="1812" t="s">
        <v>754</v>
      </c>
      <c r="H58" s="2884" t="s">
        <v>2948</v>
      </c>
      <c r="I58" s="1812" t="s">
        <v>2949</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2" t="s">
        <v>2963</v>
      </c>
      <c r="B59" s="2885" t="str">
        <f>估价对象房地状况!C17</f>
        <v>估价对象位于XX商圈，周边办公楼项目较多，入驻率高，办公集聚程度较好</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2" t="s">
        <v>2951</v>
      </c>
      <c r="B60" s="2886" t="str">
        <f>估价对象房地状况!C18</f>
        <v>估价对象周边道路状况、公共交通通达情况、停车便捷程度，综合评价交通便捷度较好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2952</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2953</v>
      </c>
      <c r="B62" s="2887" t="s">
        <v>2954</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2955</v>
      </c>
      <c r="B63" s="2886">
        <f>估价对象房地状况!C24</f>
        <v>0</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2956</v>
      </c>
      <c r="B64" s="2888" t="s">
        <v>2957</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2" t="s">
        <v>2958</v>
      </c>
      <c r="B65" s="1728" t="str">
        <f>估价对象房地状况!C21</f>
        <v>估价对象所在区域公共配套设施齐备情况</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2" t="s">
        <v>2959</v>
      </c>
      <c r="B66" s="1728" t="str">
        <f>估价对象房地状况!C22</f>
        <v>估价对象所在区域基础设施水平</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0" t="s">
        <v>2960</v>
      </c>
      <c r="B67" s="2892" t="str">
        <f>估价对象房地状况!C20</f>
        <v>区域自然环境：；人文环境；综合评价环境状况一般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2964</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2942</v>
      </c>
      <c r="B69" s="1812"/>
      <c r="C69" s="1812" t="s">
        <v>2944</v>
      </c>
      <c r="D69" s="1812" t="s">
        <v>2945</v>
      </c>
      <c r="E69" s="819" t="s">
        <v>2946</v>
      </c>
      <c r="F69" s="2883" t="s">
        <v>2962</v>
      </c>
      <c r="G69" s="1812" t="s">
        <v>754</v>
      </c>
      <c r="H69" s="2884" t="s">
        <v>2948</v>
      </c>
      <c r="I69" s="1812" t="s">
        <v>2949</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c r="A70" s="2882" t="s">
        <v>2965</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2" t="s">
        <v>2951</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2952</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2966</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2958</v>
      </c>
      <c r="B74" s="1728"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2959</v>
      </c>
      <c r="B75" s="1728"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2956</v>
      </c>
      <c r="B76" s="2888" t="s">
        <v>2957</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c r="A77" s="2882" t="s">
        <v>2960</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2967</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2968</v>
      </c>
      <c r="B79" s="2879">
        <f>1+E81</f>
        <v>1</v>
      </c>
      <c r="C79" s="814"/>
      <c r="D79" s="814"/>
      <c r="E79" s="815"/>
      <c r="F79" s="2881"/>
      <c r="G79" s="6"/>
      <c r="H79" s="6"/>
      <c r="I79" s="6"/>
      <c r="J79" s="7"/>
      <c r="K79" s="7"/>
      <c r="L79" s="7"/>
      <c r="M79" s="7"/>
      <c r="N79" s="7"/>
      <c r="Z79" s="2724"/>
      <c r="AA79" s="2800"/>
      <c r="AG79" s="1375"/>
      <c r="AK79" s="2800"/>
    </row>
    <row r="80" spans="1:37" ht="24.75">
      <c r="A80" s="2882" t="s">
        <v>2942</v>
      </c>
      <c r="B80" s="1812"/>
      <c r="C80" s="1812" t="s">
        <v>2944</v>
      </c>
      <c r="D80" s="1812" t="s">
        <v>2945</v>
      </c>
      <c r="E80" s="819" t="s">
        <v>2946</v>
      </c>
      <c r="F80" s="2883" t="s">
        <v>2962</v>
      </c>
      <c r="G80" s="1812" t="s">
        <v>754</v>
      </c>
      <c r="H80" s="2884" t="s">
        <v>2948</v>
      </c>
      <c r="I80" s="1812" t="s">
        <v>2949</v>
      </c>
      <c r="J80" s="603" t="s">
        <v>2596</v>
      </c>
      <c r="K80" s="603" t="s">
        <v>2597</v>
      </c>
      <c r="L80" s="603" t="s">
        <v>2598</v>
      </c>
      <c r="M80" s="603" t="s">
        <v>2599</v>
      </c>
      <c r="N80" s="603" t="s">
        <v>2600</v>
      </c>
      <c r="Z80" s="2724"/>
      <c r="AA80" s="2800"/>
      <c r="AG80" s="1375"/>
      <c r="AK80" s="2800"/>
    </row>
    <row r="81" spans="1:37" ht="38.25">
      <c r="A81" s="2882" t="s">
        <v>2969</v>
      </c>
      <c r="B81" s="2886" t="str">
        <f>估价对象房地状况!G15</f>
        <v>估价对象位于沈北新区，园区建设成熟度较好，产业集聚程度较好</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c r="A82" s="2882" t="s">
        <v>2951</v>
      </c>
      <c r="B82" s="2886" t="str">
        <f>估价对象房地状况!G16</f>
        <v>估价对象周边道路通达状况较好、公共交通通达情况一般、停车较便捷，综合评价交通便捷度一般</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2952</v>
      </c>
      <c r="B83" s="2886" t="str">
        <f>估价对象房地状况!G17</f>
        <v>较一致</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2966</v>
      </c>
      <c r="B84" s="2886" t="str">
        <f>估价对象房地状况!G22</f>
        <v>支路——未命名道路</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c r="A85" s="2882" t="s">
        <v>2958</v>
      </c>
      <c r="B85" s="1728" t="str">
        <f>估价对象房地状况!G19</f>
        <v>估价对象所在区域公共配套设施齐备情况一般</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c r="A86" s="2882" t="s">
        <v>2959</v>
      </c>
      <c r="B86" s="1728" t="str">
        <f>估价对象房地状况!G20</f>
        <v>估价对象所在区域基础设施水平达五通</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2956</v>
      </c>
      <c r="B87" s="2888" t="s">
        <v>2970</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thickBot="1">
      <c r="A88" s="2890" t="s">
        <v>2971</v>
      </c>
      <c r="B88" s="2895" t="str">
        <f>估价对象房地状况!G18</f>
        <v>该园区内无污染型企业，绿化情况一般，卫生条件一般，整体环境状况一般</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96" t="s">
        <v>2972</v>
      </c>
      <c r="B90" s="3296"/>
      <c r="C90" s="3296"/>
      <c r="D90" s="3296"/>
      <c r="E90" s="3296"/>
      <c r="F90" s="3296"/>
      <c r="G90" s="3296"/>
      <c r="H90" s="3296"/>
      <c r="I90" s="3296"/>
      <c r="J90" s="3296"/>
      <c r="K90" s="2896"/>
      <c r="L90" s="2896"/>
      <c r="M90" s="2896"/>
      <c r="N90" s="2896"/>
    </row>
    <row r="91" spans="1:37">
      <c r="A91" s="3298" t="s">
        <v>2973</v>
      </c>
      <c r="B91" s="3298" t="s">
        <v>2974</v>
      </c>
      <c r="C91" s="2850" t="s">
        <v>2975</v>
      </c>
      <c r="D91" s="2851"/>
      <c r="E91" s="2851"/>
      <c r="F91" s="2851"/>
      <c r="G91" s="2851"/>
      <c r="H91" s="2851"/>
      <c r="I91" s="2851"/>
      <c r="J91" s="2897"/>
      <c r="K91" s="2898"/>
      <c r="L91" s="2898"/>
      <c r="M91" s="2898"/>
      <c r="N91" s="2898"/>
    </row>
    <row r="92" spans="1:37">
      <c r="A92" s="3298"/>
      <c r="B92" s="3298"/>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99" t="s">
        <v>2976</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300"/>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300"/>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300"/>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300"/>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300"/>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300"/>
      <c r="B99" s="2899" t="s">
        <v>2855</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301"/>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99" t="s">
        <v>2977</v>
      </c>
      <c r="B101" s="2903" t="s">
        <v>2978</v>
      </c>
      <c r="C101" s="2904">
        <f>$G$3</f>
        <v>0.99</v>
      </c>
      <c r="D101" s="2904">
        <f t="shared" ref="D101:N101" si="31">$G$3</f>
        <v>0.99</v>
      </c>
      <c r="E101" s="2904">
        <f t="shared" si="31"/>
        <v>0.99</v>
      </c>
      <c r="F101" s="2904">
        <f t="shared" si="31"/>
        <v>0.99</v>
      </c>
      <c r="G101" s="2904">
        <f t="shared" si="31"/>
        <v>0.99</v>
      </c>
      <c r="H101" s="2904">
        <f t="shared" si="31"/>
        <v>0.99</v>
      </c>
      <c r="I101" s="2904">
        <f t="shared" si="31"/>
        <v>0.99</v>
      </c>
      <c r="J101" s="2904">
        <f t="shared" si="31"/>
        <v>0.99</v>
      </c>
      <c r="K101" s="2904">
        <f t="shared" si="31"/>
        <v>0.99</v>
      </c>
      <c r="L101" s="2904">
        <f t="shared" si="31"/>
        <v>0.99</v>
      </c>
      <c r="M101" s="2904">
        <f t="shared" si="31"/>
        <v>0.99</v>
      </c>
      <c r="N101" s="2904">
        <f t="shared" si="31"/>
        <v>0.99</v>
      </c>
    </row>
    <row r="102" spans="1:14">
      <c r="A102" s="3300"/>
      <c r="B102" s="2899">
        <v>1</v>
      </c>
      <c r="C102" s="2900">
        <f>1.9362/C101</f>
        <v>1.9557575757575758</v>
      </c>
      <c r="D102" s="2900">
        <f>1.9362/D101</f>
        <v>1.9557575757575758</v>
      </c>
      <c r="E102" s="2900">
        <f>1.8629/E101</f>
        <v>1.8817171717171717</v>
      </c>
      <c r="F102" s="2900">
        <f>1.8629/F101</f>
        <v>1.8817171717171717</v>
      </c>
      <c r="G102" s="2900">
        <f>1.8629/G101</f>
        <v>1.8817171717171717</v>
      </c>
      <c r="H102" s="2900">
        <f>1.8629/H101</f>
        <v>1.8817171717171717</v>
      </c>
      <c r="I102" s="2900">
        <f>1.8629/I101</f>
        <v>1.8817171717171717</v>
      </c>
      <c r="J102" s="2900">
        <f>1.942/J101</f>
        <v>1.9616161616161616</v>
      </c>
      <c r="K102" s="2900">
        <f>1.942/K101</f>
        <v>1.9616161616161616</v>
      </c>
      <c r="L102" s="2900">
        <f>1.942/L101</f>
        <v>1.9616161616161616</v>
      </c>
      <c r="M102" s="2900">
        <f>1.942/M101</f>
        <v>1.9616161616161616</v>
      </c>
      <c r="N102" s="2900">
        <f>1.942/N101</f>
        <v>1.9616161616161616</v>
      </c>
    </row>
    <row r="103" spans="1:14">
      <c r="A103" s="3300"/>
      <c r="B103" s="2899">
        <v>2</v>
      </c>
      <c r="C103" s="2900">
        <f>1.4198/C101</f>
        <v>1.4341414141414142</v>
      </c>
      <c r="D103" s="2900">
        <f>1.4198/D101</f>
        <v>1.4341414141414142</v>
      </c>
      <c r="E103" s="2900">
        <f>1.3372/E101</f>
        <v>1.3507070707070707</v>
      </c>
      <c r="F103" s="2900">
        <f>1.3372/F101</f>
        <v>1.3507070707070707</v>
      </c>
      <c r="G103" s="2900">
        <f>1.3372/G101</f>
        <v>1.3507070707070707</v>
      </c>
      <c r="H103" s="2900">
        <f>1.3372/H101</f>
        <v>1.3507070707070707</v>
      </c>
      <c r="I103" s="2900">
        <f>1.3372/I101</f>
        <v>1.3507070707070707</v>
      </c>
      <c r="J103" s="2900">
        <f>1.2799/J101</f>
        <v>1.2928282828282829</v>
      </c>
      <c r="K103" s="2900">
        <f>1.2799/K101</f>
        <v>1.2928282828282829</v>
      </c>
      <c r="L103" s="2900">
        <f>1.2799/L101</f>
        <v>1.2928282828282829</v>
      </c>
      <c r="M103" s="2900">
        <f>1.2799/M101</f>
        <v>1.2928282828282829</v>
      </c>
      <c r="N103" s="2900">
        <f>1.2799/N101</f>
        <v>1.2928282828282829</v>
      </c>
    </row>
    <row r="104" spans="1:14">
      <c r="A104" s="3300"/>
      <c r="B104" s="2899">
        <v>3</v>
      </c>
      <c r="C104" s="2900">
        <f>1.1594/C101</f>
        <v>1.1711111111111112</v>
      </c>
      <c r="D104" s="2900">
        <f>1.1594/D101</f>
        <v>1.1711111111111112</v>
      </c>
      <c r="E104" s="2900">
        <f>1.0788/E101</f>
        <v>1.0896969696969696</v>
      </c>
      <c r="F104" s="2900">
        <f>1.0788/F101</f>
        <v>1.0896969696969696</v>
      </c>
      <c r="G104" s="2900">
        <f>1.0788/G101</f>
        <v>1.0896969696969696</v>
      </c>
      <c r="H104" s="2900">
        <f>1.0788/H101</f>
        <v>1.0896969696969696</v>
      </c>
      <c r="I104" s="2900">
        <f>1.0788/I101</f>
        <v>1.0896969696969696</v>
      </c>
      <c r="J104" s="2900">
        <f>1.0072/J101</f>
        <v>1.0173737373737375</v>
      </c>
      <c r="K104" s="2900">
        <f>1.0072/K101</f>
        <v>1.0173737373737375</v>
      </c>
      <c r="L104" s="2900">
        <f>1.0072/L101</f>
        <v>1.0173737373737375</v>
      </c>
      <c r="M104" s="2900">
        <f>1.0072/M101</f>
        <v>1.0173737373737375</v>
      </c>
      <c r="N104" s="2900">
        <f>1.0072/N101</f>
        <v>1.0173737373737375</v>
      </c>
    </row>
    <row r="105" spans="1:14">
      <c r="A105" s="3300"/>
      <c r="B105" s="2899">
        <v>4</v>
      </c>
      <c r="C105" s="2900">
        <f>0.9622/C101</f>
        <v>0.97191919191919196</v>
      </c>
      <c r="D105" s="2900">
        <f>0.9622/D101</f>
        <v>0.97191919191919196</v>
      </c>
      <c r="E105" s="2900">
        <f>0.8656/E101</f>
        <v>0.87434343434343442</v>
      </c>
      <c r="F105" s="2900">
        <f>0.8656/F101</f>
        <v>0.87434343434343442</v>
      </c>
      <c r="G105" s="2900">
        <f>0.8656/G101</f>
        <v>0.87434343434343442</v>
      </c>
      <c r="H105" s="2900">
        <f>0.8656/H101</f>
        <v>0.87434343434343442</v>
      </c>
      <c r="I105" s="2900">
        <f>0.8656/I101</f>
        <v>0.87434343434343442</v>
      </c>
      <c r="J105" s="2900">
        <f>0.7525/J101</f>
        <v>0.76010101010101006</v>
      </c>
      <c r="K105" s="2900">
        <f>0.7525/K101</f>
        <v>0.76010101010101006</v>
      </c>
      <c r="L105" s="2900">
        <f>0.7525/L101</f>
        <v>0.76010101010101006</v>
      </c>
      <c r="M105" s="2900">
        <f>0.7525/M101</f>
        <v>0.76010101010101006</v>
      </c>
      <c r="N105" s="2900">
        <f>0.7525/N101</f>
        <v>0.76010101010101006</v>
      </c>
    </row>
    <row r="106" spans="1:14">
      <c r="A106" s="3300"/>
      <c r="B106" s="2899">
        <v>5</v>
      </c>
      <c r="C106" s="2900">
        <f>0.8417/C101</f>
        <v>0.85020202020202018</v>
      </c>
      <c r="D106" s="2900">
        <f>0.8417/D101</f>
        <v>0.85020202020202018</v>
      </c>
      <c r="E106" s="2900">
        <f>0.7371/E101</f>
        <v>0.74454545454545451</v>
      </c>
      <c r="F106" s="2900">
        <f>0.7371/F101</f>
        <v>0.74454545454545451</v>
      </c>
      <c r="G106" s="2900">
        <f>0.7371/G101</f>
        <v>0.74454545454545451</v>
      </c>
      <c r="H106" s="2900">
        <f>0.7371/H101</f>
        <v>0.74454545454545451</v>
      </c>
      <c r="I106" s="2900">
        <f>0.7371/I101</f>
        <v>0.74454545454545451</v>
      </c>
      <c r="J106" s="2900">
        <f>0.5659/J101</f>
        <v>0.57161616161616158</v>
      </c>
      <c r="K106" s="2900">
        <f>0.5659/K101</f>
        <v>0.57161616161616158</v>
      </c>
      <c r="L106" s="2900">
        <f>0.5659/L101</f>
        <v>0.57161616161616158</v>
      </c>
      <c r="M106" s="2900">
        <f>0.5659/M101</f>
        <v>0.57161616161616158</v>
      </c>
      <c r="N106" s="2900">
        <f>0.5659/N101</f>
        <v>0.57161616161616158</v>
      </c>
    </row>
    <row r="107" spans="1:14">
      <c r="A107" s="3300"/>
      <c r="B107" s="2899">
        <v>6</v>
      </c>
      <c r="C107" s="2900">
        <f>0.7608/C101</f>
        <v>0.76848484848484855</v>
      </c>
      <c r="D107" s="2900">
        <f>0.7608/D101</f>
        <v>0.76848484848484855</v>
      </c>
      <c r="E107" s="2900">
        <f>0.6482/E101</f>
        <v>0.65474747474747474</v>
      </c>
      <c r="F107" s="2900">
        <f>0.6482/F101</f>
        <v>0.65474747474747474</v>
      </c>
      <c r="G107" s="2900">
        <f>0.6482/G101</f>
        <v>0.65474747474747474</v>
      </c>
      <c r="H107" s="2900">
        <f>0.6482/H101</f>
        <v>0.65474747474747474</v>
      </c>
      <c r="I107" s="2900">
        <f>0.6482/I101</f>
        <v>0.65474747474747474</v>
      </c>
      <c r="J107" s="2900">
        <f>0.4525/J101</f>
        <v>0.45707070707070707</v>
      </c>
      <c r="K107" s="2900">
        <f>0.4525/K101</f>
        <v>0.45707070707070707</v>
      </c>
      <c r="L107" s="2900">
        <f>0.4525/L101</f>
        <v>0.45707070707070707</v>
      </c>
      <c r="M107" s="2900">
        <f>0.4525/M101</f>
        <v>0.45707070707070707</v>
      </c>
      <c r="N107" s="2900">
        <f>0.4525/N101</f>
        <v>0.45707070707070707</v>
      </c>
    </row>
    <row r="108" spans="1:14">
      <c r="A108" s="3300"/>
      <c r="B108" s="3126" t="s">
        <v>2979</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301"/>
      <c r="B109" s="3127"/>
      <c r="C109" s="2902">
        <f>(-0.163*(C108^2)-0.59*C108+7617)*(10^(-4))/C101</f>
        <v>0.76939393939393941</v>
      </c>
      <c r="D109" s="2902">
        <f>(-0.163*(D108^2)-0.59*D108+7617)*(10^(-4))/D101</f>
        <v>0.76939393939393941</v>
      </c>
      <c r="E109" s="2902">
        <f>(-0.161*(E108^2)-7.509*E108+6533)*(10^(-4))/E101</f>
        <v>0.65989898989898987</v>
      </c>
      <c r="F109" s="2902">
        <f>(-0.161*(F108^2)-7.509*F108+6533)*(10^(-4))/F101</f>
        <v>0.65989898989898987</v>
      </c>
      <c r="G109" s="2902">
        <f>(-0.161*(G108^2)-7.509*G108+6533)*(10^(-4))/G101</f>
        <v>0.65989898989898987</v>
      </c>
      <c r="H109" s="2902">
        <f>(-0.161*(H108^2)-7.509*H108+6533)*(10^(-4))/H101</f>
        <v>0.65989898989898987</v>
      </c>
      <c r="I109" s="2902">
        <f>(-0.161*(I108^2)-7.509*I108+6533)*(10^(-4))/I101</f>
        <v>0.65989898989898987</v>
      </c>
      <c r="J109" s="2902">
        <f>(-0.214*(J108^2)-21.991*J108+4665)*(10^(-4))/J101</f>
        <v>0.47121212121212125</v>
      </c>
      <c r="K109" s="2902">
        <f>(-0.214*(K108^2)-21.991*K108+4665)*(10^(-4))/K101</f>
        <v>0.47121212121212125</v>
      </c>
      <c r="L109" s="2902">
        <f>(-0.214*(L108^2)-21.991*L108+4665)*(10^(-4))/L101</f>
        <v>0.47121212121212125</v>
      </c>
      <c r="M109" s="2902">
        <f>(-0.214*(M108^2)-21.991*M108+4665)*(10^(-4))/M101</f>
        <v>0.47121212121212125</v>
      </c>
      <c r="N109" s="2902">
        <f>(-0.214*(N108^2)-21.991*N108+4665)*(10^(-4))/N101</f>
        <v>0.47121212121212125</v>
      </c>
    </row>
    <row r="110" spans="1:14">
      <c r="A110" s="3297" t="s">
        <v>2980</v>
      </c>
      <c r="B110" s="3297"/>
      <c r="C110" s="3297"/>
      <c r="D110" s="3297"/>
      <c r="E110" s="3297"/>
      <c r="F110" s="3297"/>
      <c r="G110" s="3297"/>
      <c r="H110" s="3297"/>
      <c r="I110" s="3297"/>
      <c r="J110" s="3297"/>
      <c r="K110" s="2905"/>
      <c r="L110" s="2905"/>
      <c r="M110" s="2905"/>
      <c r="N110" s="2905"/>
    </row>
    <row r="112" spans="1:14" ht="13.5" thickBot="1"/>
    <row r="113" spans="1:13" ht="25.5" thickBot="1">
      <c r="A113" s="903" t="s">
        <v>2981</v>
      </c>
      <c r="B113" s="1290">
        <f>G3</f>
        <v>0.99</v>
      </c>
      <c r="C113" s="904" t="s">
        <v>2982</v>
      </c>
      <c r="D113" s="905">
        <f>SUMPRODUCT((A115:A118=F113)*(B114:M114=H113)*B115:M118)</f>
        <v>0</v>
      </c>
      <c r="E113" s="2728" t="s">
        <v>2812</v>
      </c>
      <c r="F113" s="2907">
        <f>E2</f>
        <v>0</v>
      </c>
      <c r="G113" s="2728" t="s">
        <v>2813</v>
      </c>
      <c r="H113" s="2907">
        <f>G2</f>
        <v>0</v>
      </c>
      <c r="I113" s="2728"/>
      <c r="J113" s="2908"/>
      <c r="K113" s="2908"/>
      <c r="L113" s="2908"/>
      <c r="M113" s="2908"/>
    </row>
    <row r="114" spans="1:13">
      <c r="A114" s="908"/>
      <c r="B114" s="2909" t="s">
        <v>2983</v>
      </c>
      <c r="C114" s="2909" t="s">
        <v>2984</v>
      </c>
      <c r="D114" s="2909" t="s">
        <v>2985</v>
      </c>
      <c r="E114" s="2910" t="s">
        <v>2986</v>
      </c>
      <c r="F114" s="2910" t="s">
        <v>2987</v>
      </c>
      <c r="G114" s="2910" t="s">
        <v>2988</v>
      </c>
      <c r="H114" s="2911" t="s">
        <v>2989</v>
      </c>
      <c r="I114" s="2911" t="s">
        <v>2990</v>
      </c>
      <c r="J114" s="2912" t="s">
        <v>2991</v>
      </c>
      <c r="K114" s="2912" t="s">
        <v>2992</v>
      </c>
      <c r="L114" s="2912" t="s">
        <v>2993</v>
      </c>
      <c r="M114" s="2913" t="s">
        <v>2994</v>
      </c>
    </row>
    <row r="115" spans="1:13">
      <c r="A115" s="909" t="s">
        <v>2877</v>
      </c>
      <c r="B115" s="910">
        <f>ROUND(0.9335-0.0094*B113,4)</f>
        <v>0.92420000000000002</v>
      </c>
      <c r="C115" s="910">
        <f>B115</f>
        <v>0.92420000000000002</v>
      </c>
      <c r="D115" s="910">
        <f>ROUND(0.8331-0.0109*B113,4)</f>
        <v>0.82230000000000003</v>
      </c>
      <c r="E115" s="910">
        <f>D115</f>
        <v>0.82230000000000003</v>
      </c>
      <c r="F115" s="910">
        <f>E115</f>
        <v>0.82230000000000003</v>
      </c>
      <c r="G115" s="910">
        <f>F115</f>
        <v>0.82230000000000003</v>
      </c>
      <c r="H115" s="910">
        <f>G115</f>
        <v>0.82230000000000003</v>
      </c>
      <c r="I115" s="910">
        <f>ROUND(0.689-0.0155*B113,4)</f>
        <v>0.67369999999999997</v>
      </c>
      <c r="J115" s="910">
        <f t="shared" ref="J115:M118" si="33">I115</f>
        <v>0.67369999999999997</v>
      </c>
      <c r="K115" s="910">
        <f t="shared" si="33"/>
        <v>0.67369999999999997</v>
      </c>
      <c r="L115" s="910">
        <f t="shared" si="33"/>
        <v>0.67369999999999997</v>
      </c>
      <c r="M115" s="911">
        <f t="shared" si="33"/>
        <v>0.67369999999999997</v>
      </c>
    </row>
    <row r="116" spans="1:13">
      <c r="A116" s="909" t="s">
        <v>2878</v>
      </c>
      <c r="B116" s="910">
        <f>ROUND(0.949-0.012*B113,4)</f>
        <v>0.93710000000000004</v>
      </c>
      <c r="C116" s="910">
        <f>B116</f>
        <v>0.93710000000000004</v>
      </c>
      <c r="D116" s="910">
        <f>ROUND(0.8567-0.013*B113,4)</f>
        <v>0.84379999999999999</v>
      </c>
      <c r="E116" s="910">
        <f t="shared" ref="E116:H117" si="34">D116</f>
        <v>0.84379999999999999</v>
      </c>
      <c r="F116" s="910">
        <f t="shared" si="34"/>
        <v>0.84379999999999999</v>
      </c>
      <c r="G116" s="910">
        <f t="shared" si="34"/>
        <v>0.84379999999999999</v>
      </c>
      <c r="H116" s="910">
        <f t="shared" si="34"/>
        <v>0.84379999999999999</v>
      </c>
      <c r="I116" s="910">
        <f>ROUND(0.7694-0.014*B113,4)</f>
        <v>0.75549999999999995</v>
      </c>
      <c r="J116" s="910">
        <f t="shared" si="33"/>
        <v>0.75549999999999995</v>
      </c>
      <c r="K116" s="910">
        <f t="shared" si="33"/>
        <v>0.75549999999999995</v>
      </c>
      <c r="L116" s="910">
        <f t="shared" si="33"/>
        <v>0.75549999999999995</v>
      </c>
      <c r="M116" s="911">
        <f t="shared" si="33"/>
        <v>0.75549999999999995</v>
      </c>
    </row>
    <row r="117" spans="1:13">
      <c r="A117" s="909" t="s">
        <v>2879</v>
      </c>
      <c r="B117" s="910">
        <f>ROUND(0.8808-0.006*B113,4)</f>
        <v>0.87490000000000001</v>
      </c>
      <c r="C117" s="910">
        <f>B117</f>
        <v>0.87490000000000001</v>
      </c>
      <c r="D117" s="910">
        <f>ROUND(0.8748-0.008*B113,4)</f>
        <v>0.8669</v>
      </c>
      <c r="E117" s="910">
        <f t="shared" si="34"/>
        <v>0.8669</v>
      </c>
      <c r="F117" s="910">
        <f t="shared" si="34"/>
        <v>0.8669</v>
      </c>
      <c r="G117" s="910">
        <f t="shared" si="34"/>
        <v>0.8669</v>
      </c>
      <c r="H117" s="910">
        <f t="shared" si="34"/>
        <v>0.8669</v>
      </c>
      <c r="I117" s="910">
        <f>ROUND(0.7412-0.0095*B113,4)</f>
        <v>0.73180000000000001</v>
      </c>
      <c r="J117" s="910">
        <f t="shared" si="33"/>
        <v>0.73180000000000001</v>
      </c>
      <c r="K117" s="910">
        <f t="shared" si="33"/>
        <v>0.73180000000000001</v>
      </c>
      <c r="L117" s="910">
        <f t="shared" si="33"/>
        <v>0.73180000000000001</v>
      </c>
      <c r="M117" s="911">
        <f t="shared" si="33"/>
        <v>0.73180000000000001</v>
      </c>
    </row>
    <row r="118" spans="1:13" ht="13.5" thickBot="1">
      <c r="A118" s="714" t="s">
        <v>2880</v>
      </c>
      <c r="B118" s="912">
        <f>ROUND(0.7275-0.01*B113,4)</f>
        <v>0.71760000000000002</v>
      </c>
      <c r="C118" s="912">
        <f>B118</f>
        <v>0.71760000000000002</v>
      </c>
      <c r="D118" s="912">
        <f>ROUND(0.7043-0.012*B113,4)</f>
        <v>0.69240000000000002</v>
      </c>
      <c r="E118" s="912">
        <f>D118</f>
        <v>0.69240000000000002</v>
      </c>
      <c r="F118" s="912">
        <f>E118</f>
        <v>0.69240000000000002</v>
      </c>
      <c r="G118" s="912">
        <f>ROUND(0.6299-0.0122*B113,4)</f>
        <v>0.61780000000000002</v>
      </c>
      <c r="H118" s="912">
        <f>G118</f>
        <v>0.61780000000000002</v>
      </c>
      <c r="I118" s="912">
        <f>ROUND(0.5667-0.0136*B113,4)</f>
        <v>0.55320000000000003</v>
      </c>
      <c r="J118" s="912">
        <f t="shared" si="33"/>
        <v>0.55320000000000003</v>
      </c>
      <c r="K118" s="912">
        <f t="shared" si="33"/>
        <v>0.55320000000000003</v>
      </c>
      <c r="L118" s="912">
        <f t="shared" si="33"/>
        <v>0.55320000000000003</v>
      </c>
      <c r="M118" s="913">
        <f t="shared" si="33"/>
        <v>0.55320000000000003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14" t="s">
        <v>183</v>
      </c>
      <c r="B18" s="882" t="s">
        <v>560</v>
      </c>
      <c r="C18" s="883" t="s">
        <v>561</v>
      </c>
      <c r="D18" s="884"/>
      <c r="E18" s="882">
        <v>1</v>
      </c>
      <c r="F18" s="885" t="s">
        <v>562</v>
      </c>
      <c r="G18" s="886"/>
      <c r="H18" s="878"/>
      <c r="I18" s="878"/>
    </row>
    <row r="19" spans="1:9" s="887" customFormat="1" ht="19.5" customHeight="1">
      <c r="A19" s="3314"/>
      <c r="B19" s="3314" t="s">
        <v>563</v>
      </c>
      <c r="C19" s="883" t="s">
        <v>564</v>
      </c>
      <c r="D19" s="884"/>
      <c r="E19" s="882">
        <v>0.9</v>
      </c>
      <c r="F19" s="885" t="s">
        <v>565</v>
      </c>
      <c r="G19" s="886"/>
      <c r="H19" s="878"/>
      <c r="I19" s="878"/>
    </row>
    <row r="20" spans="1:9" s="887" customFormat="1" ht="19.5" customHeight="1">
      <c r="A20" s="3314"/>
      <c r="B20" s="3314"/>
      <c r="C20" s="883" t="s">
        <v>566</v>
      </c>
      <c r="D20" s="884"/>
      <c r="E20" s="882">
        <v>1.1000000000000001</v>
      </c>
      <c r="F20" s="885" t="s">
        <v>567</v>
      </c>
      <c r="G20" s="886"/>
      <c r="H20" s="878"/>
      <c r="I20" s="878"/>
    </row>
    <row r="21" spans="1:9" s="887" customFormat="1" ht="19.5" customHeight="1">
      <c r="A21" s="3314"/>
      <c r="B21" s="3314"/>
      <c r="C21" s="883" t="s">
        <v>568</v>
      </c>
      <c r="D21" s="884"/>
      <c r="E21" s="882">
        <v>0.8</v>
      </c>
      <c r="F21" s="885" t="s">
        <v>569</v>
      </c>
      <c r="G21" s="886"/>
      <c r="H21" s="878"/>
      <c r="I21" s="878"/>
    </row>
    <row r="22" spans="1:9" s="887" customFormat="1" ht="19.5" customHeight="1">
      <c r="A22" s="3314"/>
      <c r="B22" s="3314"/>
      <c r="C22" s="883" t="s">
        <v>570</v>
      </c>
      <c r="D22" s="884"/>
      <c r="E22" s="882">
        <v>0.5</v>
      </c>
      <c r="F22" s="885"/>
      <c r="G22" s="886"/>
      <c r="H22" s="878"/>
      <c r="I22" s="878"/>
    </row>
    <row r="23" spans="1:9" s="887" customFormat="1" ht="19.5" customHeight="1">
      <c r="A23" s="3314" t="s">
        <v>184</v>
      </c>
      <c r="B23" s="882" t="s">
        <v>560</v>
      </c>
      <c r="C23" s="883" t="s">
        <v>571</v>
      </c>
      <c r="D23" s="884"/>
      <c r="E23" s="882">
        <v>1</v>
      </c>
      <c r="F23" s="885" t="s">
        <v>572</v>
      </c>
      <c r="G23" s="886"/>
      <c r="H23" s="878"/>
      <c r="I23" s="878"/>
    </row>
    <row r="24" spans="1:9" s="887" customFormat="1" ht="19.5" customHeight="1">
      <c r="A24" s="3314"/>
      <c r="B24" s="3314" t="s">
        <v>563</v>
      </c>
      <c r="C24" s="883" t="s">
        <v>573</v>
      </c>
      <c r="D24" s="884"/>
      <c r="E24" s="882">
        <v>0.5</v>
      </c>
      <c r="F24" s="885"/>
      <c r="G24" s="886"/>
      <c r="H24" s="878"/>
      <c r="I24" s="878"/>
    </row>
    <row r="25" spans="1:9" s="887" customFormat="1" ht="19.5" customHeight="1">
      <c r="A25" s="3314"/>
      <c r="B25" s="3314"/>
      <c r="C25" s="883" t="s">
        <v>574</v>
      </c>
      <c r="D25" s="884"/>
      <c r="E25" s="882">
        <v>1.1000000000000001</v>
      </c>
      <c r="F25" s="885"/>
      <c r="G25" s="886"/>
      <c r="H25" s="878"/>
      <c r="I25" s="878"/>
    </row>
    <row r="26" spans="1:9" s="887" customFormat="1" ht="19.5" customHeight="1">
      <c r="A26" s="3314"/>
      <c r="B26" s="3314"/>
      <c r="C26" s="883" t="s">
        <v>575</v>
      </c>
      <c r="D26" s="884"/>
      <c r="E26" s="882">
        <v>1.1000000000000001</v>
      </c>
      <c r="F26" s="885"/>
      <c r="G26" s="886"/>
      <c r="H26" s="878"/>
      <c r="I26" s="878"/>
    </row>
    <row r="27" spans="1:9" s="887" customFormat="1" ht="19.5" customHeight="1">
      <c r="A27" s="3314"/>
      <c r="B27" s="3314"/>
      <c r="C27" s="883" t="s">
        <v>576</v>
      </c>
      <c r="D27" s="884"/>
      <c r="E27" s="882">
        <v>0.9</v>
      </c>
      <c r="F27" s="885" t="s">
        <v>577</v>
      </c>
      <c r="G27" s="886"/>
      <c r="H27" s="878"/>
      <c r="I27" s="878"/>
    </row>
    <row r="28" spans="1:9" s="887" customFormat="1" ht="19.5" customHeight="1">
      <c r="A28" s="3314"/>
      <c r="B28" s="3314"/>
      <c r="C28" s="883" t="s">
        <v>578</v>
      </c>
      <c r="D28" s="884"/>
      <c r="E28" s="882">
        <v>0.9</v>
      </c>
      <c r="F28" s="885" t="s">
        <v>579</v>
      </c>
      <c r="G28" s="886"/>
      <c r="H28" s="878"/>
      <c r="I28" s="878"/>
    </row>
    <row r="29" spans="1:9" s="887" customFormat="1" ht="19.5" customHeight="1">
      <c r="A29" s="3314"/>
      <c r="B29" s="3314"/>
      <c r="C29" s="883" t="s">
        <v>580</v>
      </c>
      <c r="D29" s="884"/>
      <c r="E29" s="882">
        <v>0.9</v>
      </c>
      <c r="F29" s="885" t="s">
        <v>581</v>
      </c>
      <c r="G29" s="886"/>
      <c r="H29" s="878"/>
      <c r="I29" s="878"/>
    </row>
    <row r="30" spans="1:9" s="887" customFormat="1" ht="19.5" customHeight="1">
      <c r="A30" s="3314"/>
      <c r="B30" s="3314"/>
      <c r="C30" s="883" t="s">
        <v>582</v>
      </c>
      <c r="D30" s="884"/>
      <c r="E30" s="882">
        <v>0.9</v>
      </c>
      <c r="F30" s="885" t="s">
        <v>583</v>
      </c>
      <c r="G30" s="886"/>
      <c r="H30" s="878"/>
      <c r="I30" s="878"/>
    </row>
    <row r="31" spans="1:9" s="887" customFormat="1" ht="19.5" customHeight="1">
      <c r="A31" s="3314"/>
      <c r="B31" s="3314"/>
      <c r="C31" s="883" t="s">
        <v>584</v>
      </c>
      <c r="D31" s="884"/>
      <c r="E31" s="882">
        <v>0.8</v>
      </c>
      <c r="F31" s="885" t="s">
        <v>585</v>
      </c>
      <c r="G31" s="886"/>
      <c r="H31" s="878"/>
      <c r="I31" s="878"/>
    </row>
    <row r="32" spans="1:9" s="887" customFormat="1" ht="19.5" customHeight="1">
      <c r="A32" s="3314"/>
      <c r="B32" s="3314"/>
      <c r="C32" s="883" t="s">
        <v>586</v>
      </c>
      <c r="D32" s="884"/>
      <c r="E32" s="882">
        <v>0.8</v>
      </c>
      <c r="F32" s="885" t="s">
        <v>587</v>
      </c>
      <c r="G32" s="886"/>
      <c r="H32" s="878"/>
      <c r="I32" s="878"/>
    </row>
    <row r="33" spans="1:9" s="887" customFormat="1" ht="19.5" customHeight="1">
      <c r="A33" s="3314" t="s">
        <v>185</v>
      </c>
      <c r="B33" s="882" t="s">
        <v>560</v>
      </c>
      <c r="C33" s="883" t="s">
        <v>588</v>
      </c>
      <c r="D33" s="884"/>
      <c r="E33" s="882">
        <v>1</v>
      </c>
      <c r="F33" s="885" t="s">
        <v>589</v>
      </c>
      <c r="G33" s="886"/>
      <c r="H33" s="878"/>
      <c r="I33" s="878"/>
    </row>
    <row r="34" spans="1:9" s="887" customFormat="1" ht="19.5" customHeight="1">
      <c r="A34" s="3314"/>
      <c r="B34" s="882" t="s">
        <v>563</v>
      </c>
      <c r="C34" s="883" t="s">
        <v>590</v>
      </c>
      <c r="D34" s="884"/>
      <c r="E34" s="882">
        <v>1.5</v>
      </c>
      <c r="F34" s="885" t="s">
        <v>591</v>
      </c>
      <c r="G34" s="886"/>
      <c r="H34" s="878"/>
      <c r="I34" s="878"/>
    </row>
    <row r="35" spans="1:9" s="887" customFormat="1" ht="19.5" customHeight="1">
      <c r="A35" s="3314" t="s">
        <v>186</v>
      </c>
      <c r="B35" s="882" t="s">
        <v>560</v>
      </c>
      <c r="C35" s="883" t="s">
        <v>592</v>
      </c>
      <c r="D35" s="884"/>
      <c r="E35" s="882">
        <v>1</v>
      </c>
      <c r="F35" s="885" t="s">
        <v>593</v>
      </c>
      <c r="G35" s="886"/>
      <c r="H35" s="878"/>
      <c r="I35" s="878"/>
    </row>
    <row r="36" spans="1:9" s="887" customFormat="1" ht="19.5" customHeight="1">
      <c r="A36" s="3314"/>
      <c r="B36" s="3314" t="s">
        <v>563</v>
      </c>
      <c r="C36" s="883" t="s">
        <v>594</v>
      </c>
      <c r="D36" s="884"/>
      <c r="E36" s="882">
        <v>1</v>
      </c>
      <c r="F36" s="885" t="s">
        <v>595</v>
      </c>
      <c r="G36" s="886"/>
      <c r="H36" s="878"/>
      <c r="I36" s="878"/>
    </row>
    <row r="37" spans="1:9" s="887" customFormat="1" ht="19.5" customHeight="1">
      <c r="A37" s="3314"/>
      <c r="B37" s="3314"/>
      <c r="C37" s="883" t="s">
        <v>596</v>
      </c>
      <c r="D37" s="884"/>
      <c r="E37" s="882">
        <v>1.5</v>
      </c>
      <c r="F37" s="885" t="s">
        <v>597</v>
      </c>
      <c r="G37" s="886"/>
      <c r="H37" s="878"/>
      <c r="I37" s="878"/>
    </row>
    <row r="38" spans="1:9" s="887" customFormat="1" ht="19.5" customHeight="1">
      <c r="A38" s="3314"/>
      <c r="B38" s="3314"/>
      <c r="C38" s="883" t="s">
        <v>598</v>
      </c>
      <c r="D38" s="884"/>
      <c r="E38" s="882">
        <v>1</v>
      </c>
      <c r="F38" s="885" t="s">
        <v>599</v>
      </c>
      <c r="G38" s="886"/>
      <c r="H38" s="878"/>
      <c r="I38" s="878"/>
    </row>
    <row r="39" spans="1:9" s="887" customFormat="1" ht="19.5" customHeight="1">
      <c r="A39" s="3314"/>
      <c r="B39" s="331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14" t="s">
        <v>614</v>
      </c>
      <c r="C61" s="818" t="s">
        <v>615</v>
      </c>
      <c r="D61" s="818" t="s">
        <v>616</v>
      </c>
      <c r="E61" s="895">
        <v>0.5</v>
      </c>
      <c r="F61" s="882">
        <v>80</v>
      </c>
    </row>
    <row r="62" spans="1:8" s="878" customFormat="1" ht="24">
      <c r="A62" s="882">
        <v>2</v>
      </c>
      <c r="B62" s="3314"/>
      <c r="C62" s="818" t="s">
        <v>617</v>
      </c>
      <c r="D62" s="818" t="s">
        <v>618</v>
      </c>
      <c r="E62" s="895">
        <v>0.5</v>
      </c>
      <c r="F62" s="882">
        <v>80</v>
      </c>
    </row>
    <row r="63" spans="1:8" s="878" customFormat="1" ht="36">
      <c r="A63" s="882">
        <v>3</v>
      </c>
      <c r="B63" s="3314"/>
      <c r="C63" s="818" t="s">
        <v>619</v>
      </c>
      <c r="D63" s="818" t="s">
        <v>620</v>
      </c>
      <c r="E63" s="895">
        <v>0.5</v>
      </c>
      <c r="F63" s="882">
        <v>80</v>
      </c>
    </row>
    <row r="64" spans="1:8" s="878" customFormat="1" ht="36">
      <c r="A64" s="882">
        <v>4</v>
      </c>
      <c r="B64" s="3314"/>
      <c r="C64" s="818" t="s">
        <v>621</v>
      </c>
      <c r="D64" s="818" t="s">
        <v>622</v>
      </c>
      <c r="E64" s="895">
        <v>0.4</v>
      </c>
      <c r="F64" s="882">
        <v>60</v>
      </c>
    </row>
    <row r="65" spans="1:6" s="878" customFormat="1" ht="36">
      <c r="A65" s="882">
        <v>5</v>
      </c>
      <c r="B65" s="3314"/>
      <c r="C65" s="818" t="s">
        <v>623</v>
      </c>
      <c r="D65" s="818" t="s">
        <v>624</v>
      </c>
      <c r="E65" s="895">
        <v>0.2</v>
      </c>
      <c r="F65" s="882">
        <v>30</v>
      </c>
    </row>
    <row r="66" spans="1:6" s="878" customFormat="1" ht="36">
      <c r="A66" s="882">
        <v>6</v>
      </c>
      <c r="B66" s="3314"/>
      <c r="C66" s="818" t="s">
        <v>625</v>
      </c>
      <c r="D66" s="818" t="s">
        <v>626</v>
      </c>
      <c r="E66" s="895">
        <v>0.3</v>
      </c>
      <c r="F66" s="882">
        <v>50</v>
      </c>
    </row>
    <row r="67" spans="1:6" s="878" customFormat="1" ht="36">
      <c r="A67" s="882">
        <v>7</v>
      </c>
      <c r="B67" s="3314"/>
      <c r="C67" s="818" t="s">
        <v>627</v>
      </c>
      <c r="D67" s="818" t="s">
        <v>628</v>
      </c>
      <c r="E67" s="895">
        <v>0.2</v>
      </c>
      <c r="F67" s="882">
        <v>30</v>
      </c>
    </row>
    <row r="68" spans="1:6" s="878" customFormat="1" ht="36">
      <c r="A68" s="882">
        <v>8</v>
      </c>
      <c r="B68" s="3314"/>
      <c r="C68" s="818" t="s">
        <v>629</v>
      </c>
      <c r="D68" s="818" t="s">
        <v>630</v>
      </c>
      <c r="E68" s="895">
        <v>0.2</v>
      </c>
      <c r="F68" s="882">
        <v>30</v>
      </c>
    </row>
    <row r="69" spans="1:6" s="878" customFormat="1" ht="36">
      <c r="A69" s="882">
        <v>9</v>
      </c>
      <c r="B69" s="3314"/>
      <c r="C69" s="818" t="s">
        <v>631</v>
      </c>
      <c r="D69" s="818" t="s">
        <v>632</v>
      </c>
      <c r="E69" s="895">
        <v>0.2</v>
      </c>
      <c r="F69" s="882">
        <v>30</v>
      </c>
    </row>
    <row r="70" spans="1:6" s="878" customFormat="1" ht="48">
      <c r="A70" s="882">
        <v>10</v>
      </c>
      <c r="B70" s="3314"/>
      <c r="C70" s="818" t="s">
        <v>633</v>
      </c>
      <c r="D70" s="818" t="s">
        <v>634</v>
      </c>
      <c r="E70" s="895">
        <v>0.2</v>
      </c>
      <c r="F70" s="882">
        <v>30</v>
      </c>
    </row>
    <row r="71" spans="1:6" s="878" customFormat="1" ht="48">
      <c r="A71" s="882">
        <v>11</v>
      </c>
      <c r="B71" s="3314"/>
      <c r="C71" s="818" t="s">
        <v>635</v>
      </c>
      <c r="D71" s="818" t="s">
        <v>636</v>
      </c>
      <c r="E71" s="895">
        <v>0.2</v>
      </c>
      <c r="F71" s="882">
        <v>30</v>
      </c>
    </row>
    <row r="72" spans="1:6" s="878" customFormat="1" ht="36">
      <c r="A72" s="882">
        <v>12</v>
      </c>
      <c r="B72" s="3314"/>
      <c r="C72" s="818" t="s">
        <v>637</v>
      </c>
      <c r="D72" s="818" t="s">
        <v>638</v>
      </c>
      <c r="E72" s="895">
        <v>0.5</v>
      </c>
      <c r="F72" s="882">
        <v>80</v>
      </c>
    </row>
    <row r="73" spans="1:6" s="878" customFormat="1" ht="24">
      <c r="A73" s="882">
        <v>13</v>
      </c>
      <c r="B73" s="3314"/>
      <c r="C73" s="818" t="s">
        <v>639</v>
      </c>
      <c r="D73" s="818" t="s">
        <v>640</v>
      </c>
      <c r="E73" s="895">
        <v>0.4</v>
      </c>
      <c r="F73" s="882">
        <v>60</v>
      </c>
    </row>
    <row r="74" spans="1:6" s="878" customFormat="1" ht="24">
      <c r="A74" s="882">
        <v>14</v>
      </c>
      <c r="B74" s="3314"/>
      <c r="C74" s="818" t="s">
        <v>641</v>
      </c>
      <c r="D74" s="818" t="s">
        <v>642</v>
      </c>
      <c r="E74" s="895">
        <v>0.2</v>
      </c>
      <c r="F74" s="882">
        <v>30</v>
      </c>
    </row>
    <row r="75" spans="1:6" s="878" customFormat="1" ht="24">
      <c r="A75" s="882">
        <v>15</v>
      </c>
      <c r="B75" s="3314"/>
      <c r="C75" s="818" t="s">
        <v>643</v>
      </c>
      <c r="D75" s="818" t="s">
        <v>644</v>
      </c>
      <c r="E75" s="895">
        <v>0.2</v>
      </c>
      <c r="F75" s="882">
        <v>30</v>
      </c>
    </row>
    <row r="76" spans="1:6" s="878" customFormat="1" ht="24">
      <c r="A76" s="882">
        <v>16</v>
      </c>
      <c r="B76" s="3314" t="s">
        <v>645</v>
      </c>
      <c r="C76" s="818" t="s">
        <v>646</v>
      </c>
      <c r="D76" s="818" t="s">
        <v>647</v>
      </c>
      <c r="E76" s="895">
        <v>0.5</v>
      </c>
      <c r="F76" s="882">
        <v>80</v>
      </c>
    </row>
    <row r="77" spans="1:6" s="878" customFormat="1" ht="24">
      <c r="A77" s="882">
        <v>17</v>
      </c>
      <c r="B77" s="3314"/>
      <c r="C77" s="818" t="s">
        <v>648</v>
      </c>
      <c r="D77" s="818" t="s">
        <v>649</v>
      </c>
      <c r="E77" s="895">
        <v>0.5</v>
      </c>
      <c r="F77" s="882">
        <v>80</v>
      </c>
    </row>
    <row r="78" spans="1:6" s="878" customFormat="1" ht="24">
      <c r="A78" s="882">
        <v>18</v>
      </c>
      <c r="B78" s="3314"/>
      <c r="C78" s="818" t="s">
        <v>650</v>
      </c>
      <c r="D78" s="818" t="s">
        <v>651</v>
      </c>
      <c r="E78" s="895">
        <v>0.2</v>
      </c>
      <c r="F78" s="882">
        <v>30</v>
      </c>
    </row>
    <row r="79" spans="1:6" s="878" customFormat="1" ht="24">
      <c r="A79" s="882">
        <v>19</v>
      </c>
      <c r="B79" s="3314"/>
      <c r="C79" s="818" t="s">
        <v>652</v>
      </c>
      <c r="D79" s="818" t="s">
        <v>653</v>
      </c>
      <c r="E79" s="895">
        <v>0.5</v>
      </c>
      <c r="F79" s="882">
        <v>80</v>
      </c>
    </row>
    <row r="80" spans="1:6" s="878" customFormat="1" ht="36">
      <c r="A80" s="882">
        <v>20</v>
      </c>
      <c r="B80" s="3314"/>
      <c r="C80" s="818" t="s">
        <v>654</v>
      </c>
      <c r="D80" s="818" t="s">
        <v>655</v>
      </c>
      <c r="E80" s="895">
        <v>0.2</v>
      </c>
      <c r="F80" s="882">
        <v>30</v>
      </c>
    </row>
    <row r="81" spans="1:6" s="878" customFormat="1" ht="36">
      <c r="A81" s="882">
        <v>21</v>
      </c>
      <c r="B81" s="3314"/>
      <c r="C81" s="818" t="s">
        <v>656</v>
      </c>
      <c r="D81" s="818" t="s">
        <v>657</v>
      </c>
      <c r="E81" s="895">
        <v>0.2</v>
      </c>
      <c r="F81" s="882">
        <v>30</v>
      </c>
    </row>
    <row r="82" spans="1:6" s="878" customFormat="1" ht="48">
      <c r="A82" s="882">
        <v>22</v>
      </c>
      <c r="B82" s="3314"/>
      <c r="C82" s="818" t="s">
        <v>658</v>
      </c>
      <c r="D82" s="818" t="s">
        <v>659</v>
      </c>
      <c r="E82" s="895">
        <v>0.2</v>
      </c>
      <c r="F82" s="882">
        <v>30</v>
      </c>
    </row>
    <row r="83" spans="1:6" s="878" customFormat="1" ht="48">
      <c r="A83" s="882">
        <v>23</v>
      </c>
      <c r="B83" s="3314"/>
      <c r="C83" s="818" t="s">
        <v>660</v>
      </c>
      <c r="D83" s="818" t="s">
        <v>661</v>
      </c>
      <c r="E83" s="895">
        <v>0.2</v>
      </c>
      <c r="F83" s="882">
        <v>30</v>
      </c>
    </row>
    <row r="84" spans="1:6" s="878" customFormat="1" ht="36">
      <c r="A84" s="882">
        <v>24</v>
      </c>
      <c r="B84" s="3314"/>
      <c r="C84" s="818" t="s">
        <v>662</v>
      </c>
      <c r="D84" s="818" t="s">
        <v>663</v>
      </c>
      <c r="E84" s="895">
        <v>0.2</v>
      </c>
      <c r="F84" s="882">
        <v>30</v>
      </c>
    </row>
    <row r="85" spans="1:6" s="878" customFormat="1" ht="36">
      <c r="A85" s="882">
        <v>25</v>
      </c>
      <c r="B85" s="3314"/>
      <c r="C85" s="818" t="s">
        <v>664</v>
      </c>
      <c r="D85" s="818" t="s">
        <v>665</v>
      </c>
      <c r="E85" s="895">
        <v>0.5</v>
      </c>
      <c r="F85" s="882">
        <v>80</v>
      </c>
    </row>
    <row r="86" spans="1:6" s="878" customFormat="1" ht="36">
      <c r="A86" s="882">
        <v>26</v>
      </c>
      <c r="B86" s="3314"/>
      <c r="C86" s="818" t="s">
        <v>666</v>
      </c>
      <c r="D86" s="818" t="s">
        <v>667</v>
      </c>
      <c r="E86" s="895">
        <v>0.2</v>
      </c>
      <c r="F86" s="882">
        <v>30</v>
      </c>
    </row>
    <row r="87" spans="1:6" s="878" customFormat="1" ht="36">
      <c r="A87" s="882">
        <v>27</v>
      </c>
      <c r="B87" s="3314"/>
      <c r="C87" s="818" t="s">
        <v>668</v>
      </c>
      <c r="D87" s="818" t="s">
        <v>669</v>
      </c>
      <c r="E87" s="895">
        <v>0.2</v>
      </c>
      <c r="F87" s="882">
        <v>30</v>
      </c>
    </row>
    <row r="88" spans="1:6" s="878" customFormat="1" ht="36">
      <c r="A88" s="882">
        <v>28</v>
      </c>
      <c r="B88" s="3314"/>
      <c r="C88" s="818" t="s">
        <v>670</v>
      </c>
      <c r="D88" s="818" t="s">
        <v>671</v>
      </c>
      <c r="E88" s="895">
        <v>0.2</v>
      </c>
      <c r="F88" s="882">
        <v>30</v>
      </c>
    </row>
    <row r="89" spans="1:6" s="878" customFormat="1" ht="24">
      <c r="A89" s="882">
        <v>29</v>
      </c>
      <c r="B89" s="3314"/>
      <c r="C89" s="818" t="s">
        <v>672</v>
      </c>
      <c r="D89" s="818" t="s">
        <v>673</v>
      </c>
      <c r="E89" s="895">
        <v>0.2</v>
      </c>
      <c r="F89" s="882">
        <v>30</v>
      </c>
    </row>
    <row r="90" spans="1:6" s="878" customFormat="1" ht="24">
      <c r="A90" s="882">
        <v>30</v>
      </c>
      <c r="B90" s="3314"/>
      <c r="C90" s="818" t="s">
        <v>674</v>
      </c>
      <c r="D90" s="818" t="s">
        <v>675</v>
      </c>
      <c r="E90" s="895">
        <v>0.2</v>
      </c>
      <c r="F90" s="882">
        <v>30</v>
      </c>
    </row>
    <row r="91" spans="1:6" s="878" customFormat="1" ht="36">
      <c r="A91" s="882">
        <v>31</v>
      </c>
      <c r="B91" s="3314"/>
      <c r="C91" s="818" t="s">
        <v>676</v>
      </c>
      <c r="D91" s="818" t="s">
        <v>677</v>
      </c>
      <c r="E91" s="895">
        <v>0.2</v>
      </c>
      <c r="F91" s="882">
        <v>30</v>
      </c>
    </row>
    <row r="92" spans="1:6" s="878" customFormat="1" ht="24">
      <c r="A92" s="882">
        <v>32</v>
      </c>
      <c r="B92" s="3314" t="s">
        <v>678</v>
      </c>
      <c r="C92" s="882" t="s">
        <v>679</v>
      </c>
      <c r="D92" s="818" t="s">
        <v>680</v>
      </c>
      <c r="E92" s="895">
        <v>0.2</v>
      </c>
      <c r="F92" s="882">
        <v>30</v>
      </c>
    </row>
    <row r="93" spans="1:6" s="878" customFormat="1" ht="36">
      <c r="A93" s="882">
        <v>33</v>
      </c>
      <c r="B93" s="3314"/>
      <c r="C93" s="882" t="s">
        <v>681</v>
      </c>
      <c r="D93" s="818" t="s">
        <v>682</v>
      </c>
      <c r="E93" s="895">
        <v>0.2</v>
      </c>
      <c r="F93" s="882">
        <v>30</v>
      </c>
    </row>
    <row r="94" spans="1:6" s="878" customFormat="1" ht="48">
      <c r="A94" s="882">
        <v>34</v>
      </c>
      <c r="B94" s="3314"/>
      <c r="C94" s="882" t="s">
        <v>683</v>
      </c>
      <c r="D94" s="818" t="s">
        <v>684</v>
      </c>
      <c r="E94" s="895">
        <v>0.2</v>
      </c>
      <c r="F94" s="882">
        <v>30</v>
      </c>
    </row>
    <row r="95" spans="1:6" s="878" customFormat="1" ht="36">
      <c r="A95" s="882">
        <v>35</v>
      </c>
      <c r="B95" s="3314"/>
      <c r="C95" s="882" t="s">
        <v>685</v>
      </c>
      <c r="D95" s="818" t="s">
        <v>686</v>
      </c>
      <c r="E95" s="895">
        <v>0.2</v>
      </c>
      <c r="F95" s="882">
        <v>30</v>
      </c>
    </row>
    <row r="96" spans="1:6" s="878" customFormat="1" ht="48">
      <c r="A96" s="882">
        <v>36</v>
      </c>
      <c r="B96" s="3314"/>
      <c r="C96" s="818" t="s">
        <v>687</v>
      </c>
      <c r="D96" s="818" t="s">
        <v>688</v>
      </c>
      <c r="E96" s="895">
        <v>0.2</v>
      </c>
      <c r="F96" s="882">
        <v>30</v>
      </c>
    </row>
    <row r="97" spans="1:6" s="878" customFormat="1" ht="36">
      <c r="A97" s="882">
        <v>37</v>
      </c>
      <c r="B97" s="3314"/>
      <c r="C97" s="882" t="s">
        <v>689</v>
      </c>
      <c r="D97" s="818" t="s">
        <v>690</v>
      </c>
      <c r="E97" s="895">
        <v>0.2</v>
      </c>
      <c r="F97" s="882">
        <v>30</v>
      </c>
    </row>
    <row r="98" spans="1:6" s="878" customFormat="1" ht="36">
      <c r="A98" s="882">
        <v>38</v>
      </c>
      <c r="B98" s="3314"/>
      <c r="C98" s="882" t="s">
        <v>691</v>
      </c>
      <c r="D98" s="818" t="s">
        <v>692</v>
      </c>
      <c r="E98" s="895">
        <v>0.2</v>
      </c>
      <c r="F98" s="882">
        <v>30</v>
      </c>
    </row>
    <row r="99" spans="1:6" s="878" customFormat="1" ht="36">
      <c r="A99" s="882">
        <v>39</v>
      </c>
      <c r="B99" s="3314" t="s">
        <v>693</v>
      </c>
      <c r="C99" s="882" t="s">
        <v>694</v>
      </c>
      <c r="D99" s="818" t="s">
        <v>695</v>
      </c>
      <c r="E99" s="895">
        <v>0.3</v>
      </c>
      <c r="F99" s="882">
        <v>50</v>
      </c>
    </row>
    <row r="100" spans="1:6" s="878" customFormat="1" ht="24">
      <c r="A100" s="882">
        <v>40</v>
      </c>
      <c r="B100" s="3314"/>
      <c r="C100" s="882" t="s">
        <v>696</v>
      </c>
      <c r="D100" s="818" t="s">
        <v>697</v>
      </c>
      <c r="E100" s="895">
        <v>0.2</v>
      </c>
      <c r="F100" s="882">
        <v>30</v>
      </c>
    </row>
    <row r="101" spans="1:6" s="878" customFormat="1" ht="36">
      <c r="A101" s="882">
        <v>41</v>
      </c>
      <c r="B101" s="331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4" t="s">
        <v>708</v>
      </c>
      <c r="C105" s="882" t="s">
        <v>709</v>
      </c>
      <c r="D105" s="818" t="s">
        <v>710</v>
      </c>
      <c r="E105" s="895">
        <v>0.2</v>
      </c>
      <c r="F105" s="882">
        <v>30</v>
      </c>
    </row>
    <row r="106" spans="1:6" s="878" customFormat="1" ht="36">
      <c r="A106" s="882">
        <v>46</v>
      </c>
      <c r="B106" s="3314"/>
      <c r="C106" s="882" t="s">
        <v>711</v>
      </c>
      <c r="D106" s="818" t="s">
        <v>712</v>
      </c>
      <c r="E106" s="895">
        <v>0.2</v>
      </c>
      <c r="F106" s="882">
        <v>30</v>
      </c>
    </row>
    <row r="107" spans="1:6" s="878" customFormat="1" ht="36">
      <c r="A107" s="882">
        <v>47</v>
      </c>
      <c r="B107" s="3314" t="s">
        <v>713</v>
      </c>
      <c r="C107" s="882" t="s">
        <v>714</v>
      </c>
      <c r="D107" s="818" t="s">
        <v>715</v>
      </c>
      <c r="E107" s="895">
        <v>0.3</v>
      </c>
      <c r="F107" s="882">
        <v>50</v>
      </c>
    </row>
    <row r="108" spans="1:6" s="878" customFormat="1" ht="36">
      <c r="A108" s="882">
        <v>48</v>
      </c>
      <c r="B108" s="331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4" t="s">
        <v>724</v>
      </c>
      <c r="C111" s="882" t="s">
        <v>725</v>
      </c>
      <c r="D111" s="818" t="s">
        <v>726</v>
      </c>
      <c r="E111" s="895">
        <v>0.2</v>
      </c>
      <c r="F111" s="882">
        <v>30</v>
      </c>
    </row>
    <row r="112" spans="1:6" s="878" customFormat="1" ht="24">
      <c r="A112" s="882">
        <v>52</v>
      </c>
      <c r="B112" s="3314"/>
      <c r="C112" s="882" t="s">
        <v>727</v>
      </c>
      <c r="D112" s="818" t="s">
        <v>728</v>
      </c>
      <c r="E112" s="895">
        <v>0.2</v>
      </c>
      <c r="F112" s="882">
        <v>30</v>
      </c>
    </row>
    <row r="113" spans="1:6" s="878" customFormat="1" ht="24">
      <c r="A113" s="882">
        <v>53</v>
      </c>
      <c r="B113" s="331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4" t="s">
        <v>737</v>
      </c>
      <c r="C116" s="882" t="s">
        <v>738</v>
      </c>
      <c r="D116" s="818" t="s">
        <v>739</v>
      </c>
      <c r="E116" s="895">
        <v>0.2</v>
      </c>
      <c r="F116" s="882">
        <v>30</v>
      </c>
    </row>
    <row r="117" spans="1:6" ht="36">
      <c r="A117" s="882">
        <v>57</v>
      </c>
      <c r="B117" s="331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6" sqref="F3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3003</v>
      </c>
    </row>
    <row r="2" spans="1:5" ht="15.75">
      <c r="A2" s="2914" t="s">
        <v>2995</v>
      </c>
      <c r="B2" s="2915" t="e">
        <f ca="1">SUMIF(B6:B13,"&lt;&gt;#ref!",B6:B13)</f>
        <v>#DIV/0!</v>
      </c>
      <c r="C2" s="2914" t="s">
        <v>2996</v>
      </c>
      <c r="D2" s="2914" t="s">
        <v>2997</v>
      </c>
      <c r="E2" s="2915">
        <f ca="1">SUMIF(E6:E13,"&lt;&gt;#ref!",E6:E13)</f>
        <v>0</v>
      </c>
    </row>
    <row r="3" spans="1:5" ht="15.75">
      <c r="A3" s="2914" t="s">
        <v>2998</v>
      </c>
      <c r="B3" s="2915" t="e">
        <f ca="1">ROUND(B2*10000/E2,0)</f>
        <v>#DIV/0!</v>
      </c>
      <c r="C3" s="2914" t="s">
        <v>3004</v>
      </c>
      <c r="D3" s="2916"/>
      <c r="E3" s="2916"/>
    </row>
    <row r="4" spans="1:5" ht="15.75">
      <c r="A4" s="2917"/>
      <c r="B4" s="2916"/>
      <c r="C4" s="2916"/>
      <c r="D4" s="2916"/>
      <c r="E4" s="2916"/>
    </row>
    <row r="5" spans="1:5" ht="28.5">
      <c r="A5" s="2918" t="s">
        <v>2999</v>
      </c>
      <c r="B5" s="2914" t="s">
        <v>3000</v>
      </c>
      <c r="C5" s="2915"/>
      <c r="D5" s="2916"/>
      <c r="E5" s="2914" t="s">
        <v>3001</v>
      </c>
    </row>
    <row r="6" spans="1:5" ht="15.75">
      <c r="A6" s="2919" t="s">
        <v>3002</v>
      </c>
      <c r="B6" s="2915" t="e">
        <f ca="1">SUMIF(INDIRECT("'"&amp;A6&amp;"'"&amp;"!A:A"),"总价",INDIRECT("'"&amp;A6&amp;"'"&amp;"!B:B"))</f>
        <v>#DIV/0!</v>
      </c>
      <c r="C6" s="2914" t="s">
        <v>2996</v>
      </c>
      <c r="D6" s="2916"/>
      <c r="E6" s="2579">
        <f ca="1">SUMIF(INDIRECT("'"&amp;A6&amp;"'"&amp;"!C:C"),"建筑面积",INDIRECT("'"&amp;A6&amp;"'"&amp;"!D:D"))</f>
        <v>0</v>
      </c>
    </row>
    <row r="7" spans="1:5" ht="15.75">
      <c r="A7" s="2919"/>
      <c r="B7" s="2915" t="e">
        <f ca="1">SUMIF(INDIRECT("'"&amp;A7&amp;"'"&amp;"!A:A"),"总价",INDIRECT("'"&amp;A7&amp;"'"&amp;"!B:B"))</f>
        <v>#REF!</v>
      </c>
      <c r="C7" s="2914" t="s">
        <v>2996</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2996</v>
      </c>
      <c r="D8" s="2916"/>
      <c r="E8" s="2579" t="e">
        <f t="shared" ca="1" si="0"/>
        <v>#REF!</v>
      </c>
    </row>
    <row r="9" spans="1:5" ht="15.75">
      <c r="A9" s="2919"/>
      <c r="B9" s="2915" t="e">
        <f t="shared" ca="1" si="1"/>
        <v>#REF!</v>
      </c>
      <c r="C9" s="2914" t="s">
        <v>2996</v>
      </c>
      <c r="D9" s="2916"/>
      <c r="E9" s="2579" t="e">
        <f t="shared" ca="1" si="0"/>
        <v>#REF!</v>
      </c>
    </row>
    <row r="10" spans="1:5" ht="15.75">
      <c r="A10" s="2919"/>
      <c r="B10" s="2915" t="e">
        <f t="shared" ca="1" si="1"/>
        <v>#REF!</v>
      </c>
      <c r="C10" s="2914" t="s">
        <v>2996</v>
      </c>
      <c r="D10" s="2916"/>
      <c r="E10" s="2579" t="e">
        <f t="shared" ca="1" si="0"/>
        <v>#REF!</v>
      </c>
    </row>
    <row r="11" spans="1:5" ht="15.75">
      <c r="A11" s="2919"/>
      <c r="B11" s="2915" t="e">
        <f t="shared" ca="1" si="1"/>
        <v>#REF!</v>
      </c>
      <c r="C11" s="2914" t="s">
        <v>2996</v>
      </c>
      <c r="D11" s="2916"/>
      <c r="E11" s="2579" t="e">
        <f t="shared" ca="1" si="0"/>
        <v>#REF!</v>
      </c>
    </row>
    <row r="12" spans="1:5" ht="15.75">
      <c r="A12" s="2919"/>
      <c r="B12" s="2915" t="e">
        <f t="shared" ca="1" si="1"/>
        <v>#REF!</v>
      </c>
      <c r="C12" s="2914" t="s">
        <v>2996</v>
      </c>
      <c r="D12" s="2916"/>
      <c r="E12" s="2579" t="e">
        <f t="shared" ca="1" si="0"/>
        <v>#REF!</v>
      </c>
    </row>
    <row r="13" spans="1:5" ht="15.75">
      <c r="A13" s="2919"/>
      <c r="B13" s="2915" t="e">
        <f t="shared" ca="1" si="1"/>
        <v>#REF!</v>
      </c>
      <c r="C13" s="2914" t="s">
        <v>2996</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F36" sqref="F3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20" t="s">
        <v>1150</v>
      </c>
      <c r="C1" s="3320"/>
      <c r="D1" s="3320"/>
      <c r="E1" s="3320"/>
      <c r="F1" s="3320"/>
      <c r="G1" s="3316" t="s">
        <v>1151</v>
      </c>
      <c r="H1" s="3316"/>
      <c r="I1" s="3316"/>
      <c r="J1" s="3316"/>
      <c r="K1" s="3316"/>
      <c r="L1" s="3316"/>
      <c r="N1" s="3316" t="s">
        <v>1152</v>
      </c>
      <c r="O1" s="3316"/>
      <c r="P1" s="3316"/>
      <c r="Q1" s="3316"/>
      <c r="R1" s="1449"/>
      <c r="S1" s="3316" t="s">
        <v>1153</v>
      </c>
      <c r="T1" s="3316"/>
      <c r="U1" s="3316"/>
      <c r="V1" s="3316"/>
      <c r="X1" s="3315" t="s">
        <v>1154</v>
      </c>
      <c r="Y1" s="3316"/>
      <c r="Z1" s="3316"/>
      <c r="AA1" s="3316"/>
      <c r="AB1" s="3316"/>
      <c r="AD1" s="3315" t="s">
        <v>1155</v>
      </c>
      <c r="AE1" s="3316"/>
      <c r="AF1" s="3316"/>
      <c r="AG1" s="3316"/>
      <c r="AH1" s="331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3" customFormat="1" ht="14.25">
      <c r="A3" s="2942" t="s">
        <v>3034</v>
      </c>
      <c r="B3" s="2934"/>
      <c r="C3" s="2934"/>
      <c r="D3" s="2935"/>
      <c r="E3" s="2935"/>
      <c r="F3" s="2934"/>
      <c r="G3" s="2936"/>
      <c r="H3" s="2937"/>
      <c r="I3" s="2938">
        <f>ROUND(AVERAGE($I8:$I23),2)</f>
        <v>2.4500000000000002</v>
      </c>
      <c r="J3" s="2938">
        <f>ROUND(AVERAGE($J8:$J23),2)</f>
        <v>1.65</v>
      </c>
      <c r="K3" s="2938">
        <f>ROUND(AVERAGE($K8:$K23),2)</f>
        <v>2.71</v>
      </c>
      <c r="L3" s="2938">
        <f>ROUND(AVERAGE($L8:$L23),2)</f>
        <v>1.39</v>
      </c>
      <c r="N3" s="2936"/>
      <c r="O3" s="2939"/>
      <c r="P3" s="2939"/>
      <c r="Q3" s="2939"/>
      <c r="R3" s="2939"/>
      <c r="S3" s="2936"/>
      <c r="T3" s="2939"/>
      <c r="U3" s="2939"/>
      <c r="V3" s="2939"/>
      <c r="W3" s="2931"/>
      <c r="X3" s="2940">
        <f>ROUND(SUMPRODUCT(PRODUCT(1+N3:N$22)),4)</f>
        <v>1.4733000000000001</v>
      </c>
      <c r="Y3" s="2940">
        <f>ROUND(SUMPRODUCT(PRODUCT(1+O3:O$22)),4)</f>
        <v>1.3052999999999999</v>
      </c>
      <c r="Z3" s="2940">
        <f t="shared" ref="Z3:Z20" si="0">Y3</f>
        <v>1.3052999999999999</v>
      </c>
      <c r="AA3" s="2940">
        <f>ROUND(SUMPRODUCT(PRODUCT(1+P3:P$22)),4)</f>
        <v>1.5306999999999999</v>
      </c>
      <c r="AB3" s="2940">
        <f>ROUND(SUMPRODUCT(PRODUCT(1+Q3:Q$22)),4)</f>
        <v>1.2863</v>
      </c>
      <c r="AD3" s="2941">
        <f>ROUND(AVERAGE(I3:I$23)/100,4)</f>
        <v>2.24E-2</v>
      </c>
      <c r="AE3" s="2941">
        <f>ROUND(AVERAGE(J3:J$23)/100,4)</f>
        <v>1.54E-2</v>
      </c>
      <c r="AF3" s="2941">
        <f t="shared" ref="AF3:AF21" si="1">AE3</f>
        <v>1.54E-2</v>
      </c>
      <c r="AG3" s="2941">
        <f>ROUND(AVERAGE(K3:K$23)/100,4)</f>
        <v>2.47E-2</v>
      </c>
      <c r="AH3" s="2941">
        <f>ROUND(AVERAGE(L3:L$23)/100,4)</f>
        <v>1.41E-2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3041</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5">
        <v>2018</v>
      </c>
      <c r="H5" s="1733">
        <v>3</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2" t="s">
        <v>3035</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3042</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3"/>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3033</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3"/>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3030</v>
      </c>
      <c r="B8" s="1472">
        <v>439</v>
      </c>
      <c r="C8" s="1472">
        <v>327</v>
      </c>
      <c r="D8" s="1472">
        <f>C8</f>
        <v>327</v>
      </c>
      <c r="E8" s="1472">
        <v>627</v>
      </c>
      <c r="F8" s="1473">
        <v>283</v>
      </c>
      <c r="G8" s="2930">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3031</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6"/>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5"/>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6"/>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21">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18"/>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18"/>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19"/>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17">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18"/>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18"/>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19"/>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17">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18"/>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18"/>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19"/>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322">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23"/>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23"/>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24"/>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17">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18"/>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18"/>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19"/>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17">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18">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18">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19">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17">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18">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18">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19">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17">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18">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18">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19">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17">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18">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18">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19">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17">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18">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18">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19">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17">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18">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18">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19">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17">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18">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18">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19">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17">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18">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18">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19">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17">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18">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18">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19">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17">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18">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18">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19">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50" sqref="S5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326" t="s">
        <v>3006</v>
      </c>
      <c r="D1" s="3327"/>
      <c r="E1" s="3327"/>
      <c r="F1" s="3327"/>
      <c r="G1" s="3327"/>
      <c r="H1" s="3327"/>
      <c r="I1" s="3327"/>
      <c r="J1" s="3327"/>
      <c r="K1" s="3327"/>
      <c r="L1" s="3327"/>
      <c r="M1" s="3327"/>
      <c r="N1" s="3327"/>
      <c r="O1" s="3327"/>
      <c r="P1" s="3327"/>
      <c r="Q1" s="3327"/>
      <c r="R1" s="3327"/>
      <c r="S1" s="3328"/>
      <c r="T1" s="1207" t="s">
        <v>3007</v>
      </c>
    </row>
    <row r="2" spans="1:45" s="707" customFormat="1" ht="38.25">
      <c r="A2" s="1208"/>
      <c r="B2" s="703" t="s">
        <v>3008</v>
      </c>
      <c r="C2" s="704" t="str">
        <f t="shared" ref="C2:L2" si="0">C3&amp;"(含)"&amp;"-"&amp;D3</f>
        <v>0(含)-500</v>
      </c>
      <c r="D2" s="705" t="str">
        <f t="shared" si="0"/>
        <v>500(含)-1000</v>
      </c>
      <c r="E2" s="705" t="str">
        <f t="shared" si="0"/>
        <v>1000(含)-1500</v>
      </c>
      <c r="F2" s="705" t="str">
        <f t="shared" si="0"/>
        <v>1500(含)-2000</v>
      </c>
      <c r="G2" s="705" t="str">
        <f t="shared" si="0"/>
        <v>2000(含)-3000</v>
      </c>
      <c r="H2" s="705" t="str">
        <f t="shared" si="0"/>
        <v>3000(含)-4000</v>
      </c>
      <c r="I2" s="705" t="str">
        <f t="shared" si="0"/>
        <v>4000(含)-5000</v>
      </c>
      <c r="J2" s="705" t="str">
        <f t="shared" si="0"/>
        <v>5000(含)-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500</v>
      </c>
      <c r="E3" s="710">
        <v>1000</v>
      </c>
      <c r="F3" s="1707">
        <v>1500</v>
      </c>
      <c r="G3" s="1707">
        <v>2000</v>
      </c>
      <c r="H3" s="1707">
        <v>3000</v>
      </c>
      <c r="I3" s="1707">
        <v>4000</v>
      </c>
      <c r="J3" s="1707">
        <v>5000</v>
      </c>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99</v>
      </c>
      <c r="D4" s="1214">
        <v>100</v>
      </c>
      <c r="E4" s="1214">
        <v>101</v>
      </c>
      <c r="F4" s="1711">
        <v>102</v>
      </c>
      <c r="G4" s="1711">
        <v>103</v>
      </c>
      <c r="H4" s="1711">
        <v>104</v>
      </c>
      <c r="I4" s="1711">
        <v>105</v>
      </c>
      <c r="J4" s="1711">
        <v>106</v>
      </c>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2958" t="s">
        <v>3096</v>
      </c>
      <c r="C5" s="2971" t="s">
        <v>3186</v>
      </c>
      <c r="D5" s="2972" t="s">
        <v>3188</v>
      </c>
      <c r="E5" s="1220"/>
      <c r="F5" s="1714"/>
      <c r="G5" s="1714"/>
      <c r="H5" s="1714"/>
      <c r="I5" s="1714"/>
      <c r="J5" s="1714"/>
      <c r="K5" s="1714"/>
      <c r="L5" s="1715"/>
      <c r="M5" s="1716"/>
      <c r="N5" s="1716"/>
      <c r="O5" s="1714"/>
      <c r="P5" s="1714"/>
      <c r="Q5" s="1714"/>
      <c r="R5" s="1714"/>
      <c r="S5" s="1717"/>
      <c r="T5" s="1222">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98</v>
      </c>
      <c r="E6" s="1122">
        <f t="shared" ref="E6:S6" si="7">D6-$T5</f>
        <v>96</v>
      </c>
      <c r="F6" s="1718">
        <f t="shared" si="7"/>
        <v>94</v>
      </c>
      <c r="G6" s="1718">
        <f t="shared" si="7"/>
        <v>92</v>
      </c>
      <c r="H6" s="1718">
        <f t="shared" si="7"/>
        <v>90</v>
      </c>
      <c r="I6" s="1718">
        <f t="shared" si="7"/>
        <v>88</v>
      </c>
      <c r="J6" s="1718">
        <f t="shared" si="7"/>
        <v>86</v>
      </c>
      <c r="K6" s="1718">
        <f t="shared" si="7"/>
        <v>84</v>
      </c>
      <c r="L6" s="1718">
        <f t="shared" si="7"/>
        <v>82</v>
      </c>
      <c r="M6" s="1718">
        <f t="shared" si="7"/>
        <v>80</v>
      </c>
      <c r="N6" s="1718">
        <f t="shared" si="7"/>
        <v>78</v>
      </c>
      <c r="O6" s="1718">
        <f t="shared" si="7"/>
        <v>76</v>
      </c>
      <c r="P6" s="1718">
        <f t="shared" si="7"/>
        <v>74</v>
      </c>
      <c r="Q6" s="1718">
        <f t="shared" si="7"/>
        <v>72</v>
      </c>
      <c r="R6" s="1718">
        <f t="shared" si="7"/>
        <v>70</v>
      </c>
      <c r="S6" s="1718">
        <f t="shared" si="7"/>
        <v>68</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2959" t="s">
        <v>3097</v>
      </c>
      <c r="C7" s="1124"/>
      <c r="D7" s="1118"/>
      <c r="E7" s="1118"/>
      <c r="F7" s="1719"/>
      <c r="G7" s="1719"/>
      <c r="H7" s="1719"/>
      <c r="I7" s="1719"/>
      <c r="J7" s="1719"/>
      <c r="K7" s="1719"/>
      <c r="L7" s="1719"/>
      <c r="M7" s="1720"/>
      <c r="N7" s="1721"/>
      <c r="O7" s="1722"/>
      <c r="P7" s="1723"/>
      <c r="Q7" s="1724"/>
      <c r="R7" s="1725"/>
      <c r="S7" s="1726"/>
      <c r="T7" s="713">
        <f>'比较法-工业'!K33</f>
        <v>1</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99</v>
      </c>
      <c r="E8" s="1122">
        <f t="shared" ref="E8:S8" si="8">D8-$T7</f>
        <v>98</v>
      </c>
      <c r="F8" s="1718">
        <f t="shared" si="8"/>
        <v>97</v>
      </c>
      <c r="G8" s="1718">
        <f t="shared" si="8"/>
        <v>96</v>
      </c>
      <c r="H8" s="1718">
        <f t="shared" si="8"/>
        <v>95</v>
      </c>
      <c r="I8" s="1718">
        <f t="shared" si="8"/>
        <v>94</v>
      </c>
      <c r="J8" s="1718">
        <f t="shared" si="8"/>
        <v>93</v>
      </c>
      <c r="K8" s="1718">
        <f t="shared" si="8"/>
        <v>92</v>
      </c>
      <c r="L8" s="1718">
        <f t="shared" si="8"/>
        <v>91</v>
      </c>
      <c r="M8" s="1718">
        <f t="shared" si="8"/>
        <v>90</v>
      </c>
      <c r="N8" s="1718">
        <f t="shared" si="8"/>
        <v>89</v>
      </c>
      <c r="O8" s="1718">
        <f t="shared" si="8"/>
        <v>88</v>
      </c>
      <c r="P8" s="1718">
        <f t="shared" si="8"/>
        <v>87</v>
      </c>
      <c r="Q8" s="1718">
        <f t="shared" si="8"/>
        <v>86</v>
      </c>
      <c r="R8" s="1718">
        <f t="shared" si="8"/>
        <v>85</v>
      </c>
      <c r="S8" s="1718">
        <f t="shared" si="8"/>
        <v>84</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3009</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3013</v>
      </c>
      <c r="B17" s="2921" t="s">
        <v>3014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3015</v>
      </c>
      <c r="E19" s="1795"/>
      <c r="F19" s="1795"/>
      <c r="G19" s="1795"/>
      <c r="H19" s="1283"/>
      <c r="I19" s="168"/>
      <c r="J19" s="168"/>
      <c r="K19" s="168"/>
      <c r="L19" s="168"/>
      <c r="M19" s="168"/>
      <c r="N19" s="168"/>
      <c r="O19" s="168"/>
      <c r="P19" s="168"/>
      <c r="Q19" s="168"/>
      <c r="R19" s="788"/>
      <c r="S19" s="138"/>
    </row>
    <row r="20" spans="1:45" ht="16.5" thickBot="1">
      <c r="A20" s="715" t="s">
        <v>3016</v>
      </c>
      <c r="B20" s="338">
        <f ca="1">IF(D20="——",S22,S22-F20)</f>
        <v>37365</v>
      </c>
      <c r="C20" s="168"/>
      <c r="D20" s="2923" t="s">
        <v>70</v>
      </c>
      <c r="E20" s="1796"/>
      <c r="F20" s="1207" t="e">
        <f ca="1">SUMIF(INDIRECT("'"&amp;H20&amp;"'"&amp;"!A:A"),"承租人权益价值",INDIRECT("'"&amp;H20&amp;"'"&amp;"!c:c"))</f>
        <v>#REF!</v>
      </c>
      <c r="G20" s="1207" t="s">
        <v>3017</v>
      </c>
      <c r="H20" s="2924"/>
      <c r="I20" s="168"/>
      <c r="J20" s="168"/>
      <c r="K20" s="168"/>
      <c r="L20" s="168"/>
      <c r="M20" s="168"/>
      <c r="N20" s="168"/>
      <c r="O20" s="168"/>
      <c r="P20" s="168"/>
      <c r="Q20" s="168"/>
      <c r="R20" s="788"/>
      <c r="S20" s="138"/>
    </row>
    <row r="21" spans="1:45" ht="15.75">
      <c r="A21" s="715" t="s">
        <v>3018</v>
      </c>
      <c r="B21" s="338">
        <f ca="1">R22</f>
        <v>3096</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120679.58000000006</v>
      </c>
      <c r="C22" s="3107" t="s">
        <v>33</v>
      </c>
      <c r="D22" s="3108"/>
      <c r="E22" s="3108"/>
      <c r="F22" s="3108"/>
      <c r="G22" s="3108"/>
      <c r="H22" s="3108"/>
      <c r="I22" s="3108"/>
      <c r="J22" s="3108"/>
      <c r="K22" s="3108"/>
      <c r="L22" s="3108"/>
      <c r="M22" s="3108"/>
      <c r="N22" s="3108"/>
      <c r="O22" s="3108"/>
      <c r="P22" s="3108"/>
      <c r="Q22" s="3325"/>
      <c r="R22" s="716">
        <f ca="1">ROUND(S22*10000/B22,0)</f>
        <v>3096</v>
      </c>
      <c r="S22" s="24">
        <f ca="1">SUM(S24:S10000)</f>
        <v>37365</v>
      </c>
    </row>
    <row r="23" spans="1:45" s="12" customFormat="1" ht="24">
      <c r="A23" s="11" t="s">
        <v>3020</v>
      </c>
      <c r="B23" s="11" t="s">
        <v>3021</v>
      </c>
      <c r="C23" s="11" t="s">
        <v>3022</v>
      </c>
      <c r="D23" s="11" t="str">
        <f>B5</f>
        <v>层高</v>
      </c>
      <c r="E23" s="11" t="s">
        <v>3022</v>
      </c>
      <c r="F23" s="11" t="str">
        <f>B7</f>
        <v>成新度</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3098</v>
      </c>
      <c r="B24" s="718">
        <v>1584.6</v>
      </c>
      <c r="C24" s="719">
        <v>1</v>
      </c>
      <c r="D24" s="720" t="s">
        <v>3185</v>
      </c>
      <c r="E24" s="719">
        <v>1</v>
      </c>
      <c r="F24" s="720"/>
      <c r="G24" s="719">
        <v>1</v>
      </c>
      <c r="H24" s="720"/>
      <c r="I24" s="719">
        <v>1</v>
      </c>
      <c r="J24" s="720"/>
      <c r="K24" s="719">
        <v>1</v>
      </c>
      <c r="L24" s="720"/>
      <c r="M24" s="719">
        <v>1</v>
      </c>
      <c r="N24" s="720"/>
      <c r="O24" s="719">
        <v>1</v>
      </c>
      <c r="P24" s="720"/>
      <c r="Q24" s="719">
        <v>1</v>
      </c>
      <c r="R24" s="721">
        <f ca="1">结果表!G20</f>
        <v>3144</v>
      </c>
      <c r="S24" s="719">
        <f t="shared" ref="S24:S54" ca="1" si="11">ROUND(R24*B24/10000,0)</f>
        <v>498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3099</v>
      </c>
      <c r="B25" s="59">
        <v>1283</v>
      </c>
      <c r="C25" s="24">
        <f>IF(B25="",1,(LOOKUP(B25,$3:$3,$4:$4)-LOOKUP($B$24,$3:$3,$4:$4)+100)/100)</f>
        <v>0.99</v>
      </c>
      <c r="D25" s="720" t="s">
        <v>3185</v>
      </c>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3113</v>
      </c>
      <c r="S25" s="361">
        <f t="shared" ca="1" si="11"/>
        <v>399</v>
      </c>
    </row>
    <row r="26" spans="1:45">
      <c r="A26" s="159" t="s">
        <v>3100</v>
      </c>
      <c r="B26" s="59">
        <v>684.6</v>
      </c>
      <c r="C26" s="24">
        <f t="shared" ref="C26:C89" si="12">IF(B26="",1,(LOOKUP(B26,$3:$3,$4:$4)-LOOKUP($B$24,$3:$3,$4:$4)+100)/100)</f>
        <v>0.98</v>
      </c>
      <c r="D26" s="720" t="s">
        <v>3185</v>
      </c>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3081</v>
      </c>
      <c r="S26" s="361">
        <f t="shared" ca="1" si="11"/>
        <v>211</v>
      </c>
    </row>
    <row r="27" spans="1:45">
      <c r="A27" s="159" t="s">
        <v>3101</v>
      </c>
      <c r="B27" s="59">
        <v>684.6</v>
      </c>
      <c r="C27" s="24">
        <f t="shared" si="12"/>
        <v>0.98</v>
      </c>
      <c r="D27" s="720" t="s">
        <v>3185</v>
      </c>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3081</v>
      </c>
      <c r="S27" s="361">
        <f t="shared" ca="1" si="11"/>
        <v>211</v>
      </c>
    </row>
    <row r="28" spans="1:45">
      <c r="A28" s="159" t="s">
        <v>3102</v>
      </c>
      <c r="B28" s="59">
        <v>2938.7</v>
      </c>
      <c r="C28" s="24">
        <f t="shared" si="12"/>
        <v>1.01</v>
      </c>
      <c r="D28" s="720" t="s">
        <v>3187</v>
      </c>
      <c r="E28" s="24">
        <f t="shared" si="13"/>
        <v>0.98</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3112</v>
      </c>
      <c r="S28" s="361">
        <f t="shared" ca="1" si="11"/>
        <v>915</v>
      </c>
    </row>
    <row r="29" spans="1:45">
      <c r="A29" s="159" t="s">
        <v>3103</v>
      </c>
      <c r="B29" s="59">
        <v>1283</v>
      </c>
      <c r="C29" s="24">
        <f t="shared" si="12"/>
        <v>0.99</v>
      </c>
      <c r="D29" s="720" t="s">
        <v>3185</v>
      </c>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ca="1" si="20"/>
        <v>3113</v>
      </c>
      <c r="S29" s="361">
        <f t="shared" ca="1" si="11"/>
        <v>399</v>
      </c>
    </row>
    <row r="30" spans="1:45">
      <c r="A30" s="159" t="s">
        <v>3104</v>
      </c>
      <c r="B30" s="59">
        <v>1283</v>
      </c>
      <c r="C30" s="24">
        <f t="shared" si="12"/>
        <v>0.99</v>
      </c>
      <c r="D30" s="720" t="s">
        <v>3187</v>
      </c>
      <c r="E30" s="24">
        <f t="shared" si="13"/>
        <v>0.98</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ca="1" si="20"/>
        <v>3050</v>
      </c>
      <c r="S30" s="361">
        <f t="shared" ca="1" si="11"/>
        <v>391</v>
      </c>
    </row>
    <row r="31" spans="1:45">
      <c r="A31" s="159" t="s">
        <v>3105</v>
      </c>
      <c r="B31" s="59">
        <v>1186.3</v>
      </c>
      <c r="C31" s="24">
        <f t="shared" si="12"/>
        <v>0.99</v>
      </c>
      <c r="D31" s="720" t="s">
        <v>3187</v>
      </c>
      <c r="E31" s="24">
        <f t="shared" si="13"/>
        <v>0.98</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ca="1" si="20"/>
        <v>3050</v>
      </c>
      <c r="S31" s="361">
        <f t="shared" ca="1" si="11"/>
        <v>362</v>
      </c>
    </row>
    <row r="32" spans="1:45">
      <c r="A32" s="159" t="s">
        <v>3106</v>
      </c>
      <c r="B32" s="59">
        <v>2938.7</v>
      </c>
      <c r="C32" s="24">
        <f t="shared" si="12"/>
        <v>1.01</v>
      </c>
      <c r="D32" s="720" t="s">
        <v>3187</v>
      </c>
      <c r="E32" s="24">
        <f t="shared" si="13"/>
        <v>0.98</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ca="1" si="20"/>
        <v>3112</v>
      </c>
      <c r="S32" s="361">
        <f t="shared" ca="1" si="11"/>
        <v>915</v>
      </c>
    </row>
    <row r="33" spans="1:19">
      <c r="A33" s="159" t="s">
        <v>3107</v>
      </c>
      <c r="B33" s="59">
        <v>1527</v>
      </c>
      <c r="C33" s="24">
        <f t="shared" si="12"/>
        <v>1</v>
      </c>
      <c r="D33" s="720" t="s">
        <v>3185</v>
      </c>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ca="1" si="20"/>
        <v>3144</v>
      </c>
      <c r="S33" s="361">
        <f t="shared" ca="1" si="11"/>
        <v>480</v>
      </c>
    </row>
    <row r="34" spans="1:19">
      <c r="A34" s="159" t="s">
        <v>3108</v>
      </c>
      <c r="B34" s="59">
        <v>684.6</v>
      </c>
      <c r="C34" s="24">
        <f t="shared" si="12"/>
        <v>0.98</v>
      </c>
      <c r="D34" s="720" t="s">
        <v>3185</v>
      </c>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ca="1" si="20"/>
        <v>3081</v>
      </c>
      <c r="S34" s="361">
        <f t="shared" ca="1" si="11"/>
        <v>211</v>
      </c>
    </row>
    <row r="35" spans="1:19">
      <c r="A35" s="159" t="s">
        <v>3109</v>
      </c>
      <c r="B35" s="59">
        <v>684.6</v>
      </c>
      <c r="C35" s="24">
        <f t="shared" si="12"/>
        <v>0.98</v>
      </c>
      <c r="D35" s="720" t="s">
        <v>3185</v>
      </c>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ca="1" si="20"/>
        <v>3081</v>
      </c>
      <c r="S35" s="361">
        <f t="shared" ca="1" si="11"/>
        <v>211</v>
      </c>
    </row>
    <row r="36" spans="1:19">
      <c r="A36" s="159" t="s">
        <v>3110</v>
      </c>
      <c r="B36" s="59">
        <v>2243.4</v>
      </c>
      <c r="C36" s="24">
        <f t="shared" si="12"/>
        <v>1.01</v>
      </c>
      <c r="D36" s="720" t="s">
        <v>3187</v>
      </c>
      <c r="E36" s="24">
        <f t="shared" si="13"/>
        <v>0.98</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ca="1" si="20"/>
        <v>3112</v>
      </c>
      <c r="S36" s="361">
        <f t="shared" ca="1" si="11"/>
        <v>698</v>
      </c>
    </row>
    <row r="37" spans="1:19">
      <c r="A37" s="159" t="s">
        <v>3111</v>
      </c>
      <c r="B37" s="59">
        <v>1527</v>
      </c>
      <c r="C37" s="24">
        <f t="shared" si="12"/>
        <v>1</v>
      </c>
      <c r="D37" s="720" t="s">
        <v>3185</v>
      </c>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ca="1" si="20"/>
        <v>3144</v>
      </c>
      <c r="S37" s="361">
        <f t="shared" ca="1" si="11"/>
        <v>480</v>
      </c>
    </row>
    <row r="38" spans="1:19">
      <c r="A38" s="159" t="s">
        <v>3112</v>
      </c>
      <c r="B38" s="59">
        <v>2938.7</v>
      </c>
      <c r="C38" s="24">
        <f t="shared" si="12"/>
        <v>1.01</v>
      </c>
      <c r="D38" s="720" t="s">
        <v>3187</v>
      </c>
      <c r="E38" s="24">
        <f t="shared" si="13"/>
        <v>0.98</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ca="1" si="20"/>
        <v>3112</v>
      </c>
      <c r="S38" s="361">
        <f t="shared" ca="1" si="11"/>
        <v>915</v>
      </c>
    </row>
    <row r="39" spans="1:19">
      <c r="A39" s="159" t="s">
        <v>3113</v>
      </c>
      <c r="B39" s="59">
        <v>1527</v>
      </c>
      <c r="C39" s="24">
        <f t="shared" si="12"/>
        <v>1</v>
      </c>
      <c r="D39" s="720" t="s">
        <v>3185</v>
      </c>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ca="1" si="20"/>
        <v>3144</v>
      </c>
      <c r="S39" s="361">
        <f t="shared" ca="1" si="11"/>
        <v>480</v>
      </c>
    </row>
    <row r="40" spans="1:19">
      <c r="A40" s="159" t="s">
        <v>3114</v>
      </c>
      <c r="B40" s="59">
        <v>811.2</v>
      </c>
      <c r="C40" s="24">
        <f t="shared" si="12"/>
        <v>0.98</v>
      </c>
      <c r="D40" s="720" t="s">
        <v>3185</v>
      </c>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ca="1" si="20"/>
        <v>3081</v>
      </c>
      <c r="S40" s="361">
        <f t="shared" ca="1" si="11"/>
        <v>250</v>
      </c>
    </row>
    <row r="41" spans="1:19">
      <c r="A41" s="159" t="s">
        <v>3115</v>
      </c>
      <c r="B41" s="59">
        <v>1594.6</v>
      </c>
      <c r="C41" s="24">
        <f t="shared" si="12"/>
        <v>1</v>
      </c>
      <c r="D41" s="720" t="s">
        <v>3185</v>
      </c>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ca="1" si="20"/>
        <v>3144</v>
      </c>
      <c r="S41" s="361">
        <f t="shared" ca="1" si="11"/>
        <v>501</v>
      </c>
    </row>
    <row r="42" spans="1:19">
      <c r="A42" s="159" t="s">
        <v>3116</v>
      </c>
      <c r="B42" s="59">
        <v>1594.6</v>
      </c>
      <c r="C42" s="24">
        <f t="shared" si="12"/>
        <v>1</v>
      </c>
      <c r="D42" s="720" t="s">
        <v>3185</v>
      </c>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ca="1" si="20"/>
        <v>3144</v>
      </c>
      <c r="S42" s="361">
        <f t="shared" ca="1" si="11"/>
        <v>501</v>
      </c>
    </row>
    <row r="43" spans="1:19">
      <c r="A43" s="159" t="s">
        <v>3117</v>
      </c>
      <c r="B43" s="59">
        <v>1083.3</v>
      </c>
      <c r="C43" s="24">
        <f t="shared" si="12"/>
        <v>0.99</v>
      </c>
      <c r="D43" s="720" t="s">
        <v>3185</v>
      </c>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ca="1" si="20"/>
        <v>3113</v>
      </c>
      <c r="S43" s="361">
        <f t="shared" ca="1" si="11"/>
        <v>337</v>
      </c>
    </row>
    <row r="44" spans="1:19">
      <c r="A44" s="159" t="s">
        <v>3118</v>
      </c>
      <c r="B44" s="59">
        <v>1594.6</v>
      </c>
      <c r="C44" s="24">
        <f t="shared" si="12"/>
        <v>1</v>
      </c>
      <c r="D44" s="720" t="s">
        <v>3185</v>
      </c>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ca="1" si="20"/>
        <v>3144</v>
      </c>
      <c r="S44" s="361">
        <f t="shared" ca="1" si="11"/>
        <v>501</v>
      </c>
    </row>
    <row r="45" spans="1:19">
      <c r="A45" s="159" t="s">
        <v>3119</v>
      </c>
      <c r="B45" s="59">
        <v>1699.9</v>
      </c>
      <c r="C45" s="24">
        <f t="shared" si="12"/>
        <v>1</v>
      </c>
      <c r="D45" s="720" t="s">
        <v>3185</v>
      </c>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ca="1" si="20"/>
        <v>3144</v>
      </c>
      <c r="S45" s="361">
        <f t="shared" ca="1" si="11"/>
        <v>534</v>
      </c>
    </row>
    <row r="46" spans="1:19" s="2421" customFormat="1">
      <c r="A46" s="2973" t="s">
        <v>3120</v>
      </c>
      <c r="B46" s="2974">
        <v>1611</v>
      </c>
      <c r="C46" s="2975">
        <f t="shared" si="12"/>
        <v>1</v>
      </c>
      <c r="D46" s="2976" t="s">
        <v>3185</v>
      </c>
      <c r="E46" s="2975">
        <f t="shared" si="13"/>
        <v>1</v>
      </c>
      <c r="F46" s="2976"/>
      <c r="G46" s="2975">
        <f t="shared" si="14"/>
        <v>1</v>
      </c>
      <c r="H46" s="2976"/>
      <c r="I46" s="2975">
        <f t="shared" si="15"/>
        <v>1</v>
      </c>
      <c r="J46" s="2976"/>
      <c r="K46" s="2975">
        <f t="shared" si="16"/>
        <v>1</v>
      </c>
      <c r="L46" s="2976"/>
      <c r="M46" s="2975">
        <f t="shared" si="17"/>
        <v>1</v>
      </c>
      <c r="N46" s="2976"/>
      <c r="O46" s="2975">
        <f t="shared" si="18"/>
        <v>1</v>
      </c>
      <c r="P46" s="2976"/>
      <c r="Q46" s="2975">
        <f t="shared" si="19"/>
        <v>1</v>
      </c>
      <c r="R46" s="2977">
        <f t="shared" ca="1" si="20"/>
        <v>3144</v>
      </c>
      <c r="S46" s="2978">
        <f t="shared" ca="1" si="11"/>
        <v>506</v>
      </c>
    </row>
    <row r="47" spans="1:19">
      <c r="A47" s="159" t="s">
        <v>3121</v>
      </c>
      <c r="B47" s="59">
        <v>689.3</v>
      </c>
      <c r="C47" s="24">
        <f t="shared" si="12"/>
        <v>0.98</v>
      </c>
      <c r="D47" s="720" t="s">
        <v>3187</v>
      </c>
      <c r="E47" s="24">
        <f t="shared" si="13"/>
        <v>0.98</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ca="1" si="20"/>
        <v>3019</v>
      </c>
      <c r="S47" s="361">
        <f t="shared" ca="1" si="11"/>
        <v>208</v>
      </c>
    </row>
    <row r="48" spans="1:19">
      <c r="A48" s="159" t="s">
        <v>3122</v>
      </c>
      <c r="B48" s="59">
        <v>1594.6</v>
      </c>
      <c r="C48" s="24">
        <f t="shared" si="12"/>
        <v>1</v>
      </c>
      <c r="D48" s="720" t="s">
        <v>3185</v>
      </c>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ca="1" si="20"/>
        <v>3144</v>
      </c>
      <c r="S48" s="361">
        <f t="shared" ca="1" si="11"/>
        <v>501</v>
      </c>
    </row>
    <row r="49" spans="1:19">
      <c r="A49" s="159" t="s">
        <v>3123</v>
      </c>
      <c r="B49" s="59">
        <v>1594.6</v>
      </c>
      <c r="C49" s="24">
        <f t="shared" si="12"/>
        <v>1</v>
      </c>
      <c r="D49" s="720" t="s">
        <v>3185</v>
      </c>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ca="1" si="20"/>
        <v>3144</v>
      </c>
      <c r="S49" s="361">
        <f t="shared" ca="1" si="11"/>
        <v>501</v>
      </c>
    </row>
    <row r="50" spans="1:19">
      <c r="A50" s="159" t="s">
        <v>3124</v>
      </c>
      <c r="B50" s="59">
        <v>1594.6</v>
      </c>
      <c r="C50" s="24">
        <f t="shared" si="12"/>
        <v>1</v>
      </c>
      <c r="D50" s="720" t="s">
        <v>3185</v>
      </c>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ca="1" si="20"/>
        <v>3144</v>
      </c>
      <c r="S50" s="361">
        <f t="shared" ca="1" si="11"/>
        <v>501</v>
      </c>
    </row>
    <row r="51" spans="1:19">
      <c r="A51" s="159" t="s">
        <v>3125</v>
      </c>
      <c r="B51" s="59">
        <v>1594.6</v>
      </c>
      <c r="C51" s="24">
        <f t="shared" si="12"/>
        <v>1</v>
      </c>
      <c r="D51" s="720" t="s">
        <v>3185</v>
      </c>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ca="1" si="20"/>
        <v>3144</v>
      </c>
      <c r="S51" s="361">
        <f t="shared" ca="1" si="11"/>
        <v>501</v>
      </c>
    </row>
    <row r="52" spans="1:19">
      <c r="A52" s="159" t="s">
        <v>3126</v>
      </c>
      <c r="B52" s="59">
        <v>742.2</v>
      </c>
      <c r="C52" s="24">
        <f t="shared" si="12"/>
        <v>0.98</v>
      </c>
      <c r="D52" s="720" t="s">
        <v>3187</v>
      </c>
      <c r="E52" s="24">
        <f t="shared" si="13"/>
        <v>0.98</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ca="1" si="20"/>
        <v>3019</v>
      </c>
      <c r="S52" s="361">
        <f t="shared" ca="1" si="11"/>
        <v>224</v>
      </c>
    </row>
    <row r="53" spans="1:19">
      <c r="A53" s="159" t="s">
        <v>3127</v>
      </c>
      <c r="B53" s="59">
        <v>1446.8</v>
      </c>
      <c r="C53" s="24">
        <f t="shared" si="12"/>
        <v>0.99</v>
      </c>
      <c r="D53" s="720" t="s">
        <v>3185</v>
      </c>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ca="1" si="20"/>
        <v>3113</v>
      </c>
      <c r="S53" s="361">
        <f t="shared" ca="1" si="11"/>
        <v>450</v>
      </c>
    </row>
    <row r="54" spans="1:19">
      <c r="A54" s="159" t="s">
        <v>3128</v>
      </c>
      <c r="B54" s="59">
        <v>1275.3</v>
      </c>
      <c r="C54" s="24">
        <f t="shared" si="12"/>
        <v>0.99</v>
      </c>
      <c r="D54" s="720" t="s">
        <v>3185</v>
      </c>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ca="1" si="20"/>
        <v>3113</v>
      </c>
      <c r="S54" s="361">
        <f t="shared" ca="1" si="11"/>
        <v>397</v>
      </c>
    </row>
    <row r="55" spans="1:19">
      <c r="A55" s="159" t="s">
        <v>3129</v>
      </c>
      <c r="B55" s="59">
        <v>1161.8</v>
      </c>
      <c r="C55" s="24">
        <f t="shared" si="12"/>
        <v>0.99</v>
      </c>
      <c r="D55" s="720" t="s">
        <v>3187</v>
      </c>
      <c r="E55" s="24">
        <f t="shared" si="13"/>
        <v>0.98</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ca="1" si="20"/>
        <v>3050</v>
      </c>
      <c r="S55" s="361">
        <f t="shared" ref="S55:S77" ca="1" si="21">ROUND(R55*B55/10000,0)</f>
        <v>354</v>
      </c>
    </row>
    <row r="56" spans="1:19">
      <c r="A56" s="159" t="s">
        <v>3130</v>
      </c>
      <c r="B56" s="59">
        <v>1161.8</v>
      </c>
      <c r="C56" s="24">
        <f t="shared" si="12"/>
        <v>0.99</v>
      </c>
      <c r="D56" s="720" t="s">
        <v>3187</v>
      </c>
      <c r="E56" s="24">
        <f t="shared" si="13"/>
        <v>0.98</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ca="1" si="20"/>
        <v>3050</v>
      </c>
      <c r="S56" s="361">
        <f t="shared" ca="1" si="21"/>
        <v>354</v>
      </c>
    </row>
    <row r="57" spans="1:19">
      <c r="A57" s="159" t="s">
        <v>3131</v>
      </c>
      <c r="B57" s="59">
        <v>2878.5</v>
      </c>
      <c r="C57" s="24">
        <f t="shared" si="12"/>
        <v>1.01</v>
      </c>
      <c r="D57" s="720" t="s">
        <v>3187</v>
      </c>
      <c r="E57" s="24">
        <f t="shared" si="13"/>
        <v>0.98</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ca="1" si="20"/>
        <v>3112</v>
      </c>
      <c r="S57" s="361">
        <f t="shared" ca="1" si="21"/>
        <v>896</v>
      </c>
    </row>
    <row r="58" spans="1:19">
      <c r="A58" s="159" t="s">
        <v>3132</v>
      </c>
      <c r="B58" s="59">
        <v>2878.5</v>
      </c>
      <c r="C58" s="24">
        <f t="shared" si="12"/>
        <v>1.01</v>
      </c>
      <c r="D58" s="720" t="s">
        <v>3187</v>
      </c>
      <c r="E58" s="24">
        <f t="shared" si="13"/>
        <v>0.98</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ca="1" si="20"/>
        <v>3112</v>
      </c>
      <c r="S58" s="361">
        <f t="shared" ca="1" si="21"/>
        <v>896</v>
      </c>
    </row>
    <row r="59" spans="1:19">
      <c r="A59" s="159" t="s">
        <v>3133</v>
      </c>
      <c r="B59" s="59">
        <v>1161.8</v>
      </c>
      <c r="C59" s="24">
        <f t="shared" si="12"/>
        <v>0.99</v>
      </c>
      <c r="D59" s="720" t="s">
        <v>3187</v>
      </c>
      <c r="E59" s="24">
        <f t="shared" si="13"/>
        <v>0.98</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ca="1" si="20"/>
        <v>3050</v>
      </c>
      <c r="S59" s="361">
        <f t="shared" ca="1" si="21"/>
        <v>354</v>
      </c>
    </row>
    <row r="60" spans="1:19">
      <c r="A60" s="159" t="s">
        <v>3134</v>
      </c>
      <c r="B60" s="59">
        <v>1552</v>
      </c>
      <c r="C60" s="24">
        <f t="shared" si="12"/>
        <v>1</v>
      </c>
      <c r="D60" s="720" t="s">
        <v>3187</v>
      </c>
      <c r="E60" s="24">
        <f t="shared" si="13"/>
        <v>0.98</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ca="1" si="20"/>
        <v>3081</v>
      </c>
      <c r="S60" s="361">
        <f t="shared" ca="1" si="21"/>
        <v>478</v>
      </c>
    </row>
    <row r="61" spans="1:19">
      <c r="A61" s="159" t="s">
        <v>3135</v>
      </c>
      <c r="B61" s="59">
        <v>1552</v>
      </c>
      <c r="C61" s="24">
        <f t="shared" si="12"/>
        <v>1</v>
      </c>
      <c r="D61" s="720" t="s">
        <v>3187</v>
      </c>
      <c r="E61" s="24">
        <f t="shared" si="13"/>
        <v>0.98</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ca="1" si="20"/>
        <v>3081</v>
      </c>
      <c r="S61" s="361">
        <f t="shared" ca="1" si="21"/>
        <v>478</v>
      </c>
    </row>
    <row r="62" spans="1:19">
      <c r="A62" s="159" t="s">
        <v>3136</v>
      </c>
      <c r="B62" s="59">
        <v>1161.8</v>
      </c>
      <c r="C62" s="24">
        <f t="shared" si="12"/>
        <v>0.99</v>
      </c>
      <c r="D62" s="720" t="s">
        <v>3187</v>
      </c>
      <c r="E62" s="24">
        <f t="shared" si="13"/>
        <v>0.98</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ca="1" si="20"/>
        <v>3050</v>
      </c>
      <c r="S62" s="361">
        <f t="shared" ca="1" si="21"/>
        <v>354</v>
      </c>
    </row>
    <row r="63" spans="1:19">
      <c r="A63" s="159" t="s">
        <v>3137</v>
      </c>
      <c r="B63" s="59">
        <v>1161.8</v>
      </c>
      <c r="C63" s="24">
        <f t="shared" si="12"/>
        <v>0.99</v>
      </c>
      <c r="D63" s="720" t="s">
        <v>3187</v>
      </c>
      <c r="E63" s="24">
        <f t="shared" si="13"/>
        <v>0.98</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ca="1" si="20"/>
        <v>3050</v>
      </c>
      <c r="S63" s="361">
        <f t="shared" ca="1" si="21"/>
        <v>354</v>
      </c>
    </row>
    <row r="64" spans="1:19">
      <c r="A64" s="159" t="s">
        <v>3138</v>
      </c>
      <c r="B64" s="59">
        <v>1298.0999999999999</v>
      </c>
      <c r="C64" s="24">
        <f t="shared" si="12"/>
        <v>0.99</v>
      </c>
      <c r="D64" s="720" t="s">
        <v>3187</v>
      </c>
      <c r="E64" s="24">
        <f t="shared" si="13"/>
        <v>0.98</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ca="1" si="20"/>
        <v>3050</v>
      </c>
      <c r="S64" s="361">
        <f t="shared" ca="1" si="21"/>
        <v>396</v>
      </c>
    </row>
    <row r="65" spans="1:19">
      <c r="A65" s="159" t="s">
        <v>3139</v>
      </c>
      <c r="B65" s="59">
        <v>2946.3</v>
      </c>
      <c r="C65" s="24">
        <f t="shared" si="12"/>
        <v>1.01</v>
      </c>
      <c r="D65" s="720" t="s">
        <v>3187</v>
      </c>
      <c r="E65" s="24">
        <f t="shared" si="13"/>
        <v>0.98</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ca="1" si="20"/>
        <v>3112</v>
      </c>
      <c r="S65" s="361">
        <f t="shared" ca="1" si="21"/>
        <v>917</v>
      </c>
    </row>
    <row r="66" spans="1:19">
      <c r="A66" s="159" t="s">
        <v>3140</v>
      </c>
      <c r="B66" s="59">
        <v>1552</v>
      </c>
      <c r="C66" s="24">
        <f t="shared" si="12"/>
        <v>1</v>
      </c>
      <c r="D66" s="720" t="s">
        <v>3187</v>
      </c>
      <c r="E66" s="24">
        <f t="shared" si="13"/>
        <v>0.98</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ca="1" si="20"/>
        <v>3081</v>
      </c>
      <c r="S66" s="361">
        <f t="shared" ca="1" si="21"/>
        <v>478</v>
      </c>
    </row>
    <row r="67" spans="1:19">
      <c r="A67" s="159" t="s">
        <v>3141</v>
      </c>
      <c r="B67" s="59">
        <v>2946</v>
      </c>
      <c r="C67" s="24">
        <f t="shared" si="12"/>
        <v>1.01</v>
      </c>
      <c r="D67" s="720" t="s">
        <v>3187</v>
      </c>
      <c r="E67" s="24">
        <f t="shared" si="13"/>
        <v>0.98</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ca="1" si="20"/>
        <v>3112</v>
      </c>
      <c r="S67" s="361">
        <f t="shared" ca="1" si="21"/>
        <v>917</v>
      </c>
    </row>
    <row r="68" spans="1:19">
      <c r="A68" s="159" t="s">
        <v>3142</v>
      </c>
      <c r="B68" s="59">
        <v>1126.8599999999999</v>
      </c>
      <c r="C68" s="24">
        <f t="shared" si="12"/>
        <v>0.99</v>
      </c>
      <c r="D68" s="720" t="s">
        <v>3185</v>
      </c>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ca="1" si="20"/>
        <v>3113</v>
      </c>
      <c r="S68" s="361">
        <f t="shared" ca="1" si="21"/>
        <v>351</v>
      </c>
    </row>
    <row r="69" spans="1:19">
      <c r="A69" s="159" t="s">
        <v>3143</v>
      </c>
      <c r="B69" s="59">
        <v>1126.8599999999999</v>
      </c>
      <c r="C69" s="24">
        <f t="shared" si="12"/>
        <v>0.99</v>
      </c>
      <c r="D69" s="720" t="s">
        <v>3187</v>
      </c>
      <c r="E69" s="24">
        <f t="shared" si="13"/>
        <v>0.98</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ca="1" si="20"/>
        <v>3050</v>
      </c>
      <c r="S69" s="361">
        <f t="shared" ca="1" si="21"/>
        <v>344</v>
      </c>
    </row>
    <row r="70" spans="1:19">
      <c r="A70" s="159" t="s">
        <v>3144</v>
      </c>
      <c r="B70" s="59">
        <v>1232.8800000000001</v>
      </c>
      <c r="C70" s="24">
        <f t="shared" si="12"/>
        <v>0.99</v>
      </c>
      <c r="D70" s="720" t="s">
        <v>3185</v>
      </c>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ca="1" si="20"/>
        <v>3113</v>
      </c>
      <c r="S70" s="361">
        <f t="shared" ca="1" si="21"/>
        <v>384</v>
      </c>
    </row>
    <row r="71" spans="1:19">
      <c r="A71" s="159" t="s">
        <v>3145</v>
      </c>
      <c r="B71" s="59">
        <v>1126.8599999999999</v>
      </c>
      <c r="C71" s="24">
        <f t="shared" si="12"/>
        <v>0.99</v>
      </c>
      <c r="D71" s="720" t="s">
        <v>3185</v>
      </c>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ca="1" si="20"/>
        <v>3113</v>
      </c>
      <c r="S71" s="361">
        <f t="shared" ca="1" si="21"/>
        <v>351</v>
      </c>
    </row>
    <row r="72" spans="1:19">
      <c r="A72" s="159" t="s">
        <v>3146</v>
      </c>
      <c r="B72" s="59">
        <v>1126.8599999999999</v>
      </c>
      <c r="C72" s="24">
        <f t="shared" si="12"/>
        <v>0.99</v>
      </c>
      <c r="D72" s="720" t="s">
        <v>3185</v>
      </c>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ca="1" si="20"/>
        <v>3113</v>
      </c>
      <c r="S72" s="361">
        <f t="shared" ca="1" si="21"/>
        <v>351</v>
      </c>
    </row>
    <row r="73" spans="1:19">
      <c r="A73" s="159" t="s">
        <v>3147</v>
      </c>
      <c r="B73" s="59">
        <v>1126.8599999999999</v>
      </c>
      <c r="C73" s="24">
        <f t="shared" si="12"/>
        <v>0.99</v>
      </c>
      <c r="D73" s="720" t="s">
        <v>3185</v>
      </c>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ca="1" si="20"/>
        <v>3113</v>
      </c>
      <c r="S73" s="361">
        <f t="shared" ca="1" si="21"/>
        <v>351</v>
      </c>
    </row>
    <row r="74" spans="1:19">
      <c r="A74" s="159" t="s">
        <v>3148</v>
      </c>
      <c r="B74" s="59">
        <v>1126.8599999999999</v>
      </c>
      <c r="C74" s="24">
        <f t="shared" si="12"/>
        <v>0.99</v>
      </c>
      <c r="D74" s="720" t="s">
        <v>3185</v>
      </c>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ca="1" si="20"/>
        <v>3113</v>
      </c>
      <c r="S74" s="361">
        <f t="shared" ca="1" si="21"/>
        <v>351</v>
      </c>
    </row>
    <row r="75" spans="1:19">
      <c r="A75" s="159" t="s">
        <v>3149</v>
      </c>
      <c r="B75" s="59">
        <v>885.78</v>
      </c>
      <c r="C75" s="24">
        <f t="shared" si="12"/>
        <v>0.98</v>
      </c>
      <c r="D75" s="720" t="s">
        <v>3185</v>
      </c>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ca="1" si="20"/>
        <v>3081</v>
      </c>
      <c r="S75" s="361">
        <f t="shared" ca="1" si="21"/>
        <v>273</v>
      </c>
    </row>
    <row r="76" spans="1:19">
      <c r="A76" s="159" t="s">
        <v>3150</v>
      </c>
      <c r="B76" s="59">
        <v>885.78</v>
      </c>
      <c r="C76" s="24">
        <f t="shared" si="12"/>
        <v>0.98</v>
      </c>
      <c r="D76" s="720" t="s">
        <v>3185</v>
      </c>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ca="1" si="20"/>
        <v>3081</v>
      </c>
      <c r="S76" s="361">
        <f t="shared" ca="1" si="21"/>
        <v>273</v>
      </c>
    </row>
    <row r="77" spans="1:19">
      <c r="A77" s="159" t="s">
        <v>3151</v>
      </c>
      <c r="B77" s="59">
        <v>1126.8599999999999</v>
      </c>
      <c r="C77" s="24">
        <f t="shared" si="12"/>
        <v>0.99</v>
      </c>
      <c r="D77" s="720" t="s">
        <v>3185</v>
      </c>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ca="1" si="20"/>
        <v>3113</v>
      </c>
      <c r="S77" s="361">
        <f t="shared" ca="1" si="21"/>
        <v>351</v>
      </c>
    </row>
    <row r="78" spans="1:19">
      <c r="A78" s="159" t="s">
        <v>3152</v>
      </c>
      <c r="B78" s="59">
        <v>1126.8599999999999</v>
      </c>
      <c r="C78" s="24">
        <f t="shared" si="12"/>
        <v>0.99</v>
      </c>
      <c r="D78" s="720" t="s">
        <v>3185</v>
      </c>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ca="1" si="20"/>
        <v>3113</v>
      </c>
      <c r="S78" s="361">
        <f t="shared" ref="S78:S122" ca="1" si="22">ROUND(R78*B78/10000,0)</f>
        <v>351</v>
      </c>
    </row>
    <row r="79" spans="1:19">
      <c r="A79" s="159" t="s">
        <v>3153</v>
      </c>
      <c r="B79" s="59">
        <v>1126.8599999999999</v>
      </c>
      <c r="C79" s="24">
        <f t="shared" si="12"/>
        <v>0.99</v>
      </c>
      <c r="D79" s="720" t="s">
        <v>3185</v>
      </c>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ca="1" si="20"/>
        <v>3113</v>
      </c>
      <c r="S79" s="361">
        <f t="shared" ca="1" si="22"/>
        <v>351</v>
      </c>
    </row>
    <row r="80" spans="1:19">
      <c r="A80" s="159" t="s">
        <v>3154</v>
      </c>
      <c r="B80" s="59">
        <v>985.28</v>
      </c>
      <c r="C80" s="24">
        <f t="shared" si="12"/>
        <v>0.98</v>
      </c>
      <c r="D80" s="720" t="s">
        <v>3185</v>
      </c>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ca="1" si="20"/>
        <v>3081</v>
      </c>
      <c r="S80" s="361">
        <f t="shared" ca="1" si="22"/>
        <v>304</v>
      </c>
    </row>
    <row r="81" spans="1:19">
      <c r="A81" s="159" t="s">
        <v>3155</v>
      </c>
      <c r="B81" s="59">
        <v>1232.8800000000001</v>
      </c>
      <c r="C81" s="24">
        <f t="shared" si="12"/>
        <v>0.99</v>
      </c>
      <c r="D81" s="720" t="s">
        <v>3185</v>
      </c>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ca="1" si="20"/>
        <v>3113</v>
      </c>
      <c r="S81" s="361">
        <f t="shared" ca="1" si="22"/>
        <v>384</v>
      </c>
    </row>
    <row r="82" spans="1:19">
      <c r="A82" s="159" t="s">
        <v>3156</v>
      </c>
      <c r="B82" s="59">
        <v>1232.8800000000001</v>
      </c>
      <c r="C82" s="24">
        <f t="shared" si="12"/>
        <v>0.99</v>
      </c>
      <c r="D82" s="720" t="s">
        <v>3185</v>
      </c>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ca="1" si="20"/>
        <v>3113</v>
      </c>
      <c r="S82" s="361">
        <f t="shared" ca="1" si="22"/>
        <v>384</v>
      </c>
    </row>
    <row r="83" spans="1:19">
      <c r="A83" s="159" t="s">
        <v>3157</v>
      </c>
      <c r="B83" s="59">
        <v>1126.8599999999999</v>
      </c>
      <c r="C83" s="24">
        <f t="shared" si="12"/>
        <v>0.99</v>
      </c>
      <c r="D83" s="720" t="s">
        <v>3185</v>
      </c>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ca="1" si="20"/>
        <v>3113</v>
      </c>
      <c r="S83" s="361">
        <f t="shared" ca="1" si="22"/>
        <v>351</v>
      </c>
    </row>
    <row r="84" spans="1:19">
      <c r="A84" s="159" t="s">
        <v>3158</v>
      </c>
      <c r="B84" s="59">
        <v>985.28</v>
      </c>
      <c r="C84" s="24">
        <f t="shared" si="12"/>
        <v>0.98</v>
      </c>
      <c r="D84" s="720" t="s">
        <v>3185</v>
      </c>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ca="1" si="20"/>
        <v>3081</v>
      </c>
      <c r="S84" s="361">
        <f t="shared" ca="1" si="22"/>
        <v>304</v>
      </c>
    </row>
    <row r="85" spans="1:19">
      <c r="A85" s="159" t="s">
        <v>3159</v>
      </c>
      <c r="B85" s="59">
        <v>985.28</v>
      </c>
      <c r="C85" s="24">
        <f t="shared" si="12"/>
        <v>0.98</v>
      </c>
      <c r="D85" s="720" t="s">
        <v>3185</v>
      </c>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ca="1" si="20"/>
        <v>3081</v>
      </c>
      <c r="S85" s="361">
        <f t="shared" ca="1" si="22"/>
        <v>304</v>
      </c>
    </row>
    <row r="86" spans="1:19">
      <c r="A86" s="159" t="s">
        <v>3160</v>
      </c>
      <c r="B86" s="59">
        <v>885.78</v>
      </c>
      <c r="C86" s="24">
        <f t="shared" si="12"/>
        <v>0.98</v>
      </c>
      <c r="D86" s="720" t="s">
        <v>3185</v>
      </c>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ca="1" si="20"/>
        <v>3081</v>
      </c>
      <c r="S86" s="361">
        <f t="shared" ca="1" si="22"/>
        <v>273</v>
      </c>
    </row>
    <row r="87" spans="1:19">
      <c r="A87" s="159" t="s">
        <v>3161</v>
      </c>
      <c r="B87" s="59">
        <v>885.78</v>
      </c>
      <c r="C87" s="24">
        <f t="shared" si="12"/>
        <v>0.98</v>
      </c>
      <c r="D87" s="720" t="s">
        <v>3185</v>
      </c>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ca="1" si="20"/>
        <v>3081</v>
      </c>
      <c r="S87" s="361">
        <f t="shared" ca="1" si="22"/>
        <v>273</v>
      </c>
    </row>
    <row r="88" spans="1:19">
      <c r="A88" s="159" t="s">
        <v>3162</v>
      </c>
      <c r="B88" s="59">
        <v>985.28</v>
      </c>
      <c r="C88" s="24">
        <f t="shared" si="12"/>
        <v>0.98</v>
      </c>
      <c r="D88" s="720" t="s">
        <v>3185</v>
      </c>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ca="1" si="20"/>
        <v>3081</v>
      </c>
      <c r="S88" s="361">
        <f t="shared" ca="1" si="22"/>
        <v>304</v>
      </c>
    </row>
    <row r="89" spans="1:19">
      <c r="A89" s="159" t="s">
        <v>3163</v>
      </c>
      <c r="B89" s="59">
        <v>1621.84</v>
      </c>
      <c r="C89" s="24">
        <f t="shared" si="12"/>
        <v>1</v>
      </c>
      <c r="D89" s="720" t="s">
        <v>3187</v>
      </c>
      <c r="E89" s="24">
        <f t="shared" si="13"/>
        <v>0.98</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ca="1" si="20"/>
        <v>3081</v>
      </c>
      <c r="S89" s="361">
        <f t="shared" ca="1" si="22"/>
        <v>500</v>
      </c>
    </row>
    <row r="90" spans="1:19">
      <c r="A90" s="159" t="s">
        <v>3164</v>
      </c>
      <c r="B90" s="59">
        <v>1603.13</v>
      </c>
      <c r="C90" s="24">
        <f t="shared" ref="C90:C153" si="23">IF(B90="",1,(LOOKUP(B90,$3:$3,$4:$4)-LOOKUP($B$24,$3:$3,$4:$4)+100)/100)</f>
        <v>1</v>
      </c>
      <c r="D90" s="720" t="s">
        <v>3187</v>
      </c>
      <c r="E90" s="24">
        <f t="shared" ref="E90:E153" si="24">(SUMIF($5:$5,D90,$6:$6)-SUMIF($5:$5,$D$24,$6:$6)+100)/100</f>
        <v>0.98</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ca="1" si="31">IF(B90="",0,ROUND($R$24*C90*E90*G90*I90*K90*M90*O90*Q90,0))</f>
        <v>3081</v>
      </c>
      <c r="S90" s="361">
        <f t="shared" ca="1" si="22"/>
        <v>494</v>
      </c>
    </row>
    <row r="91" spans="1:19">
      <c r="A91" s="159" t="s">
        <v>3165</v>
      </c>
      <c r="B91" s="59">
        <v>1621.8</v>
      </c>
      <c r="C91" s="24">
        <f t="shared" si="23"/>
        <v>1</v>
      </c>
      <c r="D91" s="720" t="s">
        <v>3187</v>
      </c>
      <c r="E91" s="24">
        <f t="shared" si="24"/>
        <v>0.98</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ca="1" si="31"/>
        <v>3081</v>
      </c>
      <c r="S91" s="361">
        <f t="shared" ca="1" si="22"/>
        <v>500</v>
      </c>
    </row>
    <row r="92" spans="1:19">
      <c r="A92" s="159" t="s">
        <v>3166</v>
      </c>
      <c r="B92" s="59">
        <v>1621.8</v>
      </c>
      <c r="C92" s="24">
        <f t="shared" si="23"/>
        <v>1</v>
      </c>
      <c r="D92" s="720" t="s">
        <v>3187</v>
      </c>
      <c r="E92" s="24">
        <f t="shared" si="24"/>
        <v>0.98</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ca="1" si="31"/>
        <v>3081</v>
      </c>
      <c r="S92" s="361">
        <f t="shared" ca="1" si="22"/>
        <v>500</v>
      </c>
    </row>
    <row r="93" spans="1:19">
      <c r="A93" s="159" t="s">
        <v>3167</v>
      </c>
      <c r="B93" s="59">
        <v>1335.6</v>
      </c>
      <c r="C93" s="24">
        <f t="shared" si="23"/>
        <v>0.99</v>
      </c>
      <c r="D93" s="720" t="s">
        <v>3187</v>
      </c>
      <c r="E93" s="24">
        <f t="shared" si="24"/>
        <v>0.98</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ca="1" si="31"/>
        <v>3050</v>
      </c>
      <c r="S93" s="361">
        <f t="shared" ca="1" si="22"/>
        <v>407</v>
      </c>
    </row>
    <row r="94" spans="1:19">
      <c r="A94" s="159" t="s">
        <v>3168</v>
      </c>
      <c r="B94" s="59">
        <v>1621.8</v>
      </c>
      <c r="C94" s="24">
        <f t="shared" si="23"/>
        <v>1</v>
      </c>
      <c r="D94" s="720" t="s">
        <v>3187</v>
      </c>
      <c r="E94" s="24">
        <f t="shared" si="24"/>
        <v>0.98</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ca="1" si="31"/>
        <v>3081</v>
      </c>
      <c r="S94" s="361">
        <f t="shared" ca="1" si="22"/>
        <v>500</v>
      </c>
    </row>
    <row r="95" spans="1:19">
      <c r="A95" s="159" t="s">
        <v>3169</v>
      </c>
      <c r="B95" s="59">
        <v>1603.13</v>
      </c>
      <c r="C95" s="24">
        <f t="shared" si="23"/>
        <v>1</v>
      </c>
      <c r="D95" s="720" t="s">
        <v>3187</v>
      </c>
      <c r="E95" s="24">
        <f t="shared" si="24"/>
        <v>0.98</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ca="1" si="31"/>
        <v>3081</v>
      </c>
      <c r="S95" s="361">
        <f t="shared" ca="1" si="22"/>
        <v>494</v>
      </c>
    </row>
    <row r="96" spans="1:19">
      <c r="A96" s="159" t="s">
        <v>3170</v>
      </c>
      <c r="B96" s="59">
        <v>1621.8</v>
      </c>
      <c r="C96" s="24">
        <f t="shared" si="23"/>
        <v>1</v>
      </c>
      <c r="D96" s="720" t="s">
        <v>3187</v>
      </c>
      <c r="E96" s="24">
        <f t="shared" si="24"/>
        <v>0.98</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ca="1" si="31"/>
        <v>3081</v>
      </c>
      <c r="S96" s="361">
        <f t="shared" ca="1" si="22"/>
        <v>500</v>
      </c>
    </row>
    <row r="97" spans="1:19">
      <c r="A97" s="159" t="s">
        <v>3171</v>
      </c>
      <c r="B97" s="59">
        <v>1621.8</v>
      </c>
      <c r="C97" s="24">
        <f t="shared" si="23"/>
        <v>1</v>
      </c>
      <c r="D97" s="720" t="s">
        <v>3187</v>
      </c>
      <c r="E97" s="24">
        <f t="shared" si="24"/>
        <v>0.98</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ca="1" si="31"/>
        <v>3081</v>
      </c>
      <c r="S97" s="361">
        <f t="shared" ca="1" si="22"/>
        <v>500</v>
      </c>
    </row>
    <row r="98" spans="1:19">
      <c r="A98" s="159" t="s">
        <v>3172</v>
      </c>
      <c r="B98" s="59">
        <v>818.54</v>
      </c>
      <c r="C98" s="24">
        <f t="shared" si="23"/>
        <v>0.98</v>
      </c>
      <c r="D98" s="720" t="s">
        <v>3187</v>
      </c>
      <c r="E98" s="24">
        <f t="shared" si="24"/>
        <v>0.98</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ca="1" si="31"/>
        <v>3019</v>
      </c>
      <c r="S98" s="361">
        <f t="shared" ca="1" si="22"/>
        <v>247</v>
      </c>
    </row>
    <row r="99" spans="1:19">
      <c r="A99" s="159" t="s">
        <v>3173</v>
      </c>
      <c r="B99" s="59">
        <v>1603.13</v>
      </c>
      <c r="C99" s="24">
        <f t="shared" si="23"/>
        <v>1</v>
      </c>
      <c r="D99" s="720" t="s">
        <v>3187</v>
      </c>
      <c r="E99" s="24">
        <f t="shared" si="24"/>
        <v>0.98</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ca="1" si="31"/>
        <v>3081</v>
      </c>
      <c r="S99" s="361">
        <f t="shared" ca="1" si="22"/>
        <v>494</v>
      </c>
    </row>
    <row r="100" spans="1:19">
      <c r="A100" s="159" t="s">
        <v>3174</v>
      </c>
      <c r="B100" s="59">
        <v>1067.28</v>
      </c>
      <c r="C100" s="24">
        <f t="shared" si="23"/>
        <v>0.99</v>
      </c>
      <c r="D100" s="720" t="s">
        <v>3187</v>
      </c>
      <c r="E100" s="24">
        <f t="shared" si="24"/>
        <v>0.98</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ca="1" si="31"/>
        <v>3050</v>
      </c>
      <c r="S100" s="361">
        <f t="shared" ca="1" si="22"/>
        <v>326</v>
      </c>
    </row>
    <row r="101" spans="1:19">
      <c r="A101" s="159" t="s">
        <v>3175</v>
      </c>
      <c r="B101" s="59">
        <v>1621.8</v>
      </c>
      <c r="C101" s="24">
        <f t="shared" si="23"/>
        <v>1</v>
      </c>
      <c r="D101" s="720" t="s">
        <v>3187</v>
      </c>
      <c r="E101" s="24">
        <f t="shared" si="24"/>
        <v>0.98</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ca="1" si="31"/>
        <v>3081</v>
      </c>
      <c r="S101" s="361">
        <f t="shared" ca="1" si="22"/>
        <v>500</v>
      </c>
    </row>
    <row r="102" spans="1:19">
      <c r="A102" s="159" t="s">
        <v>3176</v>
      </c>
      <c r="B102" s="59">
        <v>818.54</v>
      </c>
      <c r="C102" s="24">
        <f t="shared" si="23"/>
        <v>0.98</v>
      </c>
      <c r="D102" s="720" t="s">
        <v>3187</v>
      </c>
      <c r="E102" s="24">
        <f t="shared" si="24"/>
        <v>0.98</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ca="1" si="31"/>
        <v>3019</v>
      </c>
      <c r="S102" s="361">
        <f t="shared" ca="1" si="22"/>
        <v>247</v>
      </c>
    </row>
    <row r="103" spans="1:19">
      <c r="A103" s="159" t="s">
        <v>3177</v>
      </c>
      <c r="B103" s="59">
        <v>1067.3</v>
      </c>
      <c r="C103" s="24">
        <f t="shared" si="23"/>
        <v>0.99</v>
      </c>
      <c r="D103" s="720" t="s">
        <v>3187</v>
      </c>
      <c r="E103" s="24">
        <f t="shared" si="24"/>
        <v>0.98</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ca="1" si="31"/>
        <v>3050</v>
      </c>
      <c r="S103" s="361">
        <f t="shared" ca="1" si="22"/>
        <v>326</v>
      </c>
    </row>
    <row r="104" spans="1:19">
      <c r="A104" s="159" t="s">
        <v>3178</v>
      </c>
      <c r="B104" s="59">
        <v>1335.6</v>
      </c>
      <c r="C104" s="24">
        <f t="shared" si="23"/>
        <v>0.99</v>
      </c>
      <c r="D104" s="720" t="s">
        <v>3187</v>
      </c>
      <c r="E104" s="24">
        <f t="shared" si="24"/>
        <v>0.98</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ca="1" si="31"/>
        <v>3050</v>
      </c>
      <c r="S104" s="361">
        <f t="shared" ca="1" si="22"/>
        <v>407</v>
      </c>
    </row>
    <row r="105" spans="1:19">
      <c r="A105" s="159" t="s">
        <v>3179</v>
      </c>
      <c r="B105" s="59">
        <v>1067.3</v>
      </c>
      <c r="C105" s="24">
        <f t="shared" si="23"/>
        <v>0.99</v>
      </c>
      <c r="D105" s="720" t="s">
        <v>3187</v>
      </c>
      <c r="E105" s="24">
        <f t="shared" si="24"/>
        <v>0.98</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ca="1" si="31"/>
        <v>3050</v>
      </c>
      <c r="S105" s="361">
        <f t="shared" ca="1" si="22"/>
        <v>326</v>
      </c>
    </row>
    <row r="106" spans="1:19">
      <c r="A106" s="159" t="s">
        <v>3180</v>
      </c>
      <c r="B106" s="59">
        <v>818.54</v>
      </c>
      <c r="C106" s="24">
        <f t="shared" si="23"/>
        <v>0.98</v>
      </c>
      <c r="D106" s="720" t="s">
        <v>3187</v>
      </c>
      <c r="E106" s="24">
        <f t="shared" si="24"/>
        <v>0.98</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ca="1" si="31"/>
        <v>3019</v>
      </c>
      <c r="S106" s="361">
        <f t="shared" ca="1" si="22"/>
        <v>247</v>
      </c>
    </row>
    <row r="107" spans="1:19">
      <c r="A107" s="159" t="s">
        <v>3181</v>
      </c>
      <c r="B107" s="59">
        <v>1067.28</v>
      </c>
      <c r="C107" s="24">
        <f t="shared" si="23"/>
        <v>0.99</v>
      </c>
      <c r="D107" s="720" t="s">
        <v>3187</v>
      </c>
      <c r="E107" s="24">
        <f t="shared" si="24"/>
        <v>0.98</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ca="1" si="31"/>
        <v>3050</v>
      </c>
      <c r="S107" s="361">
        <f t="shared" ca="1" si="22"/>
        <v>326</v>
      </c>
    </row>
    <row r="108" spans="1:19">
      <c r="A108" s="159" t="s">
        <v>3182</v>
      </c>
      <c r="B108" s="59">
        <v>1603.13</v>
      </c>
      <c r="C108" s="24">
        <f t="shared" si="23"/>
        <v>1</v>
      </c>
      <c r="D108" s="720" t="s">
        <v>3187</v>
      </c>
      <c r="E108" s="24">
        <f t="shared" si="24"/>
        <v>0.98</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ca="1" si="31"/>
        <v>3081</v>
      </c>
      <c r="S108" s="361">
        <f t="shared" ca="1" si="22"/>
        <v>494</v>
      </c>
    </row>
    <row r="109" spans="1:19">
      <c r="A109" s="159" t="s">
        <v>3183</v>
      </c>
      <c r="B109" s="59">
        <v>1067.28</v>
      </c>
      <c r="C109" s="24">
        <f t="shared" si="23"/>
        <v>0.99</v>
      </c>
      <c r="D109" s="720" t="s">
        <v>3187</v>
      </c>
      <c r="E109" s="24">
        <f t="shared" si="24"/>
        <v>0.98</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ca="1" si="31"/>
        <v>3050</v>
      </c>
      <c r="S109" s="361">
        <f t="shared" ca="1" si="22"/>
        <v>326</v>
      </c>
    </row>
    <row r="110" spans="1:19">
      <c r="A110" s="159" t="s">
        <v>3184</v>
      </c>
      <c r="B110" s="59">
        <v>1067.28</v>
      </c>
      <c r="C110" s="24">
        <f t="shared" si="23"/>
        <v>0.99</v>
      </c>
      <c r="D110" s="720" t="s">
        <v>3187</v>
      </c>
      <c r="E110" s="24">
        <f t="shared" si="24"/>
        <v>0.98</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ca="1" si="31"/>
        <v>3050</v>
      </c>
      <c r="S110" s="361">
        <f t="shared" ca="1" si="22"/>
        <v>326</v>
      </c>
    </row>
    <row r="111" spans="1:19">
      <c r="A111" s="159"/>
      <c r="B111" s="59"/>
      <c r="C111" s="24">
        <f t="shared" si="23"/>
        <v>1</v>
      </c>
      <c r="D111" s="720"/>
      <c r="E111" s="24">
        <f t="shared" si="24"/>
        <v>0</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9.5" thickBot="1">
      <c r="A4" s="1964"/>
      <c r="B4" s="3010" t="s">
        <v>1630</v>
      </c>
      <c r="C4" s="3010"/>
      <c r="D4" s="3010"/>
      <c r="E4" s="1964"/>
    </row>
    <row r="5" spans="1:5" ht="16.5" thickTop="1">
      <c r="A5" s="1962"/>
      <c r="B5" s="3008" t="s">
        <v>1622</v>
      </c>
      <c r="C5" s="1965" t="s">
        <v>1623</v>
      </c>
      <c r="D5" s="1043">
        <f ca="1">结果表!H101</f>
        <v>507</v>
      </c>
      <c r="E5" s="1962"/>
    </row>
    <row r="6" spans="1:5" ht="15.75">
      <c r="A6" s="1962"/>
      <c r="B6" s="3008"/>
      <c r="C6" s="1965" t="s">
        <v>1624</v>
      </c>
      <c r="D6" s="1043" t="str">
        <f ca="1">NUMBERSTRING(INT(D5*10000),2)&amp;"元整"</f>
        <v>伍佰零柒万元整</v>
      </c>
      <c r="E6" s="1962"/>
    </row>
    <row r="7" spans="1:5" ht="15.75">
      <c r="A7" s="1962"/>
      <c r="B7" s="3013"/>
      <c r="C7" s="1966" t="s">
        <v>1625</v>
      </c>
      <c r="D7" s="1044">
        <f ca="1">结果表!H102</f>
        <v>3147</v>
      </c>
      <c r="E7" s="1962"/>
    </row>
    <row r="8" spans="1:5" ht="15.75">
      <c r="A8" s="1962"/>
      <c r="B8" s="3014" t="str">
        <f>结果表!E103</f>
        <v>2.估价师知悉的法定优先受偿款</v>
      </c>
      <c r="C8" s="1967" t="s">
        <v>1626</v>
      </c>
      <c r="D8" s="1044">
        <f>结果表!H103</f>
        <v>0</v>
      </c>
      <c r="E8" s="1962"/>
    </row>
    <row r="9" spans="1:5" ht="15.75">
      <c r="A9" s="1962"/>
      <c r="B9" s="3016"/>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07" t="str">
        <f>结果表!E107</f>
        <v>3.房地产抵押价值</v>
      </c>
      <c r="C13" s="1970" t="s">
        <v>1623</v>
      </c>
      <c r="D13" s="1046">
        <f ca="1">结果表!H107</f>
        <v>507</v>
      </c>
      <c r="E13" s="1962"/>
    </row>
    <row r="14" spans="1:5" ht="15.75">
      <c r="A14" s="1962"/>
      <c r="B14" s="3008"/>
      <c r="C14" s="1965" t="s">
        <v>1624</v>
      </c>
      <c r="D14" s="1043" t="str">
        <f ca="1">NUMBERSTRING(INT(D13*10000),2)&amp;"元整"</f>
        <v>伍佰零柒万元整</v>
      </c>
      <c r="E14" s="1962"/>
    </row>
    <row r="15" spans="1:5" ht="15">
      <c r="A15" s="1962"/>
      <c r="B15" s="3013"/>
      <c r="C15" s="1966" t="s">
        <v>1634</v>
      </c>
      <c r="D15" s="1055">
        <f ca="1">结果表!H108</f>
        <v>3147</v>
      </c>
      <c r="E15" s="1962"/>
    </row>
    <row r="16" spans="1:5" ht="15">
      <c r="A16" s="1962"/>
      <c r="B16" s="3014" t="str">
        <f>结果表!E109</f>
        <v>——</v>
      </c>
      <c r="C16" s="1970" t="s">
        <v>1635</v>
      </c>
      <c r="D16" s="1971" t="str">
        <f>结果表!H109</f>
        <v>——</v>
      </c>
      <c r="E16" s="1962"/>
    </row>
    <row r="17" spans="1:5" ht="15.75">
      <c r="A17" s="1962"/>
      <c r="B17" s="3015"/>
      <c r="C17" s="1965" t="s">
        <v>1636</v>
      </c>
      <c r="D17" s="1043" t="e">
        <f>NUMBERSTRING(INT(D16*10000),2)&amp;"元整"</f>
        <v>#VALUE!</v>
      </c>
      <c r="E17" s="1962"/>
    </row>
    <row r="18" spans="1:5" ht="15">
      <c r="A18" s="1962"/>
      <c r="B18" s="3016"/>
      <c r="C18" s="1966" t="s">
        <v>1625</v>
      </c>
      <c r="D18" s="1055" t="str">
        <f>结果表!H110</f>
        <v>——</v>
      </c>
      <c r="E18" s="1962"/>
    </row>
    <row r="19" spans="1:5" ht="15.75">
      <c r="A19" s="1962"/>
      <c r="B19" s="3007" t="str">
        <f>结果表!E111</f>
        <v>——</v>
      </c>
      <c r="C19" s="1970" t="s">
        <v>1623</v>
      </c>
      <c r="D19" s="1044" t="str">
        <f>结果表!H111</f>
        <v>——</v>
      </c>
      <c r="E19" s="1962"/>
    </row>
    <row r="20" spans="1:5" ht="15.75">
      <c r="A20" s="1962"/>
      <c r="B20" s="3008"/>
      <c r="C20" s="1965" t="s">
        <v>1636</v>
      </c>
      <c r="D20" s="1043" t="e">
        <f>NUMBERSTRING(INT(D19*10000),2)&amp;"元整"</f>
        <v>#VALUE!</v>
      </c>
      <c r="E20" s="1962"/>
    </row>
    <row r="21" spans="1:5" ht="15.75" thickBot="1">
      <c r="A21" s="1962"/>
      <c r="B21" s="3009"/>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28050</v>
      </c>
      <c r="C2" s="2" t="s">
        <v>133</v>
      </c>
      <c r="D2" s="243"/>
      <c r="E2" s="243"/>
      <c r="F2" s="243"/>
      <c r="G2" s="243"/>
    </row>
    <row r="3" spans="1:7" s="244" customFormat="1" ht="18" customHeight="1" thickBot="1">
      <c r="A3" s="247" t="s">
        <v>85</v>
      </c>
      <c r="B3" s="248">
        <f ca="1">ROUND(B2*10000/'数据-汇总表'!E3,0)</f>
        <v>174115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810</v>
      </c>
      <c r="D7" s="264"/>
      <c r="E7" s="262"/>
      <c r="F7" s="265">
        <f>'数据-取费表'!B48+'数据-取费表'!B49</f>
        <v>4.0500000000000001E-2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134</v>
      </c>
      <c r="F9" s="265"/>
      <c r="G9" s="270"/>
    </row>
    <row r="10" spans="1:7" s="258" customFormat="1" ht="13.5" customHeight="1">
      <c r="A10" s="953" t="s">
        <v>801</v>
      </c>
      <c r="B10" s="268" t="s">
        <v>94</v>
      </c>
      <c r="C10" s="269">
        <f>ROUND(D10*E10/10000,0)</f>
        <v>10</v>
      </c>
      <c r="D10" s="1035">
        <f>'数据-汇总表'!E6</f>
        <v>1611</v>
      </c>
      <c r="E10" s="269">
        <f>'数据-取费表'!B28</f>
        <v>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24</v>
      </c>
      <c r="D19" s="1039">
        <f>'数据-汇总表'!E3</f>
        <v>1611</v>
      </c>
      <c r="E19" s="255">
        <f>'数据-取费表'!B31</f>
        <v>150</v>
      </c>
      <c r="F19" s="275"/>
      <c r="G19" s="1" t="s">
        <v>1074</v>
      </c>
    </row>
    <row r="20" spans="1:7" s="258" customFormat="1" ht="13.5" customHeight="1">
      <c r="A20" s="951" t="s">
        <v>1057</v>
      </c>
      <c r="B20" s="254" t="s">
        <v>104</v>
      </c>
      <c r="C20" s="276">
        <f>ROUND((C5+C19)*F20,0)</f>
        <v>625</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828</v>
      </c>
      <c r="D22" s="279">
        <f ca="1">C26</f>
        <v>5.9999999999999995E-4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815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1058</v>
      </c>
      <c r="C25" s="1358">
        <f ca="1">ROUND(IF('数据-取费表'!B22&lt;=1,C20*F22*'数据-取费表'!B23/2,C20*(POWER((1+F22),'数据-取费表'!B23/2)-1)),0)</f>
        <v>12</v>
      </c>
      <c r="D25" s="282"/>
      <c r="E25" s="285"/>
      <c r="F25" s="283"/>
      <c r="G25" s="286" t="s">
        <v>110</v>
      </c>
    </row>
    <row r="26" spans="1:7" s="258" customFormat="1">
      <c r="A26" s="954" t="s">
        <v>795</v>
      </c>
      <c r="B26" s="259" t="s">
        <v>1060</v>
      </c>
      <c r="C26" s="282">
        <f ca="1">ROUND(IF('数据-取费表'!B22&lt;=1,F21*F22*'数据-取费表'!B23/2,F21*(POWER((1+F22),'数据-取费表'!B23/2)-1)),4)</f>
        <v>5.9999999999999995E-4</v>
      </c>
      <c r="D26" s="282"/>
      <c r="E26" s="285"/>
      <c r="F26" s="283"/>
      <c r="G26" s="287"/>
    </row>
    <row r="27" spans="1:7" s="258" customFormat="1" ht="24.75">
      <c r="A27" s="951" t="s">
        <v>787</v>
      </c>
      <c r="B27" s="288" t="s">
        <v>112</v>
      </c>
      <c r="C27" s="289">
        <f>C28</f>
        <v>2897</v>
      </c>
      <c r="D27" s="279">
        <f>C29</f>
        <v>4.1000000000000003E-3</v>
      </c>
      <c r="E27" s="280" t="s">
        <v>126</v>
      </c>
      <c r="F27" s="290">
        <f>'数据-取费表'!Q16</f>
        <v>0.15</v>
      </c>
      <c r="G27" s="291" t="s">
        <v>1069</v>
      </c>
    </row>
    <row r="28" spans="1:7" s="258" customFormat="1" ht="13.5" customHeight="1">
      <c r="A28" s="954" t="s">
        <v>794</v>
      </c>
      <c r="B28" s="292" t="s">
        <v>1062</v>
      </c>
      <c r="C28" s="293">
        <f>ROUND((C5+C19+C20)*F27*'数据-取费表'!B21/'数据-取费表'!B20,0)</f>
        <v>2897</v>
      </c>
      <c r="D28" s="279"/>
      <c r="E28" s="280"/>
      <c r="F28" s="290"/>
      <c r="G28" s="291"/>
    </row>
    <row r="29" spans="1:7" s="258" customFormat="1" ht="13.5" customHeight="1">
      <c r="A29" s="954" t="s">
        <v>792</v>
      </c>
      <c r="B29" s="292" t="s">
        <v>1063</v>
      </c>
      <c r="C29" s="282">
        <f>ROUND(C21*F27*'数据-取费表'!B21/'数据-取费表'!B20,4)</f>
        <v>4.1000000000000003E-3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27586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351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306</v>
      </c>
      <c r="D34" s="261"/>
      <c r="E34" s="264"/>
      <c r="F34" s="301">
        <f>IF('数据-取费表'!B24=0,1,'数据-取费表'!N16)</f>
        <v>0.95</v>
      </c>
      <c r="G34" s="263" t="s">
        <v>116</v>
      </c>
    </row>
    <row r="35" spans="1:7" ht="13.5" customHeight="1">
      <c r="A35" s="954" t="s">
        <v>796</v>
      </c>
      <c r="B35" s="259" t="s">
        <v>60</v>
      </c>
      <c r="C35" s="264">
        <f>ROUND(C34*F35,0)</f>
        <v>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31</v>
      </c>
      <c r="D37" s="261">
        <f>'数据-汇总表'!E3</f>
        <v>1611</v>
      </c>
      <c r="E37" s="293">
        <f>'数据-取费表'!B35</f>
        <v>200</v>
      </c>
      <c r="F37" s="303"/>
      <c r="G37" s="305" t="s">
        <v>119</v>
      </c>
    </row>
    <row r="38" spans="1:7" ht="13.5" customHeight="1">
      <c r="A38" s="954" t="s">
        <v>799</v>
      </c>
      <c r="B38" s="259" t="s">
        <v>63</v>
      </c>
      <c r="C38" s="264">
        <f>ROUND(C34*F38,0)</f>
        <v>5</v>
      </c>
      <c r="D38" s="264"/>
      <c r="E38" s="264"/>
      <c r="F38" s="303">
        <f>'数据-取费表'!B36</f>
        <v>1.4999999999999999E-2</v>
      </c>
      <c r="G38" s="263" t="s">
        <v>117</v>
      </c>
    </row>
    <row r="39" spans="1:7" s="258" customFormat="1" ht="13.5" customHeight="1">
      <c r="A39" s="951" t="s">
        <v>783</v>
      </c>
      <c r="B39" s="254" t="s">
        <v>104</v>
      </c>
      <c r="C39" s="276">
        <f>ROUND(C33*F20,0)</f>
        <v>11</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7</v>
      </c>
      <c r="D41" s="279">
        <f ca="1">C44</f>
        <v>5.9999999999999995E-4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7</v>
      </c>
      <c r="D42" s="282"/>
      <c r="E42" s="282"/>
      <c r="F42" s="283"/>
      <c r="G42" s="3192" t="s">
        <v>121</v>
      </c>
    </row>
    <row r="43" spans="1:7" ht="13.5" customHeight="1">
      <c r="A43" s="954" t="s">
        <v>792</v>
      </c>
      <c r="B43" s="259" t="s">
        <v>1064</v>
      </c>
      <c r="C43" s="282">
        <f ca="1">ROUND(IF('数据-取费表'!B22&lt;=1,C39*F22*'数据-取费表'!B21/2,C39*(POWER((1+F22),'数据-取费表'!B21/2)-1)),0)</f>
        <v>0</v>
      </c>
      <c r="D43" s="282"/>
      <c r="E43" s="282"/>
      <c r="F43" s="283"/>
      <c r="G43" s="3193"/>
    </row>
    <row r="44" spans="1:7" ht="13.5" customHeight="1">
      <c r="A44" s="954" t="s">
        <v>793</v>
      </c>
      <c r="B44" s="259" t="s">
        <v>1066</v>
      </c>
      <c r="C44" s="282">
        <f ca="1">ROUND(IF('数据-取费表'!B22&lt;=1,C40*F22*'数据-取费表'!B21/2,C40*(POWER((1+F22),'数据-取费表'!B21/2)-1)),4)</f>
        <v>5.9999999999999995E-4</v>
      </c>
      <c r="D44" s="282"/>
      <c r="E44" s="282"/>
      <c r="F44" s="283"/>
      <c r="G44" s="3194"/>
    </row>
    <row r="45" spans="1:7" s="258" customFormat="1" ht="13.5" customHeight="1">
      <c r="A45" s="951" t="s">
        <v>786</v>
      </c>
      <c r="B45" s="288" t="s">
        <v>112</v>
      </c>
      <c r="C45" s="289">
        <f>C46</f>
        <v>54</v>
      </c>
      <c r="D45" s="279">
        <f>C47</f>
        <v>4.4999999999999997E-3</v>
      </c>
      <c r="E45" s="280" t="s">
        <v>129</v>
      </c>
      <c r="F45" s="290"/>
      <c r="G45" s="291" t="s">
        <v>1072</v>
      </c>
    </row>
    <row r="46" spans="1:7" s="258" customFormat="1" ht="13.5" customHeight="1">
      <c r="A46" s="954" t="s">
        <v>794</v>
      </c>
      <c r="B46" s="292" t="s">
        <v>1065</v>
      </c>
      <c r="C46" s="293">
        <f>ROUND((C33+C39)*F27,0)</f>
        <v>54</v>
      </c>
      <c r="D46" s="307"/>
      <c r="E46" s="280"/>
      <c r="F46" s="290"/>
      <c r="G46" s="291"/>
    </row>
    <row r="47" spans="1:7" s="258" customFormat="1" ht="13.5" customHeight="1">
      <c r="A47" s="954" t="s">
        <v>792</v>
      </c>
      <c r="B47" s="292" t="s">
        <v>1067</v>
      </c>
      <c r="C47" s="282">
        <f>ROUND(C40*F27,4)</f>
        <v>4.4999999999999997E-3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464</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464</v>
      </c>
      <c r="D51" s="276"/>
      <c r="E51" s="276"/>
      <c r="F51" s="308"/>
      <c r="G51" s="278" t="s">
        <v>64</v>
      </c>
    </row>
    <row r="52" spans="1:7" s="252" customFormat="1" ht="16.5" thickBot="1">
      <c r="A52" s="309" t="s">
        <v>65</v>
      </c>
      <c r="B52" s="310"/>
      <c r="C52" s="311">
        <f ca="1">C31+C51</f>
        <v>28050</v>
      </c>
      <c r="D52" s="310"/>
      <c r="E52" s="310"/>
      <c r="F52" s="310"/>
      <c r="G52" s="312"/>
    </row>
    <row r="55" spans="1:7" ht="15">
      <c r="B55" s="314" t="s">
        <v>66</v>
      </c>
      <c r="C55" s="315"/>
    </row>
    <row r="56" spans="1:7">
      <c r="B56" s="317" t="s">
        <v>67</v>
      </c>
      <c r="C56" s="318">
        <f ca="1">ROUND(C51/C52,3)</f>
        <v>1.7000000000000001E-2</v>
      </c>
    </row>
    <row r="57" spans="1:7">
      <c r="B57" s="317" t="s">
        <v>68</v>
      </c>
      <c r="C57" s="319">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29" t="s">
        <v>156</v>
      </c>
      <c r="B1" s="3329"/>
      <c r="C1" s="3329"/>
      <c r="D1" s="3329"/>
      <c r="E1" s="3329"/>
      <c r="F1" s="332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0" t="s">
        <v>169</v>
      </c>
      <c r="B2" s="3330"/>
      <c r="C2" s="3330"/>
      <c r="D2" s="3330"/>
      <c r="E2" s="3330"/>
      <c r="F2" s="333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9" t="s">
        <v>871</v>
      </c>
      <c r="B1" s="332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43307</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2:J62"/>
  <sheetViews>
    <sheetView workbookViewId="0">
      <selection activeCell="B62" sqref="B62:J62"/>
    </sheetView>
  </sheetViews>
  <sheetFormatPr defaultRowHeight="13.5"/>
  <sheetData>
    <row r="62" spans="1:10" ht="39" thickBot="1">
      <c r="A62" s="3003">
        <v>23</v>
      </c>
      <c r="B62" s="3004" t="s">
        <v>3120</v>
      </c>
      <c r="C62" s="3005" t="s">
        <v>3383</v>
      </c>
      <c r="D62" s="3004">
        <v>1611</v>
      </c>
      <c r="E62" s="3004" t="s">
        <v>3384</v>
      </c>
      <c r="F62" s="3004" t="s">
        <v>3385</v>
      </c>
      <c r="G62" s="3005" t="s">
        <v>3070</v>
      </c>
      <c r="H62" s="3004" t="s">
        <v>3386</v>
      </c>
      <c r="I62" s="3005" t="s">
        <v>6</v>
      </c>
      <c r="J62" s="3005" t="s">
        <v>3387</v>
      </c>
    </row>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9" zoomScaleNormal="100" zoomScaleSheetLayoutView="100" zoomScalePageLayoutView="80" workbookViewId="0">
      <selection activeCell="E30" sqref="E30"/>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8" t="s">
        <v>2120</v>
      </c>
      <c r="B1" s="2420"/>
      <c r="C1" s="2421" t="s">
        <v>3090</v>
      </c>
      <c r="D1" s="2420"/>
      <c r="E1" s="2420"/>
      <c r="F1" s="2422" t="s">
        <v>2121</v>
      </c>
      <c r="G1" s="2073" t="s">
        <v>3062</v>
      </c>
      <c r="H1" s="2423" t="str">
        <f>IF(G1="现房","——","估价对象范围")</f>
        <v>——</v>
      </c>
      <c r="I1" s="2424"/>
    </row>
    <row r="2" spans="1:12" ht="21.75" customHeight="1" thickBot="1">
      <c r="A2" s="3171" t="str">
        <f>项目基本情况!S2</f>
        <v>出让国有建设用地使用权及在建建筑物房地产</v>
      </c>
      <c r="B2" s="3172"/>
      <c r="C2" s="3172"/>
      <c r="D2" s="3172"/>
      <c r="E2" s="3172"/>
      <c r="F2" s="3172"/>
      <c r="G2" s="3172"/>
      <c r="H2" s="3172"/>
      <c r="I2" s="3173"/>
    </row>
    <row r="3" spans="1:12" ht="12.75">
      <c r="A3" s="3174" t="s">
        <v>2122</v>
      </c>
      <c r="B3" s="3175"/>
      <c r="C3" s="3175"/>
      <c r="D3" s="3175"/>
      <c r="E3" s="3175"/>
      <c r="F3" s="3175"/>
      <c r="G3" s="3175"/>
      <c r="H3" s="3175"/>
      <c r="I3" s="3175"/>
    </row>
    <row r="4" spans="1:12" ht="14.25">
      <c r="A4" s="2427" t="s">
        <v>2123</v>
      </c>
      <c r="B4" s="2428" t="s">
        <v>2124</v>
      </c>
      <c r="C4" s="2429" t="s">
        <v>3200</v>
      </c>
      <c r="D4" s="2429" t="s">
        <v>3089</v>
      </c>
      <c r="E4" s="3155" t="s">
        <v>2125</v>
      </c>
      <c r="F4" s="3168"/>
      <c r="G4" s="3168"/>
      <c r="H4" s="3168"/>
      <c r="I4" s="3156"/>
      <c r="K4" s="2430" t="str">
        <f>IF(ISNUMBER(FIND("比较法",'结果表 (净值)'!C4)),"比较法",IF(ISNUMBER(FIND("成本法",'结果表 (净值)'!C4)),"成本法",IF(ISNUMBER(FIND("假设开发法",'结果表 (净值)'!C4)),"假设开发法",IF(ISNUMBER(FIND("收益法",'结果表 (净值)'!C4)),"收益法","基准地价系数修正法"))))</f>
        <v>基准地价系数修正法</v>
      </c>
      <c r="L4" s="2430" t="str">
        <f>IF(ISNUMBER(FIND("比较法",'结果表 (净值)'!D4)),"比较法",IF(ISNUMBER(FIND("成本法",'结果表 (净值)'!D4)),"成本法",IF(ISNUMBER(FIND("假设开发法",'结果表 (净值)'!D4)),"假设开发法",IF(ISNUMBER(FIND("收益法",'结果表 (净值)'!D4)),"收益法","基准地价系数修正法"))))</f>
        <v>收益法</v>
      </c>
    </row>
    <row r="5" spans="1:12" ht="12.75">
      <c r="A5" s="3146" t="s">
        <v>2126</v>
      </c>
      <c r="B5" s="3072">
        <v>25</v>
      </c>
      <c r="C5" s="3176"/>
      <c r="D5" s="3164"/>
      <c r="E5" s="140" t="s">
        <v>2127</v>
      </c>
      <c r="F5" s="2431"/>
      <c r="G5" s="2431"/>
      <c r="H5" s="2431"/>
      <c r="I5" s="1834"/>
    </row>
    <row r="6" spans="1:12" ht="12.75">
      <c r="A6" s="3146"/>
      <c r="B6" s="3072"/>
      <c r="C6" s="3178"/>
      <c r="D6" s="3164"/>
      <c r="E6" s="140" t="s">
        <v>2128</v>
      </c>
      <c r="F6" s="2431"/>
      <c r="G6" s="2431"/>
      <c r="H6" s="2431"/>
      <c r="I6" s="1834"/>
    </row>
    <row r="7" spans="1:12" ht="12.75">
      <c r="A7" s="3146"/>
      <c r="B7" s="3072"/>
      <c r="C7" s="3177"/>
      <c r="D7" s="3164"/>
      <c r="E7" s="140" t="s">
        <v>2129</v>
      </c>
      <c r="F7" s="2431"/>
      <c r="G7" s="2431"/>
      <c r="H7" s="2431"/>
      <c r="I7" s="1834"/>
    </row>
    <row r="8" spans="1:12" ht="12.75">
      <c r="A8" s="3146" t="s">
        <v>2130</v>
      </c>
      <c r="B8" s="3072">
        <v>15</v>
      </c>
      <c r="C8" s="3176"/>
      <c r="D8" s="3164"/>
      <c r="E8" s="140" t="s">
        <v>2131</v>
      </c>
      <c r="F8" s="2431"/>
      <c r="G8" s="2431"/>
      <c r="H8" s="2431"/>
      <c r="I8" s="1834"/>
    </row>
    <row r="9" spans="1:12" ht="12.75">
      <c r="A9" s="3146"/>
      <c r="B9" s="3072"/>
      <c r="C9" s="3177"/>
      <c r="D9" s="3164"/>
      <c r="E9" s="140" t="s">
        <v>2132</v>
      </c>
      <c r="F9" s="2431"/>
      <c r="G9" s="2431"/>
      <c r="H9" s="2431"/>
      <c r="I9" s="1834"/>
    </row>
    <row r="10" spans="1:12" ht="12.75">
      <c r="A10" s="3146" t="s">
        <v>2133</v>
      </c>
      <c r="B10" s="3072">
        <v>15</v>
      </c>
      <c r="C10" s="3176"/>
      <c r="D10" s="3164"/>
      <c r="E10" s="140" t="s">
        <v>2134</v>
      </c>
      <c r="F10" s="2431"/>
      <c r="G10" s="2431"/>
      <c r="H10" s="2431"/>
      <c r="I10" s="1834"/>
    </row>
    <row r="11" spans="1:12" ht="12.75">
      <c r="A11" s="3146"/>
      <c r="B11" s="3072"/>
      <c r="C11" s="3177"/>
      <c r="D11" s="3164"/>
      <c r="E11" s="140" t="s">
        <v>2135</v>
      </c>
      <c r="F11" s="2431"/>
      <c r="G11" s="2431"/>
      <c r="H11" s="2431"/>
      <c r="I11" s="1834"/>
    </row>
    <row r="12" spans="1:12" ht="12.75">
      <c r="A12" s="3146" t="s">
        <v>2136</v>
      </c>
      <c r="B12" s="3072">
        <v>15</v>
      </c>
      <c r="C12" s="3176"/>
      <c r="D12" s="3164"/>
      <c r="E12" s="140" t="s">
        <v>2137</v>
      </c>
      <c r="F12" s="2431"/>
      <c r="G12" s="2431"/>
      <c r="H12" s="2431"/>
      <c r="I12" s="1834"/>
    </row>
    <row r="13" spans="1:12" ht="12.75">
      <c r="A13" s="3146"/>
      <c r="B13" s="3072"/>
      <c r="C13" s="3177"/>
      <c r="D13" s="3164"/>
      <c r="E13" s="140" t="s">
        <v>2138</v>
      </c>
      <c r="F13" s="2431"/>
      <c r="G13" s="2431"/>
      <c r="H13" s="2431"/>
      <c r="I13" s="1834"/>
    </row>
    <row r="14" spans="1:12" ht="12.75">
      <c r="A14" s="3146" t="s">
        <v>2139</v>
      </c>
      <c r="B14" s="3072">
        <v>30</v>
      </c>
      <c r="C14" s="3176">
        <v>1</v>
      </c>
      <c r="D14" s="3164">
        <f>1-C14</f>
        <v>0</v>
      </c>
      <c r="E14" s="140" t="s">
        <v>2140</v>
      </c>
      <c r="F14" s="2431"/>
      <c r="G14" s="2431"/>
      <c r="H14" s="2431"/>
      <c r="I14" s="1834"/>
    </row>
    <row r="15" spans="1:12" ht="12.75">
      <c r="A15" s="3146"/>
      <c r="B15" s="3072"/>
      <c r="C15" s="3178"/>
      <c r="D15" s="3164"/>
      <c r="E15" s="140" t="s">
        <v>2141</v>
      </c>
      <c r="F15" s="2431"/>
      <c r="G15" s="2431"/>
      <c r="H15" s="2431"/>
      <c r="I15" s="1834"/>
    </row>
    <row r="16" spans="1:12" ht="12.75">
      <c r="A16" s="3146"/>
      <c r="B16" s="3072"/>
      <c r="C16" s="3177"/>
      <c r="D16" s="3164"/>
      <c r="E16" s="140" t="s">
        <v>2142</v>
      </c>
      <c r="F16" s="2431"/>
      <c r="G16" s="2431"/>
      <c r="H16" s="2431"/>
      <c r="I16" s="1834"/>
    </row>
    <row r="17" spans="1:35" ht="15">
      <c r="A17" s="2432" t="s">
        <v>2143</v>
      </c>
      <c r="B17" s="64"/>
      <c r="C17" s="141">
        <f>SUM(C5:C16)</f>
        <v>1</v>
      </c>
      <c r="D17" s="141">
        <f>SUM(D5:D16)</f>
        <v>0</v>
      </c>
      <c r="E17" s="138"/>
      <c r="F17" s="138"/>
      <c r="G17" s="138"/>
      <c r="H17" s="138"/>
      <c r="I17" s="138"/>
      <c r="K17" s="2430"/>
      <c r="L17" s="2433" t="s">
        <v>2144</v>
      </c>
      <c r="M17" s="2433" t="s">
        <v>2145</v>
      </c>
    </row>
    <row r="18" spans="1:35" ht="15.75" thickBot="1">
      <c r="A18" s="2434" t="s">
        <v>2146</v>
      </c>
      <c r="B18" s="2435"/>
      <c r="C18" s="142">
        <f>ROUND(C17/SUM(C17:D17),2)</f>
        <v>1</v>
      </c>
      <c r="D18" s="142">
        <f>1-C18</f>
        <v>0</v>
      </c>
      <c r="E18" s="138"/>
      <c r="F18" s="138"/>
      <c r="G18" s="138"/>
      <c r="H18" s="138"/>
      <c r="I18" s="138"/>
      <c r="K18" s="2430" t="s">
        <v>2147</v>
      </c>
      <c r="L18" s="2430">
        <f>IF(C1="",'数据-汇总表'!E3,SUMIF(项目类型,C1,'数据-汇总表'!E17:E26)+SUMIF(项目类型,C1,'数据-汇总表'!I17:I26))</f>
        <v>0</v>
      </c>
      <c r="M18" s="2430">
        <f>IF(C1="",'数据-汇总表'!E3,SUMIF(项目类型,C1,'数据-汇总表'!E17:E26))</f>
        <v>0</v>
      </c>
    </row>
    <row r="19" spans="1:35" ht="15">
      <c r="A19" s="2436" t="s">
        <v>2148</v>
      </c>
      <c r="B19" s="2437" t="s">
        <v>2149</v>
      </c>
      <c r="C19" s="143">
        <f ca="1">SUMIF(INDIRECT("'"&amp;C4&amp;"'"&amp;"!A:A"),'结果表 (净值)'!B19,INDIRECT("'"&amp;C4&amp;"'"&amp;"!B:B"))</f>
        <v>37365</v>
      </c>
      <c r="D19" s="144">
        <f ca="1">SUMIF(INDIRECT("'"&amp;D4&amp;"'"&amp;"!A:A"),'结果表 (净值)'!B19,INDIRECT("'"&amp;D4&amp;"'"&amp;"!B:B"))</f>
        <v>-135</v>
      </c>
      <c r="E19" s="2436" t="s">
        <v>2150</v>
      </c>
      <c r="F19" s="2437" t="s">
        <v>2149</v>
      </c>
      <c r="G19" s="145">
        <f ca="1">ROUND(C19*$C$18+D19*$D$18,0)</f>
        <v>37365</v>
      </c>
      <c r="H19" s="2438" t="s">
        <v>2151</v>
      </c>
      <c r="I19" s="138"/>
      <c r="K19" s="2430" t="s">
        <v>2152</v>
      </c>
      <c r="L19" s="2430">
        <f>IF(C1="",'数据-汇总表'!D3,SUMIF(项目类型,C1,'数据-汇总表'!D17:D26)+SUMIF(项目类型,C1,'数据-汇总表'!H17:H27))</f>
        <v>0</v>
      </c>
      <c r="M19" s="2430">
        <f>IF(C1="",'数据-汇总表'!D3,SUMIF(项目类型,C1,'数据-汇总表'!D17:D26))</f>
        <v>0</v>
      </c>
    </row>
    <row r="20" spans="1:35" ht="15">
      <c r="A20" s="2439"/>
      <c r="B20" s="1250" t="s">
        <v>2153</v>
      </c>
      <c r="C20" s="146">
        <f ca="1">SUMIF(INDIRECT("'"&amp;C4&amp;"'"&amp;"!A:A"),'结果表 (净值)'!B20,INDIRECT("'"&amp;C4&amp;"'"&amp;"!B:B"))</f>
        <v>3096</v>
      </c>
      <c r="D20" s="147">
        <f ca="1">SUMIF(INDIRECT("'"&amp;D4&amp;"'"&amp;"!A:A"),'结果表 (净值)'!B20,INDIRECT("'"&amp;D4&amp;"'"&amp;"!B:B"))</f>
        <v>-837</v>
      </c>
      <c r="E20" s="2439"/>
      <c r="F20" s="1250" t="s">
        <v>2153</v>
      </c>
      <c r="G20" s="148">
        <f ca="1">ROUND(C20*$C$18+D20*$D$18,0)</f>
        <v>3096</v>
      </c>
      <c r="H20" s="983" t="s">
        <v>2154</v>
      </c>
      <c r="I20" s="138"/>
    </row>
    <row r="21" spans="1:35" ht="15" customHeight="1" thickBot="1">
      <c r="A21" s="1003"/>
      <c r="B21" s="2440" t="s">
        <v>2155</v>
      </c>
      <c r="C21" s="789" t="e">
        <f ca="1">ROUND(C19*10000/L19,0)</f>
        <v>#DIV/0!</v>
      </c>
      <c r="D21" s="790" t="e">
        <f ca="1">ROUND(D19*10000/L19,0)</f>
        <v>#DIV/0!</v>
      </c>
      <c r="E21" s="1003"/>
      <c r="F21" s="2440" t="s">
        <v>2155</v>
      </c>
      <c r="G21" s="149" t="e">
        <f ca="1">ROUND(G19*10000/L19,0)</f>
        <v>#DIV/0!</v>
      </c>
      <c r="H21" s="2441" t="s">
        <v>2154</v>
      </c>
      <c r="I21" s="138"/>
    </row>
    <row r="22" spans="1:35" ht="15" thickBot="1">
      <c r="A22" s="2284" t="s">
        <v>2156</v>
      </c>
      <c r="B22" s="2442"/>
      <c r="C22" s="2443"/>
      <c r="D22" s="791">
        <f ca="1">IF(C19&lt;D19,D19/C19-1,C19/D19-1)</f>
        <v>-277.77777777777777</v>
      </c>
      <c r="E22" s="138"/>
      <c r="F22" s="138"/>
      <c r="G22" s="138"/>
      <c r="H22" s="138"/>
      <c r="I22" s="138"/>
    </row>
    <row r="23" spans="1:35" ht="13.5" thickBot="1">
      <c r="A23" s="2420"/>
      <c r="B23" s="2420"/>
      <c r="C23" s="2420"/>
      <c r="D23" s="2420"/>
      <c r="E23" s="138"/>
      <c r="F23" s="138"/>
      <c r="G23" s="138"/>
      <c r="H23" s="138"/>
      <c r="I23" s="138"/>
    </row>
    <row r="24" spans="1:35" ht="14.25">
      <c r="A24" s="3185" t="s">
        <v>2157</v>
      </c>
      <c r="B24" s="2437" t="s">
        <v>2149</v>
      </c>
      <c r="C24" s="145">
        <f>IF(B30=0,0,D30)</f>
        <v>0</v>
      </c>
      <c r="D24" s="2444"/>
      <c r="E24" s="138"/>
      <c r="F24" s="138"/>
      <c r="G24" s="138"/>
      <c r="H24" s="138"/>
      <c r="I24" s="138"/>
    </row>
    <row r="25" spans="1:35" ht="14.25">
      <c r="A25" s="3186"/>
      <c r="B25" s="1250" t="s">
        <v>2153</v>
      </c>
      <c r="C25" s="150">
        <f>IF(B30=0,0,C30)</f>
        <v>0</v>
      </c>
      <c r="D25" s="2445"/>
      <c r="E25" s="138"/>
      <c r="F25" s="138"/>
      <c r="G25" s="138"/>
      <c r="H25" s="138"/>
      <c r="I25" s="138"/>
    </row>
    <row r="26" spans="1:35" ht="13.5" customHeight="1">
      <c r="A26" s="2446" t="s">
        <v>2158</v>
      </c>
      <c r="B26" s="151" t="s">
        <v>2159</v>
      </c>
      <c r="C26" s="151" t="s">
        <v>2160</v>
      </c>
      <c r="D26" s="152" t="s">
        <v>2161</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2162</v>
      </c>
      <c r="B30" s="151"/>
      <c r="C30" s="151"/>
      <c r="D30" s="151"/>
      <c r="E30" s="2929" t="s">
        <v>3032</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2163</v>
      </c>
      <c r="B32" s="2450"/>
      <c r="C32" s="153">
        <f ca="1">IF(D32="总价",G19-C24,G20-C25)</f>
        <v>37365</v>
      </c>
      <c r="D32" s="2451" t="s">
        <v>3198</v>
      </c>
      <c r="E32" s="138"/>
      <c r="F32" s="138"/>
      <c r="G32" s="138"/>
      <c r="H32" s="138"/>
      <c r="I32" s="138"/>
    </row>
    <row r="33" spans="1:15" ht="15">
      <c r="A33" s="960" t="s">
        <v>2164</v>
      </c>
      <c r="B33" s="2452"/>
      <c r="C33" s="2453" t="s">
        <v>3199</v>
      </c>
      <c r="D33" s="2454" t="s">
        <v>3089</v>
      </c>
      <c r="E33" s="2455" t="s">
        <v>2165</v>
      </c>
      <c r="F33" s="2980" t="str">
        <f>IF(D32="楼面单价","取值（单价）","取值（总价）")</f>
        <v>取值（总价）</v>
      </c>
      <c r="G33" s="138"/>
      <c r="H33" s="138"/>
      <c r="I33" s="138"/>
    </row>
    <row r="34" spans="1:15" ht="15">
      <c r="A34" s="2457"/>
      <c r="B34" s="2458" t="s">
        <v>2166</v>
      </c>
      <c r="C34" s="157">
        <f ca="1">IF(C33="自定义",F34,C32-C35)</f>
        <v>212196</v>
      </c>
      <c r="D34" s="1058">
        <f ca="1">IF(C33="自定义",ROUND(C34/C32,3),IF(C33="收益比率",SUMIF(INDIRECT("'"&amp;D33&amp;"'"&amp;"!b:b"),"土地收益比率",INDIRECT("'"&amp;D33&amp;"'"&amp;"!c:c")),SUMIF(INDIRECT("'"&amp;D33&amp;"'"&amp;"!b:b"),"土地成本比率",INDIRECT("'"&amp;D33&amp;"'"&amp;"!c:c"))))</f>
        <v>5.6790000000000003</v>
      </c>
      <c r="E34" s="2459" t="s">
        <v>2167</v>
      </c>
      <c r="F34" s="1739"/>
      <c r="G34" s="138"/>
      <c r="H34" s="138"/>
      <c r="I34" s="138"/>
    </row>
    <row r="35" spans="1:15" ht="15.75" thickBot="1">
      <c r="A35" s="2460"/>
      <c r="B35" s="2461" t="s">
        <v>2168</v>
      </c>
      <c r="C35" s="1444">
        <f ca="1">IF(C33="自定义",F35,ROUND(C32*D35,0))</f>
        <v>-174831</v>
      </c>
      <c r="D35" s="1445">
        <f ca="1">IF(C33="自定义",ROUND(C35/C32,3),IF(C33="收益比率",SUMIF(INDIRECT("'"&amp;D33&amp;"'"&amp;"!b:b"),"建筑物收益比率",INDIRECT("'"&amp;D33&amp;"'"&amp;"!c:c")),SUMIF(INDIRECT("'"&amp;D33&amp;"'"&amp;"!b:b"),"建筑物成本比率",INDIRECT("'"&amp;D33&amp;"'"&amp;"!c:c"))))</f>
        <v>-4.6790000000000003</v>
      </c>
      <c r="E35" s="2462" t="s">
        <v>2169</v>
      </c>
      <c r="F35" s="163"/>
      <c r="G35" s="138"/>
      <c r="H35" s="138"/>
      <c r="I35" s="138"/>
    </row>
    <row r="36" spans="1:15" ht="15.75" thickBot="1">
      <c r="A36" s="3165" t="s">
        <v>2170</v>
      </c>
      <c r="B36" s="2463" t="s">
        <v>2171</v>
      </c>
      <c r="C36" s="154"/>
      <c r="D36" s="2464"/>
      <c r="E36" s="2465"/>
      <c r="F36" s="2466"/>
      <c r="G36" s="138"/>
      <c r="H36" s="138"/>
      <c r="I36" s="138"/>
    </row>
    <row r="37" spans="1:15" ht="15.75" thickBot="1">
      <c r="A37" s="3166"/>
      <c r="B37" s="2270" t="s">
        <v>2172</v>
      </c>
      <c r="C37" s="156"/>
      <c r="D37" s="1395"/>
      <c r="E37" s="1395"/>
      <c r="F37" s="2466"/>
      <c r="G37" s="138"/>
      <c r="H37" s="138"/>
      <c r="I37" s="138"/>
    </row>
    <row r="38" spans="1:15" ht="15.75" thickBot="1">
      <c r="A38" s="3167"/>
      <c r="B38" s="2467" t="s">
        <v>2173</v>
      </c>
      <c r="C38" s="727"/>
      <c r="D38" s="2468" t="s">
        <v>2174</v>
      </c>
      <c r="E38" s="1395"/>
      <c r="F38" s="2466"/>
      <c r="G38" s="138"/>
      <c r="H38" s="138"/>
      <c r="I38" s="138"/>
    </row>
    <row r="39" spans="1:15" ht="15">
      <c r="A39" s="2439" t="s">
        <v>2175</v>
      </c>
      <c r="B39" s="2469" t="s">
        <v>2159</v>
      </c>
      <c r="C39" s="2470" t="s">
        <v>2160</v>
      </c>
      <c r="D39" s="2470" t="s">
        <v>2178</v>
      </c>
      <c r="E39" s="2471" t="s">
        <v>2161</v>
      </c>
      <c r="F39" s="2466"/>
      <c r="G39" s="138"/>
      <c r="H39" s="138"/>
      <c r="I39" s="138"/>
    </row>
    <row r="40" spans="1:15" ht="14.25">
      <c r="A40" s="2472" t="s">
        <v>2180</v>
      </c>
      <c r="B40" s="158"/>
      <c r="C40" s="159"/>
      <c r="D40" s="159"/>
      <c r="E40" s="160"/>
      <c r="F40" s="2466"/>
      <c r="G40" s="138"/>
      <c r="H40" s="138"/>
      <c r="I40" s="138"/>
    </row>
    <row r="41" spans="1:15" ht="14.25">
      <c r="A41" s="2472" t="s">
        <v>2181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8"/>
      <c r="B43" s="2168"/>
      <c r="C43" s="2168"/>
      <c r="D43" s="2168"/>
      <c r="E43" s="2168"/>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182" t="s">
        <v>2184</v>
      </c>
      <c r="B45" s="3183"/>
      <c r="C45" s="3184"/>
      <c r="D45" s="164">
        <f ca="1">ROUND(H101*F45,0)</f>
        <v>23914</v>
      </c>
      <c r="E45" s="165" t="s">
        <v>2185</v>
      </c>
      <c r="F45" s="166">
        <v>0.64</v>
      </c>
      <c r="G45" s="167" t="s">
        <v>2186</v>
      </c>
      <c r="H45" s="138"/>
      <c r="I45" s="138"/>
      <c r="J45" s="3101" t="s">
        <v>2187</v>
      </c>
      <c r="K45" s="3101"/>
      <c r="L45" s="3101"/>
      <c r="M45" s="3101"/>
      <c r="N45" s="3101"/>
      <c r="O45" s="3101"/>
    </row>
    <row r="46" spans="1:15" ht="14.25" customHeight="1">
      <c r="A46" s="3179" t="s">
        <v>2188</v>
      </c>
      <c r="B46" s="3180"/>
      <c r="C46" s="3180"/>
      <c r="D46" s="3180"/>
      <c r="E46" s="3180"/>
      <c r="F46" s="3180"/>
      <c r="G46" s="3181"/>
      <c r="H46" s="2482"/>
      <c r="I46" s="168"/>
      <c r="J46" s="2990">
        <v>1</v>
      </c>
      <c r="K46" s="3101" t="s">
        <v>2189</v>
      </c>
      <c r="L46" s="3101"/>
      <c r="M46" s="3102"/>
      <c r="N46" s="3102"/>
      <c r="O46" s="3102"/>
    </row>
    <row r="47" spans="1:15" ht="12" customHeight="1">
      <c r="A47" s="169" t="s">
        <v>2190</v>
      </c>
      <c r="B47" s="170"/>
      <c r="C47" s="171"/>
      <c r="D47" s="172" t="s">
        <v>2191</v>
      </c>
      <c r="E47" s="24" t="s">
        <v>2192</v>
      </c>
      <c r="F47" s="173" t="s">
        <v>2193</v>
      </c>
      <c r="G47" s="174" t="s">
        <v>2194</v>
      </c>
      <c r="H47" s="2482"/>
      <c r="I47" s="168"/>
      <c r="J47" s="2990">
        <v>2</v>
      </c>
      <c r="K47" s="3101" t="s">
        <v>2195</v>
      </c>
      <c r="L47" s="3101"/>
      <c r="M47" s="3103">
        <f>'数据-取费表'!B2</f>
        <v>43307</v>
      </c>
      <c r="N47" s="3103"/>
      <c r="O47" s="3103"/>
    </row>
    <row r="48" spans="1:15" ht="25.5">
      <c r="A48" s="3169" t="s">
        <v>2196</v>
      </c>
      <c r="B48" s="3170"/>
      <c r="C48" s="3170"/>
      <c r="D48" s="140">
        <f ca="1">IF(H48="情况1",0,IF(H48="情况2",D52,IF(H48="情况3",D53,IF(H48="情况4",D54))))</f>
        <v>1253</v>
      </c>
      <c r="E48" s="2984" t="str">
        <f>IF(H48="情况4","(销售额-原购置价)×税（费）率","销售额×税（费）率")</f>
        <v>销售额×税（费）率</v>
      </c>
      <c r="F48" s="175">
        <f>IF(H48="情况1","免征",'数据-取费表'!B41)</f>
        <v>5.5000000000000007E-2</v>
      </c>
      <c r="G48" s="2483" t="s">
        <v>2197</v>
      </c>
      <c r="H48" s="2484" t="s">
        <v>3202</v>
      </c>
      <c r="I48" s="2482"/>
      <c r="J48" s="2990">
        <v>3</v>
      </c>
      <c r="K48" s="3101" t="s">
        <v>2199</v>
      </c>
      <c r="L48" s="3101"/>
      <c r="M48" s="3104">
        <f ca="1">H101</f>
        <v>37365</v>
      </c>
      <c r="N48" s="3104"/>
      <c r="O48" s="3104"/>
    </row>
    <row r="49" spans="1:35" ht="25.5" customHeight="1">
      <c r="A49" s="176" t="s">
        <v>2200</v>
      </c>
      <c r="B49" s="3149" t="s">
        <v>2201</v>
      </c>
      <c r="C49" s="3149"/>
      <c r="D49" s="177">
        <v>0</v>
      </c>
      <c r="E49" s="23" t="s">
        <v>2202</v>
      </c>
      <c r="F49" s="28" t="s">
        <v>34</v>
      </c>
      <c r="G49" s="3130"/>
      <c r="H49" s="138"/>
      <c r="I49" s="2485"/>
      <c r="J49" s="2990">
        <v>4</v>
      </c>
      <c r="K49" s="3101" t="str">
        <f>IF(项目基本情况!E8="房地产抵押价值","房地产抵押价值","抵押担保权已注销时的房地产抵押价值")</f>
        <v>房地产抵押价值</v>
      </c>
      <c r="L49" s="3101"/>
      <c r="M49" s="3104">
        <f ca="1">IF(项目基本情况!E8="房地产抵押价值",H107,H109)</f>
        <v>37365</v>
      </c>
      <c r="N49" s="3104"/>
      <c r="O49" s="3104"/>
    </row>
    <row r="50" spans="1:35" ht="25.5" customHeight="1">
      <c r="A50" s="178"/>
      <c r="B50" s="3149" t="s">
        <v>2203</v>
      </c>
      <c r="C50" s="3149"/>
      <c r="D50" s="179"/>
      <c r="E50" s="31"/>
      <c r="F50" s="180"/>
      <c r="G50" s="3131"/>
      <c r="H50" s="138"/>
      <c r="I50" s="2485"/>
      <c r="J50" s="3101" t="s">
        <v>2204</v>
      </c>
      <c r="K50" s="3101"/>
      <c r="L50" s="3101"/>
      <c r="M50" s="3101"/>
      <c r="N50" s="3101"/>
      <c r="O50" s="3101"/>
    </row>
    <row r="51" spans="1:35" ht="12" customHeight="1">
      <c r="A51" s="181"/>
      <c r="B51" s="3149" t="s">
        <v>2205</v>
      </c>
      <c r="C51" s="3149"/>
      <c r="D51" s="182"/>
      <c r="E51" s="30"/>
      <c r="F51" s="180"/>
      <c r="G51" s="3132"/>
      <c r="H51" s="138"/>
      <c r="I51" s="2485"/>
      <c r="J51" s="2989" t="s">
        <v>2206</v>
      </c>
      <c r="K51" s="3101" t="s">
        <v>2207</v>
      </c>
      <c r="L51" s="3101"/>
      <c r="M51" s="2989" t="s">
        <v>2208</v>
      </c>
      <c r="N51" s="2989" t="s">
        <v>2209</v>
      </c>
      <c r="O51" s="2989" t="s">
        <v>2210</v>
      </c>
    </row>
    <row r="52" spans="1:35" ht="24" customHeight="1">
      <c r="A52" s="183" t="s">
        <v>2211</v>
      </c>
      <c r="B52" s="3149" t="s">
        <v>2212</v>
      </c>
      <c r="C52" s="3149"/>
      <c r="D52" s="182">
        <f ca="1">ROUND(D45*'数据-取费表'!B41/(1+'数据-取费表'!C42),0)</f>
        <v>1253</v>
      </c>
      <c r="E52" s="11" t="s">
        <v>2213</v>
      </c>
      <c r="F52" s="184">
        <f>'数据-取费表'!B41</f>
        <v>5.5000000000000007E-2</v>
      </c>
      <c r="G52" s="2487"/>
      <c r="H52" s="138"/>
      <c r="I52" s="2485"/>
      <c r="J52" s="2990">
        <v>1</v>
      </c>
      <c r="K52" s="3124" t="s">
        <v>2214</v>
      </c>
      <c r="L52" s="3124"/>
      <c r="M52" s="1754">
        <f ca="1">D48</f>
        <v>1253</v>
      </c>
      <c r="N52" s="2990" t="str">
        <f>E48</f>
        <v>销售额×税（费）率</v>
      </c>
      <c r="O52" s="1755">
        <f>F48</f>
        <v>5.5000000000000007E-2</v>
      </c>
    </row>
    <row r="53" spans="1:35" ht="12" customHeight="1">
      <c r="A53" s="183" t="s">
        <v>2215</v>
      </c>
      <c r="B53" s="3150" t="s">
        <v>2216</v>
      </c>
      <c r="C53" s="3151"/>
      <c r="D53" s="182">
        <f ca="1">ROUND(D45*'数据-取费表'!B41/(1+'数据-取费表'!C42),0)</f>
        <v>1253</v>
      </c>
      <c r="E53" s="11" t="s">
        <v>2213</v>
      </c>
      <c r="F53" s="184">
        <f>'数据-取费表'!B41</f>
        <v>5.5000000000000007E-2</v>
      </c>
      <c r="G53" s="2487"/>
      <c r="H53" s="138"/>
      <c r="I53" s="2485"/>
      <c r="J53" s="2990">
        <v>2</v>
      </c>
      <c r="K53" s="3124" t="s">
        <v>2217</v>
      </c>
      <c r="L53" s="3124"/>
      <c r="M53" s="1754">
        <f t="shared" ref="M53:O54" ca="1" si="0">D55</f>
        <v>12</v>
      </c>
      <c r="N53" s="2990" t="str">
        <f t="shared" si="0"/>
        <v>销售额×税（费）率</v>
      </c>
      <c r="O53" s="1755">
        <f t="shared" si="0"/>
        <v>5.0000000000000001E-4</v>
      </c>
    </row>
    <row r="54" spans="1:35" ht="12" customHeight="1">
      <c r="A54" s="183" t="s">
        <v>2218</v>
      </c>
      <c r="B54" s="3150" t="s">
        <v>2219</v>
      </c>
      <c r="C54" s="3151"/>
      <c r="D54" s="182">
        <f ca="1">C68</f>
        <v>1253</v>
      </c>
      <c r="E54" s="30" t="s">
        <v>2220</v>
      </c>
      <c r="F54" s="184">
        <f>'数据-取费表'!B41</f>
        <v>5.5000000000000007E-2</v>
      </c>
      <c r="G54" s="2487"/>
      <c r="H54" s="2488"/>
      <c r="I54" s="2485"/>
      <c r="J54" s="2990">
        <v>3</v>
      </c>
      <c r="K54" s="3124" t="s">
        <v>2221</v>
      </c>
      <c r="L54" s="3124"/>
      <c r="M54" s="1754">
        <f t="shared" ca="1" si="0"/>
        <v>13056</v>
      </c>
      <c r="N54" s="2990" t="str">
        <f t="shared" si="0"/>
        <v>增值额×税（费）率</v>
      </c>
      <c r="O54" s="1756" t="str">
        <f t="shared" si="0"/>
        <v>——</v>
      </c>
    </row>
    <row r="55" spans="1:35" ht="24" customHeight="1">
      <c r="A55" s="3188" t="s">
        <v>2222</v>
      </c>
      <c r="B55" s="3170"/>
      <c r="C55" s="3170"/>
      <c r="D55" s="185">
        <f ca="1">IF(H55="个人住宅",0,ROUND(D45*I55,0))</f>
        <v>12</v>
      </c>
      <c r="E55" s="11" t="s">
        <v>2223</v>
      </c>
      <c r="F55" s="184">
        <f>IF(H55="正常",I55,"免征")</f>
        <v>5.0000000000000001E-4</v>
      </c>
      <c r="G55" s="2487"/>
      <c r="H55" s="2484" t="s">
        <v>2224</v>
      </c>
      <c r="I55" s="186">
        <f>'数据-取费表'!B49</f>
        <v>5.0000000000000001E-4</v>
      </c>
      <c r="J55" s="2990" t="str">
        <f>IF(H59="非个人房产","",4)</f>
        <v/>
      </c>
      <c r="K55" s="3124" t="str">
        <f>IF(H59="非个人房产","——","个人所得税")</f>
        <v>——</v>
      </c>
      <c r="L55" s="3124"/>
      <c r="M55" s="1757" t="str">
        <f>D59</f>
        <v>——</v>
      </c>
      <c r="N55" s="2991" t="str">
        <f>E59</f>
        <v>——</v>
      </c>
      <c r="O55" s="1758" t="str">
        <f>F59</f>
        <v>——</v>
      </c>
    </row>
    <row r="56" spans="1:35" ht="24.75">
      <c r="A56" s="3188" t="s">
        <v>2225</v>
      </c>
      <c r="B56" s="3170"/>
      <c r="C56" s="3170"/>
      <c r="D56" s="185">
        <f ca="1">IF(H56="个人住宅",D57,D58)</f>
        <v>13056</v>
      </c>
      <c r="E56" s="11" t="s">
        <v>2226</v>
      </c>
      <c r="F56" s="184" t="str">
        <f>IF(H56="正常",F58,"免征")</f>
        <v>——</v>
      </c>
      <c r="G56" s="2489" t="s">
        <v>2227</v>
      </c>
      <c r="H56" s="2490" t="s">
        <v>2224</v>
      </c>
      <c r="I56" s="2491"/>
      <c r="J56" s="2990" t="str">
        <f>IF(项目基本情况!K6="上海银行",IF(J55="",4,J55+1),"")</f>
        <v/>
      </c>
      <c r="K56" s="3107" t="str">
        <f>IF(项目基本情况!K6="上海银行","其他处置费用","")</f>
        <v/>
      </c>
      <c r="L56" s="3108"/>
      <c r="M56" s="1754" t="str">
        <f>IF(项目基本情况!K6="上海银行",M69,"")</f>
        <v/>
      </c>
      <c r="N56" s="3110" t="str">
        <f>IF(项目基本情况!K6="上海银行","包含处置中涉及的律师、诉讼、拍卖、评估等费用","")</f>
        <v/>
      </c>
      <c r="O56" s="3111"/>
    </row>
    <row r="57" spans="1:35" ht="12.75">
      <c r="A57" s="183" t="s">
        <v>2200</v>
      </c>
      <c r="B57" s="3155" t="s">
        <v>2228</v>
      </c>
      <c r="C57" s="3156"/>
      <c r="D57" s="187">
        <v>0</v>
      </c>
      <c r="E57" s="23" t="s">
        <v>2202</v>
      </c>
      <c r="F57" s="155"/>
      <c r="G57" s="2487"/>
      <c r="H57" s="2491"/>
      <c r="I57" s="2491"/>
      <c r="J57" s="3124">
        <f>IF(AND(J55="",J56=""),4,IF(项目基本情况!K6="上海银行",'结果表 (净值)'!J56+1,'结果表 (净值)'!J55+1))</f>
        <v>4</v>
      </c>
      <c r="K57" s="3124" t="s">
        <v>2229</v>
      </c>
      <c r="L57" s="2492" t="s">
        <v>2230</v>
      </c>
      <c r="M57" s="1759"/>
      <c r="N57" s="1760">
        <f ca="1">SUMIF(M52:M56,"&lt;9e307")</f>
        <v>14321</v>
      </c>
      <c r="O57" s="2493"/>
      <c r="P57" s="1753">
        <f ca="1">N57/M49</f>
        <v>0.38327311655292384</v>
      </c>
    </row>
    <row r="58" spans="1:35" ht="24.75">
      <c r="A58" s="183" t="s">
        <v>2211</v>
      </c>
      <c r="B58" s="3155" t="s">
        <v>2231</v>
      </c>
      <c r="C58" s="3168"/>
      <c r="D58" s="185">
        <f ca="1">IF(H58="转让取得",C81,C97)</f>
        <v>13056</v>
      </c>
      <c r="E58" s="11" t="s">
        <v>2226</v>
      </c>
      <c r="F58" s="24" t="s">
        <v>34</v>
      </c>
      <c r="G58" s="2487"/>
      <c r="H58" s="2490" t="s">
        <v>2232</v>
      </c>
      <c r="I58" s="2491"/>
      <c r="J58" s="3124"/>
      <c r="K58" s="3124"/>
      <c r="L58" s="2492" t="s">
        <v>2233</v>
      </c>
      <c r="M58" s="1761"/>
      <c r="N58" s="2494" t="str">
        <f ca="1">NUMBERSTRING(INT(N57*10000),2)&amp;"元整"</f>
        <v>壹亿肆仟叁佰贰拾壹万元整</v>
      </c>
      <c r="O58" s="2495"/>
    </row>
    <row r="59" spans="1:35" ht="24.75" thickBot="1">
      <c r="A59" s="3128" t="s">
        <v>2234</v>
      </c>
      <c r="B59" s="3129"/>
      <c r="C59" s="3129"/>
      <c r="D59" s="188" t="str">
        <f>IF(H59="非个人房产","——",IF(H59="个人住宅",0,ROUND(D45*I59,0)))</f>
        <v>——</v>
      </c>
      <c r="E59" s="189" t="str">
        <f>IF(H59="非个人房产","——","销售额×税（费）率")</f>
        <v>——</v>
      </c>
      <c r="F59" s="190" t="str">
        <f>IF(H59="非个人房产","——",IF(H59="个人住宅","免征",I59))</f>
        <v>——</v>
      </c>
      <c r="G59" s="2496" t="s">
        <v>2227</v>
      </c>
      <c r="H59" s="2490" t="s">
        <v>2235</v>
      </c>
      <c r="I59" s="191">
        <v>0.01</v>
      </c>
      <c r="J59" s="3126">
        <f>J57+1</f>
        <v>5</v>
      </c>
      <c r="K59" s="3124" t="s">
        <v>2236</v>
      </c>
      <c r="L59" s="2990" t="s">
        <v>2230</v>
      </c>
      <c r="M59" s="1762"/>
      <c r="N59" s="1763">
        <f ca="1">M49-N57</f>
        <v>23044</v>
      </c>
      <c r="O59" s="2497"/>
    </row>
    <row r="60" spans="1:35" ht="12" customHeight="1">
      <c r="A60" s="2498"/>
      <c r="B60" s="2420"/>
      <c r="C60" s="2420"/>
      <c r="D60" s="2420"/>
      <c r="E60" s="2169"/>
      <c r="F60" s="2491"/>
      <c r="G60" s="2491"/>
      <c r="H60" s="2499"/>
      <c r="I60" s="138"/>
      <c r="J60" s="3127"/>
      <c r="K60" s="3124"/>
      <c r="L60" s="2492" t="s">
        <v>2233</v>
      </c>
      <c r="M60" s="1761"/>
      <c r="N60" s="2494" t="str">
        <f ca="1">NUMBERSTRING(INT(N59*10000),2)&amp;"元整"</f>
        <v>贰亿叁仟零肆拾肆万元整</v>
      </c>
      <c r="O60" s="2495"/>
    </row>
    <row r="61" spans="1:35" ht="13.5" thickBot="1">
      <c r="A61" s="3187" t="s">
        <v>2237</v>
      </c>
      <c r="B61" s="3187"/>
      <c r="C61" s="3187"/>
      <c r="D61" s="3187"/>
      <c r="E61" s="3187"/>
      <c r="F61" s="2491"/>
      <c r="G61" s="2491"/>
      <c r="H61" s="2499"/>
      <c r="I61" s="138"/>
      <c r="J61" s="2990">
        <f>J59+1</f>
        <v>6</v>
      </c>
      <c r="K61" s="3124" t="s">
        <v>2238</v>
      </c>
      <c r="L61" s="3124"/>
      <c r="M61" s="1764"/>
      <c r="N61" s="1765">
        <f ca="1">ROUND(N59*10000/'数据-汇总表'!E3,0)</f>
        <v>143042</v>
      </c>
      <c r="O61" s="2500"/>
    </row>
    <row r="62" spans="1:35" ht="12.75">
      <c r="A62" s="3144" t="s">
        <v>2239</v>
      </c>
      <c r="B62" s="3145"/>
      <c r="C62" s="2987"/>
      <c r="D62" s="2987" t="s">
        <v>2240</v>
      </c>
      <c r="E62" s="192" t="s">
        <v>2241</v>
      </c>
      <c r="F62" s="2491"/>
      <c r="G62" s="2491"/>
      <c r="H62" s="2499"/>
      <c r="I62" s="138"/>
    </row>
    <row r="63" spans="1:35" ht="12.75">
      <c r="A63" s="203" t="s">
        <v>775</v>
      </c>
      <c r="B63" s="193" t="s">
        <v>2242</v>
      </c>
      <c r="C63" s="194">
        <f ca="1">ROUND((C64+C65)/(1+'数据-取费表'!C42),0)</f>
        <v>22775</v>
      </c>
      <c r="D63" s="195"/>
      <c r="E63" s="196"/>
      <c r="F63" s="2491"/>
      <c r="G63" s="2491"/>
      <c r="H63" s="2499"/>
      <c r="I63" s="138"/>
      <c r="J63" s="3109" t="s">
        <v>2243</v>
      </c>
      <c r="K63" s="2992" t="s">
        <v>2244</v>
      </c>
      <c r="L63" s="1752">
        <f ca="1">IF(M49&gt;10000,M49*0.5%,IF(AND(M49&gt;1000,M49&lt;=10000),M49*1%,IF(AND(M49&gt;100,M49&lt;=1000),M49*3%,IF(AND(M49&gt;10,M49&lt;=100),M49*5%,M49*8%))))</f>
        <v>186.82500000000002</v>
      </c>
      <c r="M63" s="24">
        <f ca="1">ROUND(L63,1)</f>
        <v>186.8</v>
      </c>
      <c r="Z63" s="2425"/>
      <c r="AI63" s="2426"/>
    </row>
    <row r="64" spans="1:35" ht="14.25" customHeight="1">
      <c r="A64" s="197" t="s">
        <v>770</v>
      </c>
      <c r="B64" s="198" t="s">
        <v>2245</v>
      </c>
      <c r="C64" s="199">
        <f ca="1">D45</f>
        <v>23914</v>
      </c>
      <c r="D64" s="200" t="s">
        <v>32</v>
      </c>
      <c r="E64" s="201"/>
      <c r="F64" s="2491"/>
      <c r="G64" s="2491"/>
      <c r="H64" s="2499"/>
      <c r="I64" s="138"/>
      <c r="J64" s="3109"/>
      <c r="K64" s="2992" t="s">
        <v>2246</v>
      </c>
      <c r="L64" s="1752">
        <f ca="1">IF(M49&gt;2000,M49*0.5%,IF(AND(M49&gt;1000,M49&lt;=2000),M49*0.6%,IF(AND(M49&gt;500,M49&lt;=1000),M49*0.7%,IF(AND(M49&gt;200,M49&lt;=500),M49*0.8%,IF(AND(M49&gt;100,M49&lt;=200),M49*0.9%,IF(AND(M49&gt;50,M49&lt;=100),M49*1%,IF(AND(M49&gt;20,M49&lt;=50),M49*1.5%,IF(AND(M49&gt;10,M49&lt;=20),M49*2%,IF(AND(M49&gt;1,M49&lt;=10),M49*2.5%)))))))))</f>
        <v>186.82500000000002</v>
      </c>
      <c r="M64" s="24">
        <f t="shared" ref="M64:M65" ca="1" si="1">ROUND(L64,1)</f>
        <v>186.8</v>
      </c>
      <c r="N64" s="138" t="s">
        <v>2247</v>
      </c>
      <c r="Z64" s="2425"/>
      <c r="AI64" s="2426"/>
    </row>
    <row r="65" spans="1:35" ht="14.25" customHeight="1">
      <c r="A65" s="197" t="s">
        <v>771</v>
      </c>
      <c r="B65" s="198" t="s">
        <v>2248</v>
      </c>
      <c r="C65" s="202"/>
      <c r="D65" s="200"/>
      <c r="E65" s="201"/>
      <c r="F65" s="2491"/>
      <c r="G65" s="2491"/>
      <c r="H65" s="2499"/>
      <c r="I65" s="138"/>
      <c r="J65" s="3109"/>
      <c r="K65" s="2992" t="s">
        <v>2249</v>
      </c>
      <c r="L65" s="1752">
        <f ca="1">IF(M49&gt;1000,M49*0.1%,IF(AND(M49&gt;500,M49&lt;=1000),M49*0.5%,IF(AND(M49&gt;50,M49&lt;=500),M49*1%,IF(AND(M49&gt;1,M49&lt;=50),M49*1.5%))))</f>
        <v>37.365000000000002</v>
      </c>
      <c r="M65" s="24">
        <f t="shared" ca="1" si="1"/>
        <v>37.4</v>
      </c>
      <c r="N65" s="138" t="s">
        <v>2247</v>
      </c>
      <c r="Z65" s="2425"/>
      <c r="AI65" s="2426"/>
    </row>
    <row r="66" spans="1:35" ht="14.25" customHeight="1">
      <c r="A66" s="203" t="s">
        <v>772</v>
      </c>
      <c r="B66" s="204" t="s">
        <v>2250</v>
      </c>
      <c r="C66" s="205"/>
      <c r="D66" s="206" t="s">
        <v>32</v>
      </c>
      <c r="E66" s="1776" t="s">
        <v>1371</v>
      </c>
      <c r="F66" s="2491"/>
      <c r="G66" s="2491"/>
      <c r="H66" s="2499"/>
      <c r="I66" s="138"/>
      <c r="J66" s="3109"/>
      <c r="K66" s="2992" t="s">
        <v>2251</v>
      </c>
      <c r="L66" s="1752">
        <f ca="1">M49*0.5%</f>
        <v>186.82500000000002</v>
      </c>
      <c r="M66" s="24">
        <f ca="1">IF(L66&gt;0.5,0.5,ROUND(L66,0))</f>
        <v>0.5</v>
      </c>
      <c r="N66" s="138" t="s">
        <v>2252</v>
      </c>
      <c r="Z66" s="2425"/>
      <c r="AI66" s="2426"/>
    </row>
    <row r="67" spans="1:35" ht="14.25" customHeight="1">
      <c r="A67" s="203" t="s">
        <v>773</v>
      </c>
      <c r="B67" s="204" t="s">
        <v>2253</v>
      </c>
      <c r="C67" s="207">
        <f ca="1">C63-C66</f>
        <v>22775</v>
      </c>
      <c r="D67" s="200" t="s">
        <v>32</v>
      </c>
      <c r="E67" s="201"/>
      <c r="F67" s="2491"/>
      <c r="G67" s="2491"/>
      <c r="H67" s="2499"/>
      <c r="I67" s="138"/>
      <c r="J67" s="3109"/>
      <c r="K67" s="2992" t="s">
        <v>2254</v>
      </c>
      <c r="L67" s="1752">
        <f ca="1">IF(M49&gt;=10000,(8.25+(M49-10000)*0.01%),IF(AND(M49&gt;=8000,M49&lt;10000),(7.85+(M49-8000)*0.02%),IF(AND(M49&gt;=5000,M49&lt;8000),(6.65+(M49-5000)*0.04%),IF(AND(M49&gt;=2000,M49&lt;5000),(4.25+(PM49-2000)*0.08%),IF(AND(M49&gt;=1000,M49&lt;2000),(2.75+(M49-1000)*0.15%),IF(AND(M49&gt;=100,M49&lt;1000),(0.5+(M49-100)*0.25%),IF(AND(M49&gt;0,M49&lt;100),M49*0.5%)))))))</f>
        <v>10.986499999999999</v>
      </c>
      <c r="M67" s="24">
        <f ca="1">ROUND(L67*0.9,1)</f>
        <v>9.9</v>
      </c>
      <c r="Z67" s="2425"/>
      <c r="AI67" s="2426"/>
    </row>
    <row r="68" spans="1:35" ht="14.25" customHeight="1" thickBot="1">
      <c r="A68" s="208" t="s">
        <v>774</v>
      </c>
      <c r="B68" s="209" t="s">
        <v>2255</v>
      </c>
      <c r="C68" s="210">
        <f ca="1">IF(C67&lt;=0,0,ROUND(C67*D68,0))</f>
        <v>1253</v>
      </c>
      <c r="D68" s="211">
        <f>'数据-取费表'!B41</f>
        <v>5.5000000000000007E-2</v>
      </c>
      <c r="E68" s="212"/>
      <c r="F68" s="2491"/>
      <c r="G68" s="2491"/>
      <c r="H68" s="2499"/>
      <c r="I68" s="138"/>
      <c r="J68" s="3109"/>
      <c r="K68" s="2992" t="s">
        <v>2256</v>
      </c>
      <c r="L68" s="1752">
        <f ca="1">IF(M49&gt;10000,M49*0.5%,IF(AND(M49&gt;5000,M49&lt;=10000),M49*1%,IF(AND(M49&gt;1000,M49&lt;=5000),M49*2%,IF(AND(M49&gt;200,M49&lt;=1000),M49*3%,M49*5%))))</f>
        <v>186.82500000000002</v>
      </c>
      <c r="M68" s="24">
        <f ca="1">ROUND(L68,1)</f>
        <v>186.8</v>
      </c>
      <c r="Z68" s="2425"/>
      <c r="AI68" s="2426"/>
    </row>
    <row r="69" spans="1:35" s="2448" customFormat="1" ht="16.5" customHeight="1">
      <c r="A69" s="2502"/>
      <c r="B69" s="2503"/>
      <c r="C69" s="2504"/>
      <c r="D69" s="2505"/>
      <c r="E69" s="2506"/>
      <c r="F69" s="2169"/>
      <c r="G69" s="2169"/>
      <c r="H69" s="2168"/>
      <c r="I69" s="2420"/>
      <c r="J69" s="3109"/>
      <c r="K69" s="2992" t="s">
        <v>2257</v>
      </c>
      <c r="L69" s="2507"/>
      <c r="M69" s="24">
        <f ca="1">ROUND(SUM(M63:M68),0)</f>
        <v>608</v>
      </c>
      <c r="N69" s="1753">
        <f ca="1">M69/M49</f>
        <v>1.6271912217315668E-2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53" t="s">
        <v>2258</v>
      </c>
      <c r="B70" s="3154"/>
      <c r="C70" s="3154"/>
      <c r="D70" s="3154"/>
      <c r="E70" s="3154"/>
      <c r="F70" s="3154"/>
      <c r="G70" s="3154"/>
      <c r="H70" s="3154"/>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44" t="s">
        <v>2239</v>
      </c>
      <c r="B71" s="3145"/>
      <c r="C71" s="2987"/>
      <c r="D71" s="2987" t="s">
        <v>2240</v>
      </c>
      <c r="E71" s="213" t="s">
        <v>2241</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2259</v>
      </c>
      <c r="C72" s="207">
        <f ca="1">ROUND(D45/(1+'数据-取费表'!C42),0)</f>
        <v>22775</v>
      </c>
      <c r="D72" s="200" t="s">
        <v>32</v>
      </c>
      <c r="E72" s="2986"/>
      <c r="F72" s="2981"/>
      <c r="G72" s="2981"/>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2260</v>
      </c>
      <c r="C73" s="207">
        <f ca="1">C74+C78</f>
        <v>114</v>
      </c>
      <c r="D73" s="200" t="s">
        <v>32</v>
      </c>
      <c r="E73" s="2986"/>
      <c r="F73" s="2981"/>
      <c r="G73" s="2981"/>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2261</v>
      </c>
      <c r="C74" s="200">
        <f>ROUND(IF(G77="2016年5月1日后购买",C75/(1+'数据-取费表'!C42)+C76+C77,C75+C76+C77),0)</f>
        <v>0</v>
      </c>
      <c r="D74" s="200" t="s">
        <v>32</v>
      </c>
      <c r="E74" s="2986"/>
      <c r="F74" s="2981"/>
      <c r="G74" s="2981"/>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2262</v>
      </c>
      <c r="C75" s="218"/>
      <c r="D75" s="200" t="s">
        <v>32</v>
      </c>
      <c r="E75" s="219" t="s">
        <v>2263</v>
      </c>
      <c r="F75" s="2513" t="s">
        <v>2264</v>
      </c>
      <c r="G75" s="219" t="s">
        <v>2265</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2266</v>
      </c>
      <c r="C76" s="200">
        <f>IF(F75="购房发票",ROUND(C75*H75*D76,0),0)</f>
        <v>0</v>
      </c>
      <c r="D76" s="222">
        <v>0.05</v>
      </c>
      <c r="E76" s="3150" t="s">
        <v>2267</v>
      </c>
      <c r="F76" s="3149"/>
      <c r="G76" s="3149"/>
      <c r="H76" s="3152"/>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2268</v>
      </c>
      <c r="C77" s="200">
        <f>ROUND(IF(G77="个人住宅",0,IF(G77="2016年5月1日前购买",C75*D77,C75*D77/(1+'数据-取费表'!C42))),0)</f>
        <v>0</v>
      </c>
      <c r="D77" s="223">
        <f>'数据-取费表'!B48+'数据-取费表'!B49</f>
        <v>4.0500000000000001E-2</v>
      </c>
      <c r="E77" s="2993" t="s">
        <v>2269</v>
      </c>
      <c r="F77" s="224"/>
      <c r="G77" s="2515" t="s">
        <v>2270</v>
      </c>
      <c r="H77" s="298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2271</v>
      </c>
      <c r="C78" s="225">
        <f ca="1">ROUND(D45*D78/(1+'数据-取费表'!C42),0)</f>
        <v>114</v>
      </c>
      <c r="D78" s="226">
        <f>'数据-取费表'!B43</f>
        <v>5.000000000000001E-3</v>
      </c>
      <c r="E78" s="3141" t="s">
        <v>2272</v>
      </c>
      <c r="F78" s="3142"/>
      <c r="G78" s="3142"/>
      <c r="H78" s="3143"/>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773</v>
      </c>
      <c r="B79" s="204" t="s">
        <v>2273</v>
      </c>
      <c r="C79" s="207">
        <f ca="1">C72-C73</f>
        <v>22661</v>
      </c>
      <c r="D79" s="200" t="s">
        <v>32</v>
      </c>
      <c r="E79" s="2986"/>
      <c r="F79" s="2981"/>
      <c r="G79" s="2981"/>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2274</v>
      </c>
      <c r="C80" s="227">
        <f ca="1">IF(C79&lt;=0,0,C79/C73)</f>
        <v>198.78070175438597</v>
      </c>
      <c r="D80" s="200" t="s">
        <v>32</v>
      </c>
      <c r="E80" s="2993" t="str">
        <f ca="1">IF(C80&gt;=200%,"增值额超过扣除项目金额200%",IF(C80&gt;=100%,"增值额超过扣除项目金额100%，未超过200%",IF(C80&gt;=50%,"增值额超过扣除项目金额50%，未超过100%",IF(C80&lt;50%,"增值额未超过扣除项目金额50%"))))</f>
        <v>增值额超过扣除项目金额200%</v>
      </c>
      <c r="F80" s="2981"/>
      <c r="G80" s="2981"/>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2275</v>
      </c>
      <c r="C81" s="228">
        <f ca="1">ROUND(IF(C79&lt;=0,0,IF(C80&gt;=200%,C79*60%-C73*35%,IF(C80&gt;=100%,C79*50%-C73*15%,IF(C80&gt;=50%,C79*40%-C73*5%,IF(C80&lt;50%,C79*30%,0))))),0)</f>
        <v>13557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53" t="s">
        <v>2276</v>
      </c>
      <c r="B83" s="3154"/>
      <c r="C83" s="3154"/>
      <c r="D83" s="3154"/>
      <c r="E83" s="3154"/>
      <c r="F83" s="3154"/>
      <c r="G83" s="3154"/>
      <c r="H83" s="3154"/>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44" t="s">
        <v>2239</v>
      </c>
      <c r="B84" s="3145"/>
      <c r="C84" s="2987"/>
      <c r="D84" s="2987" t="s">
        <v>2240</v>
      </c>
      <c r="E84" s="213" t="s">
        <v>2241</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2259</v>
      </c>
      <c r="C85" s="207">
        <f ca="1">ROUND(D45/(1+'数据-取费表'!C42),0)</f>
        <v>22775</v>
      </c>
      <c r="D85" s="200" t="s">
        <v>32</v>
      </c>
      <c r="E85" s="2986"/>
      <c r="F85" s="2981"/>
      <c r="G85" s="2981"/>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2260</v>
      </c>
      <c r="C86" s="207">
        <f ca="1">IF(H88="仅含出让金",C87+C90+C91+C92+C93+C94,C87+C91+C92+C93+C94)</f>
        <v>641</v>
      </c>
      <c r="D86" s="235"/>
      <c r="E86" s="2986"/>
      <c r="F86" s="2981"/>
      <c r="G86" s="2981"/>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2277</v>
      </c>
      <c r="C87" s="225">
        <f>C88+C89</f>
        <v>54</v>
      </c>
      <c r="D87" s="226"/>
      <c r="E87" s="2982"/>
      <c r="F87" s="2983"/>
      <c r="G87" s="2983"/>
      <c r="H87" s="2985"/>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2278</v>
      </c>
      <c r="C88" s="236">
        <f>ROUND(321*'数据-基础表'!E6/10000,0)</f>
        <v>52</v>
      </c>
      <c r="D88" s="226"/>
      <c r="E88" s="237" t="s">
        <v>2279</v>
      </c>
      <c r="F88" s="2983"/>
      <c r="G88" s="238" t="s">
        <v>2280</v>
      </c>
      <c r="H88" s="2519" t="s">
        <v>3203</v>
      </c>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2268</v>
      </c>
      <c r="C89" s="225">
        <f>ROUND(C88*D89,0)</f>
        <v>2</v>
      </c>
      <c r="D89" s="226">
        <f>'数据-取费表'!B48+'数据-取费表'!B49</f>
        <v>4.0500000000000001E-2</v>
      </c>
      <c r="E89" s="237" t="s">
        <v>2281</v>
      </c>
      <c r="F89" s="2983"/>
      <c r="G89" s="2983"/>
      <c r="H89" s="2985"/>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2282</v>
      </c>
      <c r="C90" s="236"/>
      <c r="D90" s="226"/>
      <c r="E90" s="237" t="str">
        <f>IF(H88="-","土地取得成本中已包含该笔费用"," ")</f>
        <v xml:space="preserve"> </v>
      </c>
      <c r="F90" s="2983"/>
      <c r="G90" s="2983"/>
      <c r="H90" s="2985"/>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2283</v>
      </c>
      <c r="B91" s="198" t="s">
        <v>2284</v>
      </c>
      <c r="C91" s="225">
        <f ca="1">IF(H91="——",成本法!C33,I91)</f>
        <v>351</v>
      </c>
      <c r="D91" s="226"/>
      <c r="E91" s="3141" t="s">
        <v>2285</v>
      </c>
      <c r="F91" s="3142"/>
      <c r="G91" s="3142"/>
      <c r="H91" s="2520" t="s">
        <v>70</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2287</v>
      </c>
      <c r="B92" s="198" t="s">
        <v>2288</v>
      </c>
      <c r="C92" s="225">
        <f ca="1">ROUND((C87+C90+C91)*D92,0)</f>
        <v>41</v>
      </c>
      <c r="D92" s="226">
        <v>0.1</v>
      </c>
      <c r="E92" s="3141" t="s">
        <v>2289</v>
      </c>
      <c r="F92" s="3142"/>
      <c r="G92" s="3142"/>
      <c r="H92" s="3143"/>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2290</v>
      </c>
      <c r="B93" s="198" t="s">
        <v>2271</v>
      </c>
      <c r="C93" s="225">
        <f ca="1">ROUND(D45*D93/(1+'数据-取费表'!C42),0)</f>
        <v>114</v>
      </c>
      <c r="D93" s="226">
        <f>'数据-取费表'!B43</f>
        <v>5.000000000000001E-3</v>
      </c>
      <c r="E93" s="3141" t="s">
        <v>2272</v>
      </c>
      <c r="F93" s="3142"/>
      <c r="G93" s="3142"/>
      <c r="H93" s="3143"/>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2291</v>
      </c>
      <c r="B94" s="198" t="s">
        <v>2292</v>
      </c>
      <c r="C94" s="236">
        <f ca="1">ROUND((C87+C90+C91)*D94,0)</f>
        <v>81</v>
      </c>
      <c r="D94" s="226">
        <v>0.2</v>
      </c>
      <c r="E94" s="3189" t="s">
        <v>2293</v>
      </c>
      <c r="F94" s="3190"/>
      <c r="G94" s="3190"/>
      <c r="H94" s="3191"/>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773</v>
      </c>
      <c r="B95" s="204" t="s">
        <v>2273</v>
      </c>
      <c r="C95" s="207">
        <f ca="1">ROUND(C85-C86,0)</f>
        <v>22134</v>
      </c>
      <c r="D95" s="200" t="s">
        <v>32</v>
      </c>
      <c r="E95" s="2986"/>
      <c r="F95" s="2981"/>
      <c r="G95" s="2981"/>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2274</v>
      </c>
      <c r="C96" s="227">
        <f ca="1">IF(C95&lt;=0,0,C95/C86)</f>
        <v>34.530421216848673</v>
      </c>
      <c r="D96" s="200" t="s">
        <v>32</v>
      </c>
      <c r="E96" s="2993" t="str">
        <f ca="1">IF(C96&gt;=200%,"增值额超过扣除项目金额200%",IF(C96&gt;=100%,"增值额超过扣除项目金额100%，未超过200%",IF(C96&gt;=50%,"增值额超过扣除项目金额50%，未超过100%",IF(C96&lt;50%,"增值额未超过扣除项目金额50%"))))</f>
        <v>增值额超过扣除项目金额200%</v>
      </c>
      <c r="F96" s="2981"/>
      <c r="G96" s="2981"/>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2275</v>
      </c>
      <c r="C97" s="228">
        <f ca="1">ROUND(IF(C95&lt;=0,0,IF(C96&gt;=200%,C95*60%-C86*35%,IF(C96&gt;=100%,C95*50%-C86*15%,IF(C96&gt;=50%,C95*40%-C86*5%,IF(C96&lt;50%,C95*30%,0))))),0)</f>
        <v>13056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9"/>
      <c r="F98" s="2169"/>
      <c r="G98" s="2169"/>
      <c r="H98" s="2168"/>
      <c r="I98" s="138"/>
    </row>
    <row r="99" spans="1:35" ht="21.75" customHeight="1" thickBot="1">
      <c r="A99" s="2476" t="s">
        <v>2294</v>
      </c>
      <c r="B99" s="2420"/>
      <c r="C99" s="2420"/>
      <c r="D99" s="2420"/>
      <c r="E99" s="2169"/>
      <c r="F99" s="2169"/>
      <c r="G99" s="2169"/>
      <c r="H99" s="2168"/>
      <c r="I99" s="138"/>
    </row>
    <row r="100" spans="1:35" ht="18.75" customHeight="1">
      <c r="A100" s="3093" t="s">
        <v>2295</v>
      </c>
      <c r="B100" s="3094"/>
      <c r="C100" s="3094"/>
      <c r="D100" s="3125"/>
      <c r="E100" s="3094" t="s">
        <v>2296</v>
      </c>
      <c r="F100" s="3094"/>
      <c r="G100" s="3094"/>
      <c r="H100" s="3125"/>
      <c r="I100" s="138"/>
    </row>
    <row r="101" spans="1:35" ht="18.75" customHeight="1">
      <c r="A101" s="3133" t="s">
        <v>2297</v>
      </c>
      <c r="B101" s="3134"/>
      <c r="C101" s="736" t="str">
        <f>C4</f>
        <v>典型户型修正</v>
      </c>
      <c r="D101" s="737" t="str">
        <f>D4</f>
        <v>收益法 (元)</v>
      </c>
      <c r="E101" s="3105" t="s">
        <v>2298</v>
      </c>
      <c r="F101" s="3106"/>
      <c r="G101" s="2522" t="s">
        <v>2299</v>
      </c>
      <c r="H101" s="1048">
        <f ca="1">H118</f>
        <v>37365</v>
      </c>
      <c r="I101" s="138"/>
    </row>
    <row r="102" spans="1:35" ht="18.75" customHeight="1">
      <c r="A102" s="3135" t="s">
        <v>2300</v>
      </c>
      <c r="B102" s="2522" t="s">
        <v>2299</v>
      </c>
      <c r="C102" s="736">
        <f ca="1">C19</f>
        <v>37365</v>
      </c>
      <c r="D102" s="737">
        <f ca="1">D19</f>
        <v>-135</v>
      </c>
      <c r="E102" s="3105"/>
      <c r="F102" s="3106"/>
      <c r="G102" s="2522" t="s">
        <v>2301</v>
      </c>
      <c r="H102" s="371" t="e">
        <f ca="1">I118</f>
        <v>#DIV/0!</v>
      </c>
      <c r="I102" s="138"/>
    </row>
    <row r="103" spans="1:35" ht="42.75" customHeight="1">
      <c r="A103" s="3135"/>
      <c r="B103" s="2522" t="s">
        <v>2301</v>
      </c>
      <c r="C103" s="738">
        <f ca="1">C20</f>
        <v>3096</v>
      </c>
      <c r="D103" s="739">
        <f ca="1">D20</f>
        <v>-837</v>
      </c>
      <c r="E103" s="3099" t="s">
        <v>2302</v>
      </c>
      <c r="F103" s="3100"/>
      <c r="G103" s="2523" t="s">
        <v>2303</v>
      </c>
      <c r="H103" s="1048">
        <f>IF(D36="正常操作",H104+H105+H106,H105+H106)</f>
        <v>0</v>
      </c>
      <c r="I103" s="138"/>
    </row>
    <row r="104" spans="1:35" ht="18.75" customHeight="1">
      <c r="A104" s="3135" t="s">
        <v>2304</v>
      </c>
      <c r="B104" s="2524" t="s">
        <v>2299</v>
      </c>
      <c r="C104" s="740">
        <f ca="1">H118</f>
        <v>37365</v>
      </c>
      <c r="D104" s="741"/>
      <c r="E104" s="2270" t="s">
        <v>2305</v>
      </c>
      <c r="F104" s="2261"/>
      <c r="G104" s="2523" t="s">
        <v>2303</v>
      </c>
      <c r="H104" s="1049">
        <f>IF(D36="同一抵押权人同一抵押物续贷",C36&amp;"（未扣减，详见特别提示）",C36)</f>
        <v>0</v>
      </c>
      <c r="I104" s="138"/>
    </row>
    <row r="105" spans="1:35" ht="18.75" customHeight="1" thickBot="1">
      <c r="A105" s="3147"/>
      <c r="B105" s="2525" t="s">
        <v>2301</v>
      </c>
      <c r="C105" s="742" t="e">
        <f ca="1">I118</f>
        <v>#DIV/0!</v>
      </c>
      <c r="D105" s="743"/>
      <c r="E105" s="2270" t="s">
        <v>2306</v>
      </c>
      <c r="F105" s="2261"/>
      <c r="G105" s="2523" t="s">
        <v>2303</v>
      </c>
      <c r="H105" s="1049">
        <f>C37</f>
        <v>0</v>
      </c>
      <c r="I105" s="138"/>
    </row>
    <row r="106" spans="1:35" ht="18.75" customHeight="1">
      <c r="A106" s="2420" t="s">
        <v>2307</v>
      </c>
      <c r="B106" s="2420"/>
      <c r="C106" s="2420"/>
      <c r="D106" s="2420"/>
      <c r="E106" s="2526" t="s">
        <v>2308</v>
      </c>
      <c r="F106" s="2261"/>
      <c r="G106" s="2523" t="s">
        <v>2303</v>
      </c>
      <c r="H106" s="1049">
        <f>C38</f>
        <v>0</v>
      </c>
      <c r="I106" s="138"/>
    </row>
    <row r="107" spans="1:35" ht="18.75" customHeight="1">
      <c r="A107" s="138"/>
      <c r="B107" s="138"/>
      <c r="C107" s="138"/>
      <c r="D107" s="138"/>
      <c r="E107" s="3136" t="str">
        <f>IF(项目基本情况!E8="已注销","——","3.房地产抵押价值")</f>
        <v>3.房地产抵押价值</v>
      </c>
      <c r="F107" s="3106"/>
      <c r="G107" s="2522" t="s">
        <v>2299</v>
      </c>
      <c r="H107" s="1048">
        <f ca="1">IF(E107="——","——",H101-H103)</f>
        <v>37365</v>
      </c>
      <c r="I107" s="138"/>
    </row>
    <row r="108" spans="1:35" ht="18.75" customHeight="1">
      <c r="A108" s="138"/>
      <c r="B108" s="138"/>
      <c r="C108" s="138"/>
      <c r="D108" s="138"/>
      <c r="E108" s="3136"/>
      <c r="F108" s="3106"/>
      <c r="G108" s="2522" t="s">
        <v>2301</v>
      </c>
      <c r="H108" s="371">
        <f ca="1">ROUND(H107*10000/'数据-汇总表'!E3,0)</f>
        <v>231937</v>
      </c>
      <c r="I108" s="138"/>
    </row>
    <row r="109" spans="1:35" ht="18.75" customHeight="1">
      <c r="A109" s="138"/>
      <c r="B109" s="138"/>
      <c r="C109" s="138"/>
      <c r="D109" s="138"/>
      <c r="E109" s="3136" t="str">
        <f>IF(项目基本情况!E8="已注销及未注销","4.抵押担保权已注销时的房地产抵押价值",IF(项目基本情况!E8="已注销","3.抵押担保权已注销时的房地产抵押价值","——"))</f>
        <v>——</v>
      </c>
      <c r="F109" s="3106"/>
      <c r="G109" s="2522" t="s">
        <v>2299</v>
      </c>
      <c r="H109" s="348" t="str">
        <f>IF(E109="——","——",H101-H105-H106)</f>
        <v>——</v>
      </c>
      <c r="I109" s="138"/>
    </row>
    <row r="110" spans="1:35" ht="18.75" customHeight="1">
      <c r="A110" s="138"/>
      <c r="B110" s="138"/>
      <c r="C110" s="138"/>
      <c r="D110" s="138"/>
      <c r="E110" s="3136"/>
      <c r="F110" s="3106"/>
      <c r="G110" s="2522" t="s">
        <v>2301</v>
      </c>
      <c r="H110" s="371" t="str">
        <f>IF(H109="——","——",ROUND(H109*10000/'数据-汇总表'!E3,0))</f>
        <v>——</v>
      </c>
      <c r="I110" s="138"/>
    </row>
    <row r="111" spans="1:35" ht="18.75" customHeight="1">
      <c r="A111" s="138"/>
      <c r="B111" s="138"/>
      <c r="C111" s="138"/>
      <c r="D111" s="138"/>
      <c r="E111" s="3137" t="str">
        <f>IF(项目基本情况!E9="抵押净值",IF(OR(项目基本情况!E8="已注销",项目基本情况!E8="房地产抵押价值"),"4.抵押净值","5.抵押净值"),"——")</f>
        <v>——</v>
      </c>
      <c r="F111" s="3138"/>
      <c r="G111" s="2522" t="s">
        <v>2299</v>
      </c>
      <c r="H111" s="1048" t="str">
        <f>IF(E111="——","——",N59)</f>
        <v>——</v>
      </c>
      <c r="I111" s="138"/>
    </row>
    <row r="112" spans="1:35" ht="18.75" customHeight="1" thickBot="1">
      <c r="A112" s="138"/>
      <c r="B112" s="138"/>
      <c r="C112" s="138"/>
      <c r="D112" s="138"/>
      <c r="E112" s="3139"/>
      <c r="F112" s="3140"/>
      <c r="G112" s="2527" t="s">
        <v>2301</v>
      </c>
      <c r="H112" s="790" t="str">
        <f>IF(E111="——","——",N61)</f>
        <v>——</v>
      </c>
      <c r="I112" s="138"/>
    </row>
    <row r="113" spans="1:11" ht="18.75" customHeight="1">
      <c r="A113" s="138"/>
      <c r="B113" s="138"/>
      <c r="C113" s="138"/>
      <c r="D113" s="138"/>
      <c r="E113" s="3148" t="s">
        <v>2307</v>
      </c>
      <c r="F113" s="3148"/>
      <c r="G113" s="3148"/>
      <c r="H113" s="3148"/>
      <c r="I113" s="138"/>
    </row>
    <row r="114" spans="1:11" ht="3.75" customHeight="1">
      <c r="A114" s="2420"/>
      <c r="B114" s="2420"/>
      <c r="C114" s="2420"/>
      <c r="D114" s="2420"/>
      <c r="E114" s="2498"/>
      <c r="F114" s="2498"/>
      <c r="G114" s="2498"/>
      <c r="H114" s="2498"/>
      <c r="I114" s="2420"/>
    </row>
    <row r="115" spans="1:11" ht="18.75" customHeight="1">
      <c r="A115" s="3161" t="s">
        <v>2309</v>
      </c>
      <c r="B115" s="3162"/>
      <c r="C115" s="3162"/>
      <c r="D115" s="3162"/>
      <c r="E115" s="3162"/>
      <c r="F115" s="3162"/>
      <c r="G115" s="3162"/>
      <c r="H115" s="3162"/>
      <c r="I115" s="3163"/>
    </row>
    <row r="116" spans="1:11" ht="27" customHeight="1">
      <c r="A116" s="3072" t="s">
        <v>2310</v>
      </c>
      <c r="B116" s="3115" t="s">
        <v>2311</v>
      </c>
      <c r="C116" s="3115" t="s">
        <v>2312</v>
      </c>
      <c r="D116" s="3121" t="s">
        <v>2313</v>
      </c>
      <c r="E116" s="3122"/>
      <c r="F116" s="3157" t="s">
        <v>2314</v>
      </c>
      <c r="G116" s="3157"/>
      <c r="H116" s="3072" t="s">
        <v>2315</v>
      </c>
      <c r="I116" s="3072"/>
    </row>
    <row r="117" spans="1:11" ht="18.75" customHeight="1">
      <c r="A117" s="3072"/>
      <c r="B117" s="3116"/>
      <c r="C117" s="3116"/>
      <c r="D117" s="2979" t="s">
        <v>2316</v>
      </c>
      <c r="E117" s="2979" t="s">
        <v>2317</v>
      </c>
      <c r="F117" s="2979" t="s">
        <v>2316</v>
      </c>
      <c r="G117" s="2979" t="s">
        <v>2318</v>
      </c>
      <c r="H117" s="2979" t="s">
        <v>2316</v>
      </c>
      <c r="I117" s="2979" t="s">
        <v>2318</v>
      </c>
    </row>
    <row r="118" spans="1:11" ht="24.75" customHeight="1">
      <c r="A118" s="2528" t="str">
        <f>项目基本情况!S2</f>
        <v>出让国有建设用地使用权及在建建筑物房地产</v>
      </c>
      <c r="B118" s="2979">
        <f>M18</f>
        <v>0</v>
      </c>
      <c r="C118" s="2979">
        <f>M19</f>
        <v>0</v>
      </c>
      <c r="D118" s="2979">
        <f ca="1">ROUND(IF(D32="总价",C34,E118*B118/10000),0)</f>
        <v>212196</v>
      </c>
      <c r="E118" s="2979" t="e">
        <f ca="1">ROUND(IF(C33="自定义",IF(D32="楼面单价",C34,D118*10000/B118),I118-G118),0)</f>
        <v>#DIV/0!</v>
      </c>
      <c r="F118" s="2979">
        <f ca="1">ROUND(IF(D32="总价",C35,G118*B118/10000),0)</f>
        <v>-174831</v>
      </c>
      <c r="G118" s="2979" t="e">
        <f ca="1">ROUND(IF(D32="楼面单价",C35,F118*10000/B118),0)</f>
        <v>#DIV/0!</v>
      </c>
      <c r="H118" s="2979">
        <f ca="1">ROUND(IF(D32="总价",C32,I118*B118/10000),0)</f>
        <v>37365</v>
      </c>
      <c r="I118" s="2979" t="e">
        <f ca="1">ROUND(IF(D32="楼面单价",C32,H118*10000/B118),0)</f>
        <v>#DIV/0!</v>
      </c>
    </row>
    <row r="119" spans="1:11" ht="18.75" customHeight="1">
      <c r="A119" s="3072" t="s">
        <v>2319</v>
      </c>
      <c r="B119" s="3072"/>
      <c r="C119" s="3072"/>
      <c r="D119" s="3117" t="str">
        <f ca="1">NUMBERSTRING(INT(D118*10000),2)&amp;"元整"</f>
        <v>贰拾壹亿贰仟壹佰玖拾陆万元整</v>
      </c>
      <c r="E119" s="3118"/>
      <c r="F119" s="3117" t="e">
        <f ca="1">NUMBERSTRING(INT(F118*10000),2)&amp;"元整"</f>
        <v>#NUM!</v>
      </c>
      <c r="G119" s="3118"/>
      <c r="H119" s="3117" t="str">
        <f ca="1">NUMBERSTRING(INT(H118*10000),2)&amp;"元整"</f>
        <v>叁亿柒仟叁佰陆拾伍万元整</v>
      </c>
      <c r="I119" s="3118"/>
    </row>
    <row r="120" spans="1:11" ht="18.75" customHeight="1">
      <c r="A120" s="3112" t="str">
        <f>IF(项目基本情况!B9="房地产市场价值","",MID(E103,3,LEN(E103)-2))</f>
        <v>估价师知悉的法定优先受偿款</v>
      </c>
      <c r="B120" s="3113"/>
      <c r="C120" s="3114"/>
      <c r="D120" s="3112">
        <f>H103</f>
        <v>0</v>
      </c>
      <c r="E120" s="3113"/>
      <c r="F120" s="3113"/>
      <c r="G120" s="3113"/>
      <c r="H120" s="3113"/>
      <c r="I120" s="3114"/>
      <c r="K120" s="2425" t="str">
        <f>IF(D120=0,"故，本次评估不存在"&amp;A120,"故，本次评估"&amp;A120&amp;"为人民币"&amp;D120&amp;"万元整。")</f>
        <v>故，本次评估不存在估价师知悉的法定优先受偿款</v>
      </c>
    </row>
    <row r="121" spans="1:11" ht="18.75" customHeight="1">
      <c r="A121" s="3158" t="s">
        <v>2319</v>
      </c>
      <c r="B121" s="3159"/>
      <c r="C121" s="3160"/>
      <c r="D121" s="3117" t="str">
        <f>IF(D120=0,"零元整",NUMBERSTRING(INT(D120*10000),2)&amp;"元整")</f>
        <v>零元整</v>
      </c>
      <c r="E121" s="3119"/>
      <c r="F121" s="3119"/>
      <c r="G121" s="3119"/>
      <c r="H121" s="3119"/>
      <c r="I121" s="3118"/>
    </row>
    <row r="122" spans="1:11" ht="18.75" customHeight="1">
      <c r="A122" s="3123" t="str">
        <f>IF(项目基本情况!B9="房地产市场价值","",MID(E107,3,LEN(E107)-2))</f>
        <v>房地产抵押价值</v>
      </c>
      <c r="B122" s="3123"/>
      <c r="C122" s="3123"/>
      <c r="D122" s="3112">
        <f ca="1">H107</f>
        <v>37365</v>
      </c>
      <c r="E122" s="3113"/>
      <c r="F122" s="3113"/>
      <c r="G122" s="3113"/>
      <c r="H122" s="3113"/>
      <c r="I122" s="3114"/>
    </row>
    <row r="123" spans="1:11" ht="18.75" customHeight="1">
      <c r="A123" s="3072" t="s">
        <v>2319</v>
      </c>
      <c r="B123" s="3072"/>
      <c r="C123" s="3072"/>
      <c r="D123" s="3117" t="str">
        <f ca="1">NUMBERSTRING(INT(D122*10000),2)&amp;"元整"</f>
        <v>叁亿柒仟叁佰陆拾伍万元整</v>
      </c>
      <c r="E123" s="3119"/>
      <c r="F123" s="3119"/>
      <c r="G123" s="3119"/>
      <c r="H123" s="3119"/>
      <c r="I123" s="3118"/>
    </row>
    <row r="124" spans="1:11" ht="18.75" customHeight="1">
      <c r="A124" s="3123" t="str">
        <f>IF(项目基本情况!B9="房地产市场价值","",MID(E109,3,LEN(E109)-2))</f>
        <v/>
      </c>
      <c r="B124" s="3123"/>
      <c r="C124" s="3123"/>
      <c r="D124" s="3112" t="str">
        <f>H109</f>
        <v>——</v>
      </c>
      <c r="E124" s="3113"/>
      <c r="F124" s="3113"/>
      <c r="G124" s="3113"/>
      <c r="H124" s="3113"/>
      <c r="I124" s="3114"/>
    </row>
    <row r="125" spans="1:11" ht="18.75" customHeight="1">
      <c r="A125" s="3072" t="s">
        <v>2319</v>
      </c>
      <c r="B125" s="3072"/>
      <c r="C125" s="3072"/>
      <c r="D125" s="3117" t="e">
        <f>NUMBERSTRING(INT(D124*10000),2)&amp;"元整"</f>
        <v>#VALUE!</v>
      </c>
      <c r="E125" s="3119"/>
      <c r="F125" s="3119"/>
      <c r="G125" s="3119"/>
      <c r="H125" s="3119"/>
      <c r="I125" s="3118"/>
    </row>
    <row r="126" spans="1:11" ht="18.75" customHeight="1">
      <c r="A126" s="3123" t="str">
        <f>IF(项目基本情况!B9="房地产市场价值","",MID(E111,3,LEN(E111)-2))</f>
        <v/>
      </c>
      <c r="B126" s="3123"/>
      <c r="C126" s="3123"/>
      <c r="D126" s="3112" t="str">
        <f>H111</f>
        <v>——</v>
      </c>
      <c r="E126" s="3113"/>
      <c r="F126" s="3113"/>
      <c r="G126" s="3113"/>
      <c r="H126" s="3113"/>
      <c r="I126" s="3114"/>
    </row>
    <row r="127" spans="1:11" ht="18.75" customHeight="1">
      <c r="A127" s="3072" t="s">
        <v>2319</v>
      </c>
      <c r="B127" s="3072"/>
      <c r="C127" s="3072"/>
      <c r="D127" s="3117" t="e">
        <f>NUMBERSTRING(INT(D126*10000),2)&amp;"元整"</f>
        <v>#VALUE!</v>
      </c>
      <c r="E127" s="3119"/>
      <c r="F127" s="3119"/>
      <c r="G127" s="3119"/>
      <c r="H127" s="3119"/>
      <c r="I127" s="3118"/>
    </row>
    <row r="128" spans="1:11" ht="21.75" customHeight="1">
      <c r="A128" s="3120" t="s">
        <v>2320</v>
      </c>
      <c r="B128" s="3120"/>
      <c r="C128" s="3120"/>
      <c r="D128" s="3120"/>
      <c r="E128" s="3120"/>
      <c r="F128" s="3120"/>
      <c r="G128" s="3120"/>
      <c r="H128" s="3120"/>
      <c r="I128" s="3120"/>
    </row>
    <row r="129" spans="1:35" ht="21.75" customHeight="1">
      <c r="A129" s="2529" t="s">
        <v>2321</v>
      </c>
      <c r="B129" s="2530"/>
      <c r="C129" s="2531" t="s">
        <v>2322</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2323</v>
      </c>
      <c r="G135" s="2546"/>
      <c r="H135" s="2546"/>
      <c r="I135" s="2547" t="s">
        <v>2324</v>
      </c>
    </row>
    <row r="136" spans="1:35" ht="21.75" customHeight="1">
      <c r="A136" s="795"/>
      <c r="B136" s="2548"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2326</v>
      </c>
    </row>
    <row r="139" spans="1:35" ht="21.75" customHeight="1">
      <c r="A139" s="795"/>
      <c r="B139" s="2548" t="s">
        <v>2327</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2326</v>
      </c>
    </row>
    <row r="142" spans="1:35" ht="21.75" customHeight="1">
      <c r="A142" s="795"/>
      <c r="B142" s="2548"/>
      <c r="C142" s="2549"/>
      <c r="D142" s="2550"/>
      <c r="E142" s="2550"/>
      <c r="F142" s="2344"/>
      <c r="G142" s="795"/>
      <c r="H142" s="795"/>
      <c r="I142" s="795"/>
    </row>
    <row r="143" spans="1:35" s="139" customFormat="1" ht="21.75" customHeight="1">
      <c r="A143" s="795"/>
      <c r="B143" s="2548"/>
      <c r="C143" s="2549"/>
      <c r="D143" s="2550"/>
      <c r="E143" s="2550"/>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54"/>
  <sheetViews>
    <sheetView topLeftCell="B1" workbookViewId="0">
      <selection activeCell="O56" sqref="O56"/>
    </sheetView>
  </sheetViews>
  <sheetFormatPr defaultRowHeight="12.75"/>
  <cols>
    <col min="1" max="1" width="20.875" style="2998" customWidth="1"/>
    <col min="2" max="2" width="6.25" style="2998" customWidth="1"/>
    <col min="3" max="3" width="7.875" style="2998" customWidth="1"/>
    <col min="4" max="5" width="13.875" style="2998" customWidth="1"/>
    <col min="6" max="6" width="6.25" style="2998" customWidth="1"/>
    <col min="7" max="7" width="7.875" style="2998" customWidth="1"/>
    <col min="8" max="8" width="9" style="2998" customWidth="1"/>
    <col min="9" max="10" width="10.625" style="2998" customWidth="1"/>
    <col min="11" max="12" width="14.375" style="2998" customWidth="1"/>
    <col min="13" max="13" width="6.25" style="2998" customWidth="1"/>
    <col min="14" max="14" width="32.75" style="2998" customWidth="1"/>
    <col min="15" max="256" width="9" style="2998"/>
    <col min="257" max="257" width="20.875" style="2998" customWidth="1"/>
    <col min="258" max="258" width="6.25" style="2998" customWidth="1"/>
    <col min="259" max="259" width="7.875" style="2998" customWidth="1"/>
    <col min="260" max="261" width="13.875" style="2998" customWidth="1"/>
    <col min="262" max="262" width="6.25" style="2998" customWidth="1"/>
    <col min="263" max="263" width="7.875" style="2998" customWidth="1"/>
    <col min="264" max="264" width="9" style="2998" customWidth="1"/>
    <col min="265" max="266" width="10.625" style="2998" customWidth="1"/>
    <col min="267" max="268" width="14.375" style="2998" customWidth="1"/>
    <col min="269" max="269" width="6.25" style="2998" customWidth="1"/>
    <col min="270" max="270" width="32.75" style="2998" customWidth="1"/>
    <col min="271" max="512" width="9" style="2998"/>
    <col min="513" max="513" width="20.875" style="2998" customWidth="1"/>
    <col min="514" max="514" width="6.25" style="2998" customWidth="1"/>
    <col min="515" max="515" width="7.875" style="2998" customWidth="1"/>
    <col min="516" max="517" width="13.875" style="2998" customWidth="1"/>
    <col min="518" max="518" width="6.25" style="2998" customWidth="1"/>
    <col min="519" max="519" width="7.875" style="2998" customWidth="1"/>
    <col min="520" max="520" width="9" style="2998" customWidth="1"/>
    <col min="521" max="522" width="10.625" style="2998" customWidth="1"/>
    <col min="523" max="524" width="14.375" style="2998" customWidth="1"/>
    <col min="525" max="525" width="6.25" style="2998" customWidth="1"/>
    <col min="526" max="526" width="32.75" style="2998" customWidth="1"/>
    <col min="527" max="768" width="9" style="2998"/>
    <col min="769" max="769" width="20.875" style="2998" customWidth="1"/>
    <col min="770" max="770" width="6.25" style="2998" customWidth="1"/>
    <col min="771" max="771" width="7.875" style="2998" customWidth="1"/>
    <col min="772" max="773" width="13.875" style="2998" customWidth="1"/>
    <col min="774" max="774" width="6.25" style="2998" customWidth="1"/>
    <col min="775" max="775" width="7.875" style="2998" customWidth="1"/>
    <col min="776" max="776" width="9" style="2998" customWidth="1"/>
    <col min="777" max="778" width="10.625" style="2998" customWidth="1"/>
    <col min="779" max="780" width="14.375" style="2998" customWidth="1"/>
    <col min="781" max="781" width="6.25" style="2998" customWidth="1"/>
    <col min="782" max="782" width="32.75" style="2998" customWidth="1"/>
    <col min="783" max="1024" width="9" style="2998"/>
    <col min="1025" max="1025" width="20.875" style="2998" customWidth="1"/>
    <col min="1026" max="1026" width="6.25" style="2998" customWidth="1"/>
    <col min="1027" max="1027" width="7.875" style="2998" customWidth="1"/>
    <col min="1028" max="1029" width="13.875" style="2998" customWidth="1"/>
    <col min="1030" max="1030" width="6.25" style="2998" customWidth="1"/>
    <col min="1031" max="1031" width="7.875" style="2998" customWidth="1"/>
    <col min="1032" max="1032" width="9" style="2998" customWidth="1"/>
    <col min="1033" max="1034" width="10.625" style="2998" customWidth="1"/>
    <col min="1035" max="1036" width="14.375" style="2998" customWidth="1"/>
    <col min="1037" max="1037" width="6.25" style="2998" customWidth="1"/>
    <col min="1038" max="1038" width="32.75" style="2998" customWidth="1"/>
    <col min="1039" max="1280" width="9" style="2998"/>
    <col min="1281" max="1281" width="20.875" style="2998" customWidth="1"/>
    <col min="1282" max="1282" width="6.25" style="2998" customWidth="1"/>
    <col min="1283" max="1283" width="7.875" style="2998" customWidth="1"/>
    <col min="1284" max="1285" width="13.875" style="2998" customWidth="1"/>
    <col min="1286" max="1286" width="6.25" style="2998" customWidth="1"/>
    <col min="1287" max="1287" width="7.875" style="2998" customWidth="1"/>
    <col min="1288" max="1288" width="9" style="2998" customWidth="1"/>
    <col min="1289" max="1290" width="10.625" style="2998" customWidth="1"/>
    <col min="1291" max="1292" width="14.375" style="2998" customWidth="1"/>
    <col min="1293" max="1293" width="6.25" style="2998" customWidth="1"/>
    <col min="1294" max="1294" width="32.75" style="2998" customWidth="1"/>
    <col min="1295" max="1536" width="9" style="2998"/>
    <col min="1537" max="1537" width="20.875" style="2998" customWidth="1"/>
    <col min="1538" max="1538" width="6.25" style="2998" customWidth="1"/>
    <col min="1539" max="1539" width="7.875" style="2998" customWidth="1"/>
    <col min="1540" max="1541" width="13.875" style="2998" customWidth="1"/>
    <col min="1542" max="1542" width="6.25" style="2998" customWidth="1"/>
    <col min="1543" max="1543" width="7.875" style="2998" customWidth="1"/>
    <col min="1544" max="1544" width="9" style="2998" customWidth="1"/>
    <col min="1545" max="1546" width="10.625" style="2998" customWidth="1"/>
    <col min="1547" max="1548" width="14.375" style="2998" customWidth="1"/>
    <col min="1549" max="1549" width="6.25" style="2998" customWidth="1"/>
    <col min="1550" max="1550" width="32.75" style="2998" customWidth="1"/>
    <col min="1551" max="1792" width="9" style="2998"/>
    <col min="1793" max="1793" width="20.875" style="2998" customWidth="1"/>
    <col min="1794" max="1794" width="6.25" style="2998" customWidth="1"/>
    <col min="1795" max="1795" width="7.875" style="2998" customWidth="1"/>
    <col min="1796" max="1797" width="13.875" style="2998" customWidth="1"/>
    <col min="1798" max="1798" width="6.25" style="2998" customWidth="1"/>
    <col min="1799" max="1799" width="7.875" style="2998" customWidth="1"/>
    <col min="1800" max="1800" width="9" style="2998" customWidth="1"/>
    <col min="1801" max="1802" width="10.625" style="2998" customWidth="1"/>
    <col min="1803" max="1804" width="14.375" style="2998" customWidth="1"/>
    <col min="1805" max="1805" width="6.25" style="2998" customWidth="1"/>
    <col min="1806" max="1806" width="32.75" style="2998" customWidth="1"/>
    <col min="1807" max="2048" width="9" style="2998"/>
    <col min="2049" max="2049" width="20.875" style="2998" customWidth="1"/>
    <col min="2050" max="2050" width="6.25" style="2998" customWidth="1"/>
    <col min="2051" max="2051" width="7.875" style="2998" customWidth="1"/>
    <col min="2052" max="2053" width="13.875" style="2998" customWidth="1"/>
    <col min="2054" max="2054" width="6.25" style="2998" customWidth="1"/>
    <col min="2055" max="2055" width="7.875" style="2998" customWidth="1"/>
    <col min="2056" max="2056" width="9" style="2998" customWidth="1"/>
    <col min="2057" max="2058" width="10.625" style="2998" customWidth="1"/>
    <col min="2059" max="2060" width="14.375" style="2998" customWidth="1"/>
    <col min="2061" max="2061" width="6.25" style="2998" customWidth="1"/>
    <col min="2062" max="2062" width="32.75" style="2998" customWidth="1"/>
    <col min="2063" max="2304" width="9" style="2998"/>
    <col min="2305" max="2305" width="20.875" style="2998" customWidth="1"/>
    <col min="2306" max="2306" width="6.25" style="2998" customWidth="1"/>
    <col min="2307" max="2307" width="7.875" style="2998" customWidth="1"/>
    <col min="2308" max="2309" width="13.875" style="2998" customWidth="1"/>
    <col min="2310" max="2310" width="6.25" style="2998" customWidth="1"/>
    <col min="2311" max="2311" width="7.875" style="2998" customWidth="1"/>
    <col min="2312" max="2312" width="9" style="2998" customWidth="1"/>
    <col min="2313" max="2314" width="10.625" style="2998" customWidth="1"/>
    <col min="2315" max="2316" width="14.375" style="2998" customWidth="1"/>
    <col min="2317" max="2317" width="6.25" style="2998" customWidth="1"/>
    <col min="2318" max="2318" width="32.75" style="2998" customWidth="1"/>
    <col min="2319" max="2560" width="9" style="2998"/>
    <col min="2561" max="2561" width="20.875" style="2998" customWidth="1"/>
    <col min="2562" max="2562" width="6.25" style="2998" customWidth="1"/>
    <col min="2563" max="2563" width="7.875" style="2998" customWidth="1"/>
    <col min="2564" max="2565" width="13.875" style="2998" customWidth="1"/>
    <col min="2566" max="2566" width="6.25" style="2998" customWidth="1"/>
    <col min="2567" max="2567" width="7.875" style="2998" customWidth="1"/>
    <col min="2568" max="2568" width="9" style="2998" customWidth="1"/>
    <col min="2569" max="2570" width="10.625" style="2998" customWidth="1"/>
    <col min="2571" max="2572" width="14.375" style="2998" customWidth="1"/>
    <col min="2573" max="2573" width="6.25" style="2998" customWidth="1"/>
    <col min="2574" max="2574" width="32.75" style="2998" customWidth="1"/>
    <col min="2575" max="2816" width="9" style="2998"/>
    <col min="2817" max="2817" width="20.875" style="2998" customWidth="1"/>
    <col min="2818" max="2818" width="6.25" style="2998" customWidth="1"/>
    <col min="2819" max="2819" width="7.875" style="2998" customWidth="1"/>
    <col min="2820" max="2821" width="13.875" style="2998" customWidth="1"/>
    <col min="2822" max="2822" width="6.25" style="2998" customWidth="1"/>
    <col min="2823" max="2823" width="7.875" style="2998" customWidth="1"/>
    <col min="2824" max="2824" width="9" style="2998" customWidth="1"/>
    <col min="2825" max="2826" width="10.625" style="2998" customWidth="1"/>
    <col min="2827" max="2828" width="14.375" style="2998" customWidth="1"/>
    <col min="2829" max="2829" width="6.25" style="2998" customWidth="1"/>
    <col min="2830" max="2830" width="32.75" style="2998" customWidth="1"/>
    <col min="2831" max="3072" width="9" style="2998"/>
    <col min="3073" max="3073" width="20.875" style="2998" customWidth="1"/>
    <col min="3074" max="3074" width="6.25" style="2998" customWidth="1"/>
    <col min="3075" max="3075" width="7.875" style="2998" customWidth="1"/>
    <col min="3076" max="3077" width="13.875" style="2998" customWidth="1"/>
    <col min="3078" max="3078" width="6.25" style="2998" customWidth="1"/>
    <col min="3079" max="3079" width="7.875" style="2998" customWidth="1"/>
    <col min="3080" max="3080" width="9" style="2998" customWidth="1"/>
    <col min="3081" max="3082" width="10.625" style="2998" customWidth="1"/>
    <col min="3083" max="3084" width="14.375" style="2998" customWidth="1"/>
    <col min="3085" max="3085" width="6.25" style="2998" customWidth="1"/>
    <col min="3086" max="3086" width="32.75" style="2998" customWidth="1"/>
    <col min="3087" max="3328" width="9" style="2998"/>
    <col min="3329" max="3329" width="20.875" style="2998" customWidth="1"/>
    <col min="3330" max="3330" width="6.25" style="2998" customWidth="1"/>
    <col min="3331" max="3331" width="7.875" style="2998" customWidth="1"/>
    <col min="3332" max="3333" width="13.875" style="2998" customWidth="1"/>
    <col min="3334" max="3334" width="6.25" style="2998" customWidth="1"/>
    <col min="3335" max="3335" width="7.875" style="2998" customWidth="1"/>
    <col min="3336" max="3336" width="9" style="2998" customWidth="1"/>
    <col min="3337" max="3338" width="10.625" style="2998" customWidth="1"/>
    <col min="3339" max="3340" width="14.375" style="2998" customWidth="1"/>
    <col min="3341" max="3341" width="6.25" style="2998" customWidth="1"/>
    <col min="3342" max="3342" width="32.75" style="2998" customWidth="1"/>
    <col min="3343" max="3584" width="9" style="2998"/>
    <col min="3585" max="3585" width="20.875" style="2998" customWidth="1"/>
    <col min="3586" max="3586" width="6.25" style="2998" customWidth="1"/>
    <col min="3587" max="3587" width="7.875" style="2998" customWidth="1"/>
    <col min="3588" max="3589" width="13.875" style="2998" customWidth="1"/>
    <col min="3590" max="3590" width="6.25" style="2998" customWidth="1"/>
    <col min="3591" max="3591" width="7.875" style="2998" customWidth="1"/>
    <col min="3592" max="3592" width="9" style="2998" customWidth="1"/>
    <col min="3593" max="3594" width="10.625" style="2998" customWidth="1"/>
    <col min="3595" max="3596" width="14.375" style="2998" customWidth="1"/>
    <col min="3597" max="3597" width="6.25" style="2998" customWidth="1"/>
    <col min="3598" max="3598" width="32.75" style="2998" customWidth="1"/>
    <col min="3599" max="3840" width="9" style="2998"/>
    <col min="3841" max="3841" width="20.875" style="2998" customWidth="1"/>
    <col min="3842" max="3842" width="6.25" style="2998" customWidth="1"/>
    <col min="3843" max="3843" width="7.875" style="2998" customWidth="1"/>
    <col min="3844" max="3845" width="13.875" style="2998" customWidth="1"/>
    <col min="3846" max="3846" width="6.25" style="2998" customWidth="1"/>
    <col min="3847" max="3847" width="7.875" style="2998" customWidth="1"/>
    <col min="3848" max="3848" width="9" style="2998" customWidth="1"/>
    <col min="3849" max="3850" width="10.625" style="2998" customWidth="1"/>
    <col min="3851" max="3852" width="14.375" style="2998" customWidth="1"/>
    <col min="3853" max="3853" width="6.25" style="2998" customWidth="1"/>
    <col min="3854" max="3854" width="32.75" style="2998" customWidth="1"/>
    <col min="3855" max="4096" width="9" style="2998"/>
    <col min="4097" max="4097" width="20.875" style="2998" customWidth="1"/>
    <col min="4098" max="4098" width="6.25" style="2998" customWidth="1"/>
    <col min="4099" max="4099" width="7.875" style="2998" customWidth="1"/>
    <col min="4100" max="4101" width="13.875" style="2998" customWidth="1"/>
    <col min="4102" max="4102" width="6.25" style="2998" customWidth="1"/>
    <col min="4103" max="4103" width="7.875" style="2998" customWidth="1"/>
    <col min="4104" max="4104" width="9" style="2998" customWidth="1"/>
    <col min="4105" max="4106" width="10.625" style="2998" customWidth="1"/>
    <col min="4107" max="4108" width="14.375" style="2998" customWidth="1"/>
    <col min="4109" max="4109" width="6.25" style="2998" customWidth="1"/>
    <col min="4110" max="4110" width="32.75" style="2998" customWidth="1"/>
    <col min="4111" max="4352" width="9" style="2998"/>
    <col min="4353" max="4353" width="20.875" style="2998" customWidth="1"/>
    <col min="4354" max="4354" width="6.25" style="2998" customWidth="1"/>
    <col min="4355" max="4355" width="7.875" style="2998" customWidth="1"/>
    <col min="4356" max="4357" width="13.875" style="2998" customWidth="1"/>
    <col min="4358" max="4358" width="6.25" style="2998" customWidth="1"/>
    <col min="4359" max="4359" width="7.875" style="2998" customWidth="1"/>
    <col min="4360" max="4360" width="9" style="2998" customWidth="1"/>
    <col min="4361" max="4362" width="10.625" style="2998" customWidth="1"/>
    <col min="4363" max="4364" width="14.375" style="2998" customWidth="1"/>
    <col min="4365" max="4365" width="6.25" style="2998" customWidth="1"/>
    <col min="4366" max="4366" width="32.75" style="2998" customWidth="1"/>
    <col min="4367" max="4608" width="9" style="2998"/>
    <col min="4609" max="4609" width="20.875" style="2998" customWidth="1"/>
    <col min="4610" max="4610" width="6.25" style="2998" customWidth="1"/>
    <col min="4611" max="4611" width="7.875" style="2998" customWidth="1"/>
    <col min="4612" max="4613" width="13.875" style="2998" customWidth="1"/>
    <col min="4614" max="4614" width="6.25" style="2998" customWidth="1"/>
    <col min="4615" max="4615" width="7.875" style="2998" customWidth="1"/>
    <col min="4616" max="4616" width="9" style="2998" customWidth="1"/>
    <col min="4617" max="4618" width="10.625" style="2998" customWidth="1"/>
    <col min="4619" max="4620" width="14.375" style="2998" customWidth="1"/>
    <col min="4621" max="4621" width="6.25" style="2998" customWidth="1"/>
    <col min="4622" max="4622" width="32.75" style="2998" customWidth="1"/>
    <col min="4623" max="4864" width="9" style="2998"/>
    <col min="4865" max="4865" width="20.875" style="2998" customWidth="1"/>
    <col min="4866" max="4866" width="6.25" style="2998" customWidth="1"/>
    <col min="4867" max="4867" width="7.875" style="2998" customWidth="1"/>
    <col min="4868" max="4869" width="13.875" style="2998" customWidth="1"/>
    <col min="4870" max="4870" width="6.25" style="2998" customWidth="1"/>
    <col min="4871" max="4871" width="7.875" style="2998" customWidth="1"/>
    <col min="4872" max="4872" width="9" style="2998" customWidth="1"/>
    <col min="4873" max="4874" width="10.625" style="2998" customWidth="1"/>
    <col min="4875" max="4876" width="14.375" style="2998" customWidth="1"/>
    <col min="4877" max="4877" width="6.25" style="2998" customWidth="1"/>
    <col min="4878" max="4878" width="32.75" style="2998" customWidth="1"/>
    <col min="4879" max="5120" width="9" style="2998"/>
    <col min="5121" max="5121" width="20.875" style="2998" customWidth="1"/>
    <col min="5122" max="5122" width="6.25" style="2998" customWidth="1"/>
    <col min="5123" max="5123" width="7.875" style="2998" customWidth="1"/>
    <col min="5124" max="5125" width="13.875" style="2998" customWidth="1"/>
    <col min="5126" max="5126" width="6.25" style="2998" customWidth="1"/>
    <col min="5127" max="5127" width="7.875" style="2998" customWidth="1"/>
    <col min="5128" max="5128" width="9" style="2998" customWidth="1"/>
    <col min="5129" max="5130" width="10.625" style="2998" customWidth="1"/>
    <col min="5131" max="5132" width="14.375" style="2998" customWidth="1"/>
    <col min="5133" max="5133" width="6.25" style="2998" customWidth="1"/>
    <col min="5134" max="5134" width="32.75" style="2998" customWidth="1"/>
    <col min="5135" max="5376" width="9" style="2998"/>
    <col min="5377" max="5377" width="20.875" style="2998" customWidth="1"/>
    <col min="5378" max="5378" width="6.25" style="2998" customWidth="1"/>
    <col min="5379" max="5379" width="7.875" style="2998" customWidth="1"/>
    <col min="5380" max="5381" width="13.875" style="2998" customWidth="1"/>
    <col min="5382" max="5382" width="6.25" style="2998" customWidth="1"/>
    <col min="5383" max="5383" width="7.875" style="2998" customWidth="1"/>
    <col min="5384" max="5384" width="9" style="2998" customWidth="1"/>
    <col min="5385" max="5386" width="10.625" style="2998" customWidth="1"/>
    <col min="5387" max="5388" width="14.375" style="2998" customWidth="1"/>
    <col min="5389" max="5389" width="6.25" style="2998" customWidth="1"/>
    <col min="5390" max="5390" width="32.75" style="2998" customWidth="1"/>
    <col min="5391" max="5632" width="9" style="2998"/>
    <col min="5633" max="5633" width="20.875" style="2998" customWidth="1"/>
    <col min="5634" max="5634" width="6.25" style="2998" customWidth="1"/>
    <col min="5635" max="5635" width="7.875" style="2998" customWidth="1"/>
    <col min="5636" max="5637" width="13.875" style="2998" customWidth="1"/>
    <col min="5638" max="5638" width="6.25" style="2998" customWidth="1"/>
    <col min="5639" max="5639" width="7.875" style="2998" customWidth="1"/>
    <col min="5640" max="5640" width="9" style="2998" customWidth="1"/>
    <col min="5641" max="5642" width="10.625" style="2998" customWidth="1"/>
    <col min="5643" max="5644" width="14.375" style="2998" customWidth="1"/>
    <col min="5645" max="5645" width="6.25" style="2998" customWidth="1"/>
    <col min="5646" max="5646" width="32.75" style="2998" customWidth="1"/>
    <col min="5647" max="5888" width="9" style="2998"/>
    <col min="5889" max="5889" width="20.875" style="2998" customWidth="1"/>
    <col min="5890" max="5890" width="6.25" style="2998" customWidth="1"/>
    <col min="5891" max="5891" width="7.875" style="2998" customWidth="1"/>
    <col min="5892" max="5893" width="13.875" style="2998" customWidth="1"/>
    <col min="5894" max="5894" width="6.25" style="2998" customWidth="1"/>
    <col min="5895" max="5895" width="7.875" style="2998" customWidth="1"/>
    <col min="5896" max="5896" width="9" style="2998" customWidth="1"/>
    <col min="5897" max="5898" width="10.625" style="2998" customWidth="1"/>
    <col min="5899" max="5900" width="14.375" style="2998" customWidth="1"/>
    <col min="5901" max="5901" width="6.25" style="2998" customWidth="1"/>
    <col min="5902" max="5902" width="32.75" style="2998" customWidth="1"/>
    <col min="5903" max="6144" width="9" style="2998"/>
    <col min="6145" max="6145" width="20.875" style="2998" customWidth="1"/>
    <col min="6146" max="6146" width="6.25" style="2998" customWidth="1"/>
    <col min="6147" max="6147" width="7.875" style="2998" customWidth="1"/>
    <col min="6148" max="6149" width="13.875" style="2998" customWidth="1"/>
    <col min="6150" max="6150" width="6.25" style="2998" customWidth="1"/>
    <col min="6151" max="6151" width="7.875" style="2998" customWidth="1"/>
    <col min="6152" max="6152" width="9" style="2998" customWidth="1"/>
    <col min="6153" max="6154" width="10.625" style="2998" customWidth="1"/>
    <col min="6155" max="6156" width="14.375" style="2998" customWidth="1"/>
    <col min="6157" max="6157" width="6.25" style="2998" customWidth="1"/>
    <col min="6158" max="6158" width="32.75" style="2998" customWidth="1"/>
    <col min="6159" max="6400" width="9" style="2998"/>
    <col min="6401" max="6401" width="20.875" style="2998" customWidth="1"/>
    <col min="6402" max="6402" width="6.25" style="2998" customWidth="1"/>
    <col min="6403" max="6403" width="7.875" style="2998" customWidth="1"/>
    <col min="6404" max="6405" width="13.875" style="2998" customWidth="1"/>
    <col min="6406" max="6406" width="6.25" style="2998" customWidth="1"/>
    <col min="6407" max="6407" width="7.875" style="2998" customWidth="1"/>
    <col min="6408" max="6408" width="9" style="2998" customWidth="1"/>
    <col min="6409" max="6410" width="10.625" style="2998" customWidth="1"/>
    <col min="6411" max="6412" width="14.375" style="2998" customWidth="1"/>
    <col min="6413" max="6413" width="6.25" style="2998" customWidth="1"/>
    <col min="6414" max="6414" width="32.75" style="2998" customWidth="1"/>
    <col min="6415" max="6656" width="9" style="2998"/>
    <col min="6657" max="6657" width="20.875" style="2998" customWidth="1"/>
    <col min="6658" max="6658" width="6.25" style="2998" customWidth="1"/>
    <col min="6659" max="6659" width="7.875" style="2998" customWidth="1"/>
    <col min="6660" max="6661" width="13.875" style="2998" customWidth="1"/>
    <col min="6662" max="6662" width="6.25" style="2998" customWidth="1"/>
    <col min="6663" max="6663" width="7.875" style="2998" customWidth="1"/>
    <col min="6664" max="6664" width="9" style="2998" customWidth="1"/>
    <col min="6665" max="6666" width="10.625" style="2998" customWidth="1"/>
    <col min="6667" max="6668" width="14.375" style="2998" customWidth="1"/>
    <col min="6669" max="6669" width="6.25" style="2998" customWidth="1"/>
    <col min="6670" max="6670" width="32.75" style="2998" customWidth="1"/>
    <col min="6671" max="6912" width="9" style="2998"/>
    <col min="6913" max="6913" width="20.875" style="2998" customWidth="1"/>
    <col min="6914" max="6914" width="6.25" style="2998" customWidth="1"/>
    <col min="6915" max="6915" width="7.875" style="2998" customWidth="1"/>
    <col min="6916" max="6917" width="13.875" style="2998" customWidth="1"/>
    <col min="6918" max="6918" width="6.25" style="2998" customWidth="1"/>
    <col min="6919" max="6919" width="7.875" style="2998" customWidth="1"/>
    <col min="6920" max="6920" width="9" style="2998" customWidth="1"/>
    <col min="6921" max="6922" width="10.625" style="2998" customWidth="1"/>
    <col min="6923" max="6924" width="14.375" style="2998" customWidth="1"/>
    <col min="6925" max="6925" width="6.25" style="2998" customWidth="1"/>
    <col min="6926" max="6926" width="32.75" style="2998" customWidth="1"/>
    <col min="6927" max="7168" width="9" style="2998"/>
    <col min="7169" max="7169" width="20.875" style="2998" customWidth="1"/>
    <col min="7170" max="7170" width="6.25" style="2998" customWidth="1"/>
    <col min="7171" max="7171" width="7.875" style="2998" customWidth="1"/>
    <col min="7172" max="7173" width="13.875" style="2998" customWidth="1"/>
    <col min="7174" max="7174" width="6.25" style="2998" customWidth="1"/>
    <col min="7175" max="7175" width="7.875" style="2998" customWidth="1"/>
    <col min="7176" max="7176" width="9" style="2998" customWidth="1"/>
    <col min="7177" max="7178" width="10.625" style="2998" customWidth="1"/>
    <col min="7179" max="7180" width="14.375" style="2998" customWidth="1"/>
    <col min="7181" max="7181" width="6.25" style="2998" customWidth="1"/>
    <col min="7182" max="7182" width="32.75" style="2998" customWidth="1"/>
    <col min="7183" max="7424" width="9" style="2998"/>
    <col min="7425" max="7425" width="20.875" style="2998" customWidth="1"/>
    <col min="7426" max="7426" width="6.25" style="2998" customWidth="1"/>
    <col min="7427" max="7427" width="7.875" style="2998" customWidth="1"/>
    <col min="7428" max="7429" width="13.875" style="2998" customWidth="1"/>
    <col min="7430" max="7430" width="6.25" style="2998" customWidth="1"/>
    <col min="7431" max="7431" width="7.875" style="2998" customWidth="1"/>
    <col min="7432" max="7432" width="9" style="2998" customWidth="1"/>
    <col min="7433" max="7434" width="10.625" style="2998" customWidth="1"/>
    <col min="7435" max="7436" width="14.375" style="2998" customWidth="1"/>
    <col min="7437" max="7437" width="6.25" style="2998" customWidth="1"/>
    <col min="7438" max="7438" width="32.75" style="2998" customWidth="1"/>
    <col min="7439" max="7680" width="9" style="2998"/>
    <col min="7681" max="7681" width="20.875" style="2998" customWidth="1"/>
    <col min="7682" max="7682" width="6.25" style="2998" customWidth="1"/>
    <col min="7683" max="7683" width="7.875" style="2998" customWidth="1"/>
    <col min="7684" max="7685" width="13.875" style="2998" customWidth="1"/>
    <col min="7686" max="7686" width="6.25" style="2998" customWidth="1"/>
    <col min="7687" max="7687" width="7.875" style="2998" customWidth="1"/>
    <col min="7688" max="7688" width="9" style="2998" customWidth="1"/>
    <col min="7689" max="7690" width="10.625" style="2998" customWidth="1"/>
    <col min="7691" max="7692" width="14.375" style="2998" customWidth="1"/>
    <col min="7693" max="7693" width="6.25" style="2998" customWidth="1"/>
    <col min="7694" max="7694" width="32.75" style="2998" customWidth="1"/>
    <col min="7695" max="7936" width="9" style="2998"/>
    <col min="7937" max="7937" width="20.875" style="2998" customWidth="1"/>
    <col min="7938" max="7938" width="6.25" style="2998" customWidth="1"/>
    <col min="7939" max="7939" width="7.875" style="2998" customWidth="1"/>
    <col min="7940" max="7941" width="13.875" style="2998" customWidth="1"/>
    <col min="7942" max="7942" width="6.25" style="2998" customWidth="1"/>
    <col min="7943" max="7943" width="7.875" style="2998" customWidth="1"/>
    <col min="7944" max="7944" width="9" style="2998" customWidth="1"/>
    <col min="7945" max="7946" width="10.625" style="2998" customWidth="1"/>
    <col min="7947" max="7948" width="14.375" style="2998" customWidth="1"/>
    <col min="7949" max="7949" width="6.25" style="2998" customWidth="1"/>
    <col min="7950" max="7950" width="32.75" style="2998" customWidth="1"/>
    <col min="7951" max="8192" width="9" style="2998"/>
    <col min="8193" max="8193" width="20.875" style="2998" customWidth="1"/>
    <col min="8194" max="8194" width="6.25" style="2998" customWidth="1"/>
    <col min="8195" max="8195" width="7.875" style="2998" customWidth="1"/>
    <col min="8196" max="8197" width="13.875" style="2998" customWidth="1"/>
    <col min="8198" max="8198" width="6.25" style="2998" customWidth="1"/>
    <col min="8199" max="8199" width="7.875" style="2998" customWidth="1"/>
    <col min="8200" max="8200" width="9" style="2998" customWidth="1"/>
    <col min="8201" max="8202" width="10.625" style="2998" customWidth="1"/>
    <col min="8203" max="8204" width="14.375" style="2998" customWidth="1"/>
    <col min="8205" max="8205" width="6.25" style="2998" customWidth="1"/>
    <col min="8206" max="8206" width="32.75" style="2998" customWidth="1"/>
    <col min="8207" max="8448" width="9" style="2998"/>
    <col min="8449" max="8449" width="20.875" style="2998" customWidth="1"/>
    <col min="8450" max="8450" width="6.25" style="2998" customWidth="1"/>
    <col min="8451" max="8451" width="7.875" style="2998" customWidth="1"/>
    <col min="8452" max="8453" width="13.875" style="2998" customWidth="1"/>
    <col min="8454" max="8454" width="6.25" style="2998" customWidth="1"/>
    <col min="8455" max="8455" width="7.875" style="2998" customWidth="1"/>
    <col min="8456" max="8456" width="9" style="2998" customWidth="1"/>
    <col min="8457" max="8458" width="10.625" style="2998" customWidth="1"/>
    <col min="8459" max="8460" width="14.375" style="2998" customWidth="1"/>
    <col min="8461" max="8461" width="6.25" style="2998" customWidth="1"/>
    <col min="8462" max="8462" width="32.75" style="2998" customWidth="1"/>
    <col min="8463" max="8704" width="9" style="2998"/>
    <col min="8705" max="8705" width="20.875" style="2998" customWidth="1"/>
    <col min="8706" max="8706" width="6.25" style="2998" customWidth="1"/>
    <col min="8707" max="8707" width="7.875" style="2998" customWidth="1"/>
    <col min="8708" max="8709" width="13.875" style="2998" customWidth="1"/>
    <col min="8710" max="8710" width="6.25" style="2998" customWidth="1"/>
    <col min="8711" max="8711" width="7.875" style="2998" customWidth="1"/>
    <col min="8712" max="8712" width="9" style="2998" customWidth="1"/>
    <col min="8713" max="8714" width="10.625" style="2998" customWidth="1"/>
    <col min="8715" max="8716" width="14.375" style="2998" customWidth="1"/>
    <col min="8717" max="8717" width="6.25" style="2998" customWidth="1"/>
    <col min="8718" max="8718" width="32.75" style="2998" customWidth="1"/>
    <col min="8719" max="8960" width="9" style="2998"/>
    <col min="8961" max="8961" width="20.875" style="2998" customWidth="1"/>
    <col min="8962" max="8962" width="6.25" style="2998" customWidth="1"/>
    <col min="8963" max="8963" width="7.875" style="2998" customWidth="1"/>
    <col min="8964" max="8965" width="13.875" style="2998" customWidth="1"/>
    <col min="8966" max="8966" width="6.25" style="2998" customWidth="1"/>
    <col min="8967" max="8967" width="7.875" style="2998" customWidth="1"/>
    <col min="8968" max="8968" width="9" style="2998" customWidth="1"/>
    <col min="8969" max="8970" width="10.625" style="2998" customWidth="1"/>
    <col min="8971" max="8972" width="14.375" style="2998" customWidth="1"/>
    <col min="8973" max="8973" width="6.25" style="2998" customWidth="1"/>
    <col min="8974" max="8974" width="32.75" style="2998" customWidth="1"/>
    <col min="8975" max="9216" width="9" style="2998"/>
    <col min="9217" max="9217" width="20.875" style="2998" customWidth="1"/>
    <col min="9218" max="9218" width="6.25" style="2998" customWidth="1"/>
    <col min="9219" max="9219" width="7.875" style="2998" customWidth="1"/>
    <col min="9220" max="9221" width="13.875" style="2998" customWidth="1"/>
    <col min="9222" max="9222" width="6.25" style="2998" customWidth="1"/>
    <col min="9223" max="9223" width="7.875" style="2998" customWidth="1"/>
    <col min="9224" max="9224" width="9" style="2998" customWidth="1"/>
    <col min="9225" max="9226" width="10.625" style="2998" customWidth="1"/>
    <col min="9227" max="9228" width="14.375" style="2998" customWidth="1"/>
    <col min="9229" max="9229" width="6.25" style="2998" customWidth="1"/>
    <col min="9230" max="9230" width="32.75" style="2998" customWidth="1"/>
    <col min="9231" max="9472" width="9" style="2998"/>
    <col min="9473" max="9473" width="20.875" style="2998" customWidth="1"/>
    <col min="9474" max="9474" width="6.25" style="2998" customWidth="1"/>
    <col min="9475" max="9475" width="7.875" style="2998" customWidth="1"/>
    <col min="9476" max="9477" width="13.875" style="2998" customWidth="1"/>
    <col min="9478" max="9478" width="6.25" style="2998" customWidth="1"/>
    <col min="9479" max="9479" width="7.875" style="2998" customWidth="1"/>
    <col min="9480" max="9480" width="9" style="2998" customWidth="1"/>
    <col min="9481" max="9482" width="10.625" style="2998" customWidth="1"/>
    <col min="9483" max="9484" width="14.375" style="2998" customWidth="1"/>
    <col min="9485" max="9485" width="6.25" style="2998" customWidth="1"/>
    <col min="9486" max="9486" width="32.75" style="2998" customWidth="1"/>
    <col min="9487" max="9728" width="9" style="2998"/>
    <col min="9729" max="9729" width="20.875" style="2998" customWidth="1"/>
    <col min="9730" max="9730" width="6.25" style="2998" customWidth="1"/>
    <col min="9731" max="9731" width="7.875" style="2998" customWidth="1"/>
    <col min="9732" max="9733" width="13.875" style="2998" customWidth="1"/>
    <col min="9734" max="9734" width="6.25" style="2998" customWidth="1"/>
    <col min="9735" max="9735" width="7.875" style="2998" customWidth="1"/>
    <col min="9736" max="9736" width="9" style="2998" customWidth="1"/>
    <col min="9737" max="9738" width="10.625" style="2998" customWidth="1"/>
    <col min="9739" max="9740" width="14.375" style="2998" customWidth="1"/>
    <col min="9741" max="9741" width="6.25" style="2998" customWidth="1"/>
    <col min="9742" max="9742" width="32.75" style="2998" customWidth="1"/>
    <col min="9743" max="9984" width="9" style="2998"/>
    <col min="9985" max="9985" width="20.875" style="2998" customWidth="1"/>
    <col min="9986" max="9986" width="6.25" style="2998" customWidth="1"/>
    <col min="9987" max="9987" width="7.875" style="2998" customWidth="1"/>
    <col min="9988" max="9989" width="13.875" style="2998" customWidth="1"/>
    <col min="9990" max="9990" width="6.25" style="2998" customWidth="1"/>
    <col min="9991" max="9991" width="7.875" style="2998" customWidth="1"/>
    <col min="9992" max="9992" width="9" style="2998" customWidth="1"/>
    <col min="9993" max="9994" width="10.625" style="2998" customWidth="1"/>
    <col min="9995" max="9996" width="14.375" style="2998" customWidth="1"/>
    <col min="9997" max="9997" width="6.25" style="2998" customWidth="1"/>
    <col min="9998" max="9998" width="32.75" style="2998" customWidth="1"/>
    <col min="9999" max="10240" width="9" style="2998"/>
    <col min="10241" max="10241" width="20.875" style="2998" customWidth="1"/>
    <col min="10242" max="10242" width="6.25" style="2998" customWidth="1"/>
    <col min="10243" max="10243" width="7.875" style="2998" customWidth="1"/>
    <col min="10244" max="10245" width="13.875" style="2998" customWidth="1"/>
    <col min="10246" max="10246" width="6.25" style="2998" customWidth="1"/>
    <col min="10247" max="10247" width="7.875" style="2998" customWidth="1"/>
    <col min="10248" max="10248" width="9" style="2998" customWidth="1"/>
    <col min="10249" max="10250" width="10.625" style="2998" customWidth="1"/>
    <col min="10251" max="10252" width="14.375" style="2998" customWidth="1"/>
    <col min="10253" max="10253" width="6.25" style="2998" customWidth="1"/>
    <col min="10254" max="10254" width="32.75" style="2998" customWidth="1"/>
    <col min="10255" max="10496" width="9" style="2998"/>
    <col min="10497" max="10497" width="20.875" style="2998" customWidth="1"/>
    <col min="10498" max="10498" width="6.25" style="2998" customWidth="1"/>
    <col min="10499" max="10499" width="7.875" style="2998" customWidth="1"/>
    <col min="10500" max="10501" width="13.875" style="2998" customWidth="1"/>
    <col min="10502" max="10502" width="6.25" style="2998" customWidth="1"/>
    <col min="10503" max="10503" width="7.875" style="2998" customWidth="1"/>
    <col min="10504" max="10504" width="9" style="2998" customWidth="1"/>
    <col min="10505" max="10506" width="10.625" style="2998" customWidth="1"/>
    <col min="10507" max="10508" width="14.375" style="2998" customWidth="1"/>
    <col min="10509" max="10509" width="6.25" style="2998" customWidth="1"/>
    <col min="10510" max="10510" width="32.75" style="2998" customWidth="1"/>
    <col min="10511" max="10752" width="9" style="2998"/>
    <col min="10753" max="10753" width="20.875" style="2998" customWidth="1"/>
    <col min="10754" max="10754" width="6.25" style="2998" customWidth="1"/>
    <col min="10755" max="10755" width="7.875" style="2998" customWidth="1"/>
    <col min="10756" max="10757" width="13.875" style="2998" customWidth="1"/>
    <col min="10758" max="10758" width="6.25" style="2998" customWidth="1"/>
    <col min="10759" max="10759" width="7.875" style="2998" customWidth="1"/>
    <col min="10760" max="10760" width="9" style="2998" customWidth="1"/>
    <col min="10761" max="10762" width="10.625" style="2998" customWidth="1"/>
    <col min="10763" max="10764" width="14.375" style="2998" customWidth="1"/>
    <col min="10765" max="10765" width="6.25" style="2998" customWidth="1"/>
    <col min="10766" max="10766" width="32.75" style="2998" customWidth="1"/>
    <col min="10767" max="11008" width="9" style="2998"/>
    <col min="11009" max="11009" width="20.875" style="2998" customWidth="1"/>
    <col min="11010" max="11010" width="6.25" style="2998" customWidth="1"/>
    <col min="11011" max="11011" width="7.875" style="2998" customWidth="1"/>
    <col min="11012" max="11013" width="13.875" style="2998" customWidth="1"/>
    <col min="11014" max="11014" width="6.25" style="2998" customWidth="1"/>
    <col min="11015" max="11015" width="7.875" style="2998" customWidth="1"/>
    <col min="11016" max="11016" width="9" style="2998" customWidth="1"/>
    <col min="11017" max="11018" width="10.625" style="2998" customWidth="1"/>
    <col min="11019" max="11020" width="14.375" style="2998" customWidth="1"/>
    <col min="11021" max="11021" width="6.25" style="2998" customWidth="1"/>
    <col min="11022" max="11022" width="32.75" style="2998" customWidth="1"/>
    <col min="11023" max="11264" width="9" style="2998"/>
    <col min="11265" max="11265" width="20.875" style="2998" customWidth="1"/>
    <col min="11266" max="11266" width="6.25" style="2998" customWidth="1"/>
    <col min="11267" max="11267" width="7.875" style="2998" customWidth="1"/>
    <col min="11268" max="11269" width="13.875" style="2998" customWidth="1"/>
    <col min="11270" max="11270" width="6.25" style="2998" customWidth="1"/>
    <col min="11271" max="11271" width="7.875" style="2998" customWidth="1"/>
    <col min="11272" max="11272" width="9" style="2998" customWidth="1"/>
    <col min="11273" max="11274" width="10.625" style="2998" customWidth="1"/>
    <col min="11275" max="11276" width="14.375" style="2998" customWidth="1"/>
    <col min="11277" max="11277" width="6.25" style="2998" customWidth="1"/>
    <col min="11278" max="11278" width="32.75" style="2998" customWidth="1"/>
    <col min="11279" max="11520" width="9" style="2998"/>
    <col min="11521" max="11521" width="20.875" style="2998" customWidth="1"/>
    <col min="11522" max="11522" width="6.25" style="2998" customWidth="1"/>
    <col min="11523" max="11523" width="7.875" style="2998" customWidth="1"/>
    <col min="11524" max="11525" width="13.875" style="2998" customWidth="1"/>
    <col min="11526" max="11526" width="6.25" style="2998" customWidth="1"/>
    <col min="11527" max="11527" width="7.875" style="2998" customWidth="1"/>
    <col min="11528" max="11528" width="9" style="2998" customWidth="1"/>
    <col min="11529" max="11530" width="10.625" style="2998" customWidth="1"/>
    <col min="11531" max="11532" width="14.375" style="2998" customWidth="1"/>
    <col min="11533" max="11533" width="6.25" style="2998" customWidth="1"/>
    <col min="11534" max="11534" width="32.75" style="2998" customWidth="1"/>
    <col min="11535" max="11776" width="9" style="2998"/>
    <col min="11777" max="11777" width="20.875" style="2998" customWidth="1"/>
    <col min="11778" max="11778" width="6.25" style="2998" customWidth="1"/>
    <col min="11779" max="11779" width="7.875" style="2998" customWidth="1"/>
    <col min="11780" max="11781" width="13.875" style="2998" customWidth="1"/>
    <col min="11782" max="11782" width="6.25" style="2998" customWidth="1"/>
    <col min="11783" max="11783" width="7.875" style="2998" customWidth="1"/>
    <col min="11784" max="11784" width="9" style="2998" customWidth="1"/>
    <col min="11785" max="11786" width="10.625" style="2998" customWidth="1"/>
    <col min="11787" max="11788" width="14.375" style="2998" customWidth="1"/>
    <col min="11789" max="11789" width="6.25" style="2998" customWidth="1"/>
    <col min="11790" max="11790" width="32.75" style="2998" customWidth="1"/>
    <col min="11791" max="12032" width="9" style="2998"/>
    <col min="12033" max="12033" width="20.875" style="2998" customWidth="1"/>
    <col min="12034" max="12034" width="6.25" style="2998" customWidth="1"/>
    <col min="12035" max="12035" width="7.875" style="2998" customWidth="1"/>
    <col min="12036" max="12037" width="13.875" style="2998" customWidth="1"/>
    <col min="12038" max="12038" width="6.25" style="2998" customWidth="1"/>
    <col min="12039" max="12039" width="7.875" style="2998" customWidth="1"/>
    <col min="12040" max="12040" width="9" style="2998" customWidth="1"/>
    <col min="12041" max="12042" width="10.625" style="2998" customWidth="1"/>
    <col min="12043" max="12044" width="14.375" style="2998" customWidth="1"/>
    <col min="12045" max="12045" width="6.25" style="2998" customWidth="1"/>
    <col min="12046" max="12046" width="32.75" style="2998" customWidth="1"/>
    <col min="12047" max="12288" width="9" style="2998"/>
    <col min="12289" max="12289" width="20.875" style="2998" customWidth="1"/>
    <col min="12290" max="12290" width="6.25" style="2998" customWidth="1"/>
    <col min="12291" max="12291" width="7.875" style="2998" customWidth="1"/>
    <col min="12292" max="12293" width="13.875" style="2998" customWidth="1"/>
    <col min="12294" max="12294" width="6.25" style="2998" customWidth="1"/>
    <col min="12295" max="12295" width="7.875" style="2998" customWidth="1"/>
    <col min="12296" max="12296" width="9" style="2998" customWidth="1"/>
    <col min="12297" max="12298" width="10.625" style="2998" customWidth="1"/>
    <col min="12299" max="12300" width="14.375" style="2998" customWidth="1"/>
    <col min="12301" max="12301" width="6.25" style="2998" customWidth="1"/>
    <col min="12302" max="12302" width="32.75" style="2998" customWidth="1"/>
    <col min="12303" max="12544" width="9" style="2998"/>
    <col min="12545" max="12545" width="20.875" style="2998" customWidth="1"/>
    <col min="12546" max="12546" width="6.25" style="2998" customWidth="1"/>
    <col min="12547" max="12547" width="7.875" style="2998" customWidth="1"/>
    <col min="12548" max="12549" width="13.875" style="2998" customWidth="1"/>
    <col min="12550" max="12550" width="6.25" style="2998" customWidth="1"/>
    <col min="12551" max="12551" width="7.875" style="2998" customWidth="1"/>
    <col min="12552" max="12552" width="9" style="2998" customWidth="1"/>
    <col min="12553" max="12554" width="10.625" style="2998" customWidth="1"/>
    <col min="12555" max="12556" width="14.375" style="2998" customWidth="1"/>
    <col min="12557" max="12557" width="6.25" style="2998" customWidth="1"/>
    <col min="12558" max="12558" width="32.75" style="2998" customWidth="1"/>
    <col min="12559" max="12800" width="9" style="2998"/>
    <col min="12801" max="12801" width="20.875" style="2998" customWidth="1"/>
    <col min="12802" max="12802" width="6.25" style="2998" customWidth="1"/>
    <col min="12803" max="12803" width="7.875" style="2998" customWidth="1"/>
    <col min="12804" max="12805" width="13.875" style="2998" customWidth="1"/>
    <col min="12806" max="12806" width="6.25" style="2998" customWidth="1"/>
    <col min="12807" max="12807" width="7.875" style="2998" customWidth="1"/>
    <col min="12808" max="12808" width="9" style="2998" customWidth="1"/>
    <col min="12809" max="12810" width="10.625" style="2998" customWidth="1"/>
    <col min="12811" max="12812" width="14.375" style="2998" customWidth="1"/>
    <col min="12813" max="12813" width="6.25" style="2998" customWidth="1"/>
    <col min="12814" max="12814" width="32.75" style="2998" customWidth="1"/>
    <col min="12815" max="13056" width="9" style="2998"/>
    <col min="13057" max="13057" width="20.875" style="2998" customWidth="1"/>
    <col min="13058" max="13058" width="6.25" style="2998" customWidth="1"/>
    <col min="13059" max="13059" width="7.875" style="2998" customWidth="1"/>
    <col min="13060" max="13061" width="13.875" style="2998" customWidth="1"/>
    <col min="13062" max="13062" width="6.25" style="2998" customWidth="1"/>
    <col min="13063" max="13063" width="7.875" style="2998" customWidth="1"/>
    <col min="13064" max="13064" width="9" style="2998" customWidth="1"/>
    <col min="13065" max="13066" width="10.625" style="2998" customWidth="1"/>
    <col min="13067" max="13068" width="14.375" style="2998" customWidth="1"/>
    <col min="13069" max="13069" width="6.25" style="2998" customWidth="1"/>
    <col min="13070" max="13070" width="32.75" style="2998" customWidth="1"/>
    <col min="13071" max="13312" width="9" style="2998"/>
    <col min="13313" max="13313" width="20.875" style="2998" customWidth="1"/>
    <col min="13314" max="13314" width="6.25" style="2998" customWidth="1"/>
    <col min="13315" max="13315" width="7.875" style="2998" customWidth="1"/>
    <col min="13316" max="13317" width="13.875" style="2998" customWidth="1"/>
    <col min="13318" max="13318" width="6.25" style="2998" customWidth="1"/>
    <col min="13319" max="13319" width="7.875" style="2998" customWidth="1"/>
    <col min="13320" max="13320" width="9" style="2998" customWidth="1"/>
    <col min="13321" max="13322" width="10.625" style="2998" customWidth="1"/>
    <col min="13323" max="13324" width="14.375" style="2998" customWidth="1"/>
    <col min="13325" max="13325" width="6.25" style="2998" customWidth="1"/>
    <col min="13326" max="13326" width="32.75" style="2998" customWidth="1"/>
    <col min="13327" max="13568" width="9" style="2998"/>
    <col min="13569" max="13569" width="20.875" style="2998" customWidth="1"/>
    <col min="13570" max="13570" width="6.25" style="2998" customWidth="1"/>
    <col min="13571" max="13571" width="7.875" style="2998" customWidth="1"/>
    <col min="13572" max="13573" width="13.875" style="2998" customWidth="1"/>
    <col min="13574" max="13574" width="6.25" style="2998" customWidth="1"/>
    <col min="13575" max="13575" width="7.875" style="2998" customWidth="1"/>
    <col min="13576" max="13576" width="9" style="2998" customWidth="1"/>
    <col min="13577" max="13578" width="10.625" style="2998" customWidth="1"/>
    <col min="13579" max="13580" width="14.375" style="2998" customWidth="1"/>
    <col min="13581" max="13581" width="6.25" style="2998" customWidth="1"/>
    <col min="13582" max="13582" width="32.75" style="2998" customWidth="1"/>
    <col min="13583" max="13824" width="9" style="2998"/>
    <col min="13825" max="13825" width="20.875" style="2998" customWidth="1"/>
    <col min="13826" max="13826" width="6.25" style="2998" customWidth="1"/>
    <col min="13827" max="13827" width="7.875" style="2998" customWidth="1"/>
    <col min="13828" max="13829" width="13.875" style="2998" customWidth="1"/>
    <col min="13830" max="13830" width="6.25" style="2998" customWidth="1"/>
    <col min="13831" max="13831" width="7.875" style="2998" customWidth="1"/>
    <col min="13832" max="13832" width="9" style="2998" customWidth="1"/>
    <col min="13833" max="13834" width="10.625" style="2998" customWidth="1"/>
    <col min="13835" max="13836" width="14.375" style="2998" customWidth="1"/>
    <col min="13837" max="13837" width="6.25" style="2998" customWidth="1"/>
    <col min="13838" max="13838" width="32.75" style="2998" customWidth="1"/>
    <col min="13839" max="14080" width="9" style="2998"/>
    <col min="14081" max="14081" width="20.875" style="2998" customWidth="1"/>
    <col min="14082" max="14082" width="6.25" style="2998" customWidth="1"/>
    <col min="14083" max="14083" width="7.875" style="2998" customWidth="1"/>
    <col min="14084" max="14085" width="13.875" style="2998" customWidth="1"/>
    <col min="14086" max="14086" width="6.25" style="2998" customWidth="1"/>
    <col min="14087" max="14087" width="7.875" style="2998" customWidth="1"/>
    <col min="14088" max="14088" width="9" style="2998" customWidth="1"/>
    <col min="14089" max="14090" width="10.625" style="2998" customWidth="1"/>
    <col min="14091" max="14092" width="14.375" style="2998" customWidth="1"/>
    <col min="14093" max="14093" width="6.25" style="2998" customWidth="1"/>
    <col min="14094" max="14094" width="32.75" style="2998" customWidth="1"/>
    <col min="14095" max="14336" width="9" style="2998"/>
    <col min="14337" max="14337" width="20.875" style="2998" customWidth="1"/>
    <col min="14338" max="14338" width="6.25" style="2998" customWidth="1"/>
    <col min="14339" max="14339" width="7.875" style="2998" customWidth="1"/>
    <col min="14340" max="14341" width="13.875" style="2998" customWidth="1"/>
    <col min="14342" max="14342" width="6.25" style="2998" customWidth="1"/>
    <col min="14343" max="14343" width="7.875" style="2998" customWidth="1"/>
    <col min="14344" max="14344" width="9" style="2998" customWidth="1"/>
    <col min="14345" max="14346" width="10.625" style="2998" customWidth="1"/>
    <col min="14347" max="14348" width="14.375" style="2998" customWidth="1"/>
    <col min="14349" max="14349" width="6.25" style="2998" customWidth="1"/>
    <col min="14350" max="14350" width="32.75" style="2998" customWidth="1"/>
    <col min="14351" max="14592" width="9" style="2998"/>
    <col min="14593" max="14593" width="20.875" style="2998" customWidth="1"/>
    <col min="14594" max="14594" width="6.25" style="2998" customWidth="1"/>
    <col min="14595" max="14595" width="7.875" style="2998" customWidth="1"/>
    <col min="14596" max="14597" width="13.875" style="2998" customWidth="1"/>
    <col min="14598" max="14598" width="6.25" style="2998" customWidth="1"/>
    <col min="14599" max="14599" width="7.875" style="2998" customWidth="1"/>
    <col min="14600" max="14600" width="9" style="2998" customWidth="1"/>
    <col min="14601" max="14602" width="10.625" style="2998" customWidth="1"/>
    <col min="14603" max="14604" width="14.375" style="2998" customWidth="1"/>
    <col min="14605" max="14605" width="6.25" style="2998" customWidth="1"/>
    <col min="14606" max="14606" width="32.75" style="2998" customWidth="1"/>
    <col min="14607" max="14848" width="9" style="2998"/>
    <col min="14849" max="14849" width="20.875" style="2998" customWidth="1"/>
    <col min="14850" max="14850" width="6.25" style="2998" customWidth="1"/>
    <col min="14851" max="14851" width="7.875" style="2998" customWidth="1"/>
    <col min="14852" max="14853" width="13.875" style="2998" customWidth="1"/>
    <col min="14854" max="14854" width="6.25" style="2998" customWidth="1"/>
    <col min="14855" max="14855" width="7.875" style="2998" customWidth="1"/>
    <col min="14856" max="14856" width="9" style="2998" customWidth="1"/>
    <col min="14857" max="14858" width="10.625" style="2998" customWidth="1"/>
    <col min="14859" max="14860" width="14.375" style="2998" customWidth="1"/>
    <col min="14861" max="14861" width="6.25" style="2998" customWidth="1"/>
    <col min="14862" max="14862" width="32.75" style="2998" customWidth="1"/>
    <col min="14863" max="15104" width="9" style="2998"/>
    <col min="15105" max="15105" width="20.875" style="2998" customWidth="1"/>
    <col min="15106" max="15106" width="6.25" style="2998" customWidth="1"/>
    <col min="15107" max="15107" width="7.875" style="2998" customWidth="1"/>
    <col min="15108" max="15109" width="13.875" style="2998" customWidth="1"/>
    <col min="15110" max="15110" width="6.25" style="2998" customWidth="1"/>
    <col min="15111" max="15111" width="7.875" style="2998" customWidth="1"/>
    <col min="15112" max="15112" width="9" style="2998" customWidth="1"/>
    <col min="15113" max="15114" width="10.625" style="2998" customWidth="1"/>
    <col min="15115" max="15116" width="14.375" style="2998" customWidth="1"/>
    <col min="15117" max="15117" width="6.25" style="2998" customWidth="1"/>
    <col min="15118" max="15118" width="32.75" style="2998" customWidth="1"/>
    <col min="15119" max="15360" width="9" style="2998"/>
    <col min="15361" max="15361" width="20.875" style="2998" customWidth="1"/>
    <col min="15362" max="15362" width="6.25" style="2998" customWidth="1"/>
    <col min="15363" max="15363" width="7.875" style="2998" customWidth="1"/>
    <col min="15364" max="15365" width="13.875" style="2998" customWidth="1"/>
    <col min="15366" max="15366" width="6.25" style="2998" customWidth="1"/>
    <col min="15367" max="15367" width="7.875" style="2998" customWidth="1"/>
    <col min="15368" max="15368" width="9" style="2998" customWidth="1"/>
    <col min="15369" max="15370" width="10.625" style="2998" customWidth="1"/>
    <col min="15371" max="15372" width="14.375" style="2998" customWidth="1"/>
    <col min="15373" max="15373" width="6.25" style="2998" customWidth="1"/>
    <col min="15374" max="15374" width="32.75" style="2998" customWidth="1"/>
    <col min="15375" max="15616" width="9" style="2998"/>
    <col min="15617" max="15617" width="20.875" style="2998" customWidth="1"/>
    <col min="15618" max="15618" width="6.25" style="2998" customWidth="1"/>
    <col min="15619" max="15619" width="7.875" style="2998" customWidth="1"/>
    <col min="15620" max="15621" width="13.875" style="2998" customWidth="1"/>
    <col min="15622" max="15622" width="6.25" style="2998" customWidth="1"/>
    <col min="15623" max="15623" width="7.875" style="2998" customWidth="1"/>
    <col min="15624" max="15624" width="9" style="2998" customWidth="1"/>
    <col min="15625" max="15626" width="10.625" style="2998" customWidth="1"/>
    <col min="15627" max="15628" width="14.375" style="2998" customWidth="1"/>
    <col min="15629" max="15629" width="6.25" style="2998" customWidth="1"/>
    <col min="15630" max="15630" width="32.75" style="2998" customWidth="1"/>
    <col min="15631" max="15872" width="9" style="2998"/>
    <col min="15873" max="15873" width="20.875" style="2998" customWidth="1"/>
    <col min="15874" max="15874" width="6.25" style="2998" customWidth="1"/>
    <col min="15875" max="15875" width="7.875" style="2998" customWidth="1"/>
    <col min="15876" max="15877" width="13.875" style="2998" customWidth="1"/>
    <col min="15878" max="15878" width="6.25" style="2998" customWidth="1"/>
    <col min="15879" max="15879" width="7.875" style="2998" customWidth="1"/>
    <col min="15880" max="15880" width="9" style="2998" customWidth="1"/>
    <col min="15881" max="15882" width="10.625" style="2998" customWidth="1"/>
    <col min="15883" max="15884" width="14.375" style="2998" customWidth="1"/>
    <col min="15885" max="15885" width="6.25" style="2998" customWidth="1"/>
    <col min="15886" max="15886" width="32.75" style="2998" customWidth="1"/>
    <col min="15887" max="16128" width="9" style="2998"/>
    <col min="16129" max="16129" width="20.875" style="2998" customWidth="1"/>
    <col min="16130" max="16130" width="6.25" style="2998" customWidth="1"/>
    <col min="16131" max="16131" width="7.875" style="2998" customWidth="1"/>
    <col min="16132" max="16133" width="13.875" style="2998" customWidth="1"/>
    <col min="16134" max="16134" width="6.25" style="2998" customWidth="1"/>
    <col min="16135" max="16135" width="7.875" style="2998" customWidth="1"/>
    <col min="16136" max="16136" width="9" style="2998" customWidth="1"/>
    <col min="16137" max="16138" width="10.625" style="2998" customWidth="1"/>
    <col min="16139" max="16140" width="14.375" style="2998" customWidth="1"/>
    <col min="16141" max="16141" width="6.25" style="2998" customWidth="1"/>
    <col min="16142" max="16142" width="32.75" style="2998" customWidth="1"/>
    <col min="16143" max="16384" width="9" style="2998"/>
  </cols>
  <sheetData>
    <row r="1" spans="1:14">
      <c r="A1" s="2998" t="s">
        <v>3206</v>
      </c>
      <c r="B1" s="2998" t="s">
        <v>3207</v>
      </c>
      <c r="C1" s="2998" t="s">
        <v>3208</v>
      </c>
      <c r="D1" s="2998" t="s">
        <v>3209</v>
      </c>
      <c r="E1" s="2998" t="s">
        <v>3210</v>
      </c>
      <c r="F1" s="2998" t="s">
        <v>3211</v>
      </c>
      <c r="G1" s="2998" t="s">
        <v>3212</v>
      </c>
      <c r="H1" s="2998" t="s">
        <v>3213</v>
      </c>
      <c r="I1" s="2998" t="s">
        <v>3214</v>
      </c>
      <c r="J1" s="2998" t="s">
        <v>3215</v>
      </c>
      <c r="K1" s="2998" t="s">
        <v>3216</v>
      </c>
      <c r="L1" s="2999" t="s">
        <v>3217</v>
      </c>
      <c r="M1" s="2998" t="s">
        <v>3218</v>
      </c>
      <c r="N1" s="2998" t="s">
        <v>3219</v>
      </c>
    </row>
    <row r="2" spans="1:14" s="3001" customFormat="1">
      <c r="A2" s="3001" t="s">
        <v>3220</v>
      </c>
      <c r="B2" s="3001" t="s">
        <v>3221</v>
      </c>
      <c r="C2" s="3001" t="s">
        <v>3222</v>
      </c>
      <c r="D2" s="3001">
        <v>98406</v>
      </c>
      <c r="E2" s="3001">
        <v>98406</v>
      </c>
      <c r="F2" s="3001" t="s">
        <v>3223</v>
      </c>
      <c r="G2" s="3001" t="s">
        <v>3224</v>
      </c>
      <c r="H2" s="3001" t="s">
        <v>3225</v>
      </c>
      <c r="I2" s="3001" t="s">
        <v>1331</v>
      </c>
      <c r="J2" s="3001">
        <v>3493.4</v>
      </c>
      <c r="K2" s="3001">
        <v>355</v>
      </c>
      <c r="L2" s="3001">
        <f>ROUND(J2*10000/D2,0)</f>
        <v>355</v>
      </c>
      <c r="M2" s="3001" t="s">
        <v>1331</v>
      </c>
      <c r="N2" s="3001" t="s">
        <v>3226</v>
      </c>
    </row>
    <row r="3" spans="1:14">
      <c r="A3" s="2998" t="s">
        <v>3227</v>
      </c>
      <c r="B3" s="2998" t="s">
        <v>3221</v>
      </c>
      <c r="C3" s="2998" t="s">
        <v>3222</v>
      </c>
      <c r="D3" s="2998">
        <v>2919</v>
      </c>
      <c r="E3" s="2998">
        <v>2919</v>
      </c>
      <c r="F3" s="2998" t="s">
        <v>3223</v>
      </c>
      <c r="G3" s="2998" t="s">
        <v>3224</v>
      </c>
      <c r="H3" s="2998" t="s">
        <v>3228</v>
      </c>
      <c r="I3" s="2998" t="s">
        <v>1331</v>
      </c>
      <c r="J3" s="2998">
        <v>87.85</v>
      </c>
      <c r="K3" s="2998">
        <v>300.99</v>
      </c>
      <c r="L3" s="2998">
        <f t="shared" ref="L3:L51" si="0">ROUND(J3*10000/D3,0)</f>
        <v>301</v>
      </c>
      <c r="M3" s="2998" t="s">
        <v>1331</v>
      </c>
      <c r="N3" s="2998" t="s">
        <v>3229</v>
      </c>
    </row>
    <row r="4" spans="1:14" s="3001" customFormat="1">
      <c r="A4" s="3001" t="s">
        <v>3230</v>
      </c>
      <c r="B4" s="3001" t="s">
        <v>3221</v>
      </c>
      <c r="C4" s="3001" t="s">
        <v>3222</v>
      </c>
      <c r="D4" s="3001">
        <v>10016</v>
      </c>
      <c r="E4" s="3001">
        <v>10016</v>
      </c>
      <c r="F4" s="3001" t="s">
        <v>3223</v>
      </c>
      <c r="G4" s="3001" t="s">
        <v>3224</v>
      </c>
      <c r="H4" s="3001" t="s">
        <v>3228</v>
      </c>
      <c r="I4" s="3001" t="s">
        <v>1331</v>
      </c>
      <c r="J4" s="3001">
        <v>301.48</v>
      </c>
      <c r="K4" s="3001">
        <v>301</v>
      </c>
      <c r="L4" s="3001">
        <f t="shared" si="0"/>
        <v>301</v>
      </c>
      <c r="M4" s="3001" t="s">
        <v>1331</v>
      </c>
      <c r="N4" s="3001" t="s">
        <v>3231</v>
      </c>
    </row>
    <row r="5" spans="1:14" s="3001" customFormat="1">
      <c r="A5" s="3001" t="s">
        <v>3232</v>
      </c>
      <c r="B5" s="3001" t="s">
        <v>3221</v>
      </c>
      <c r="C5" s="3001" t="s">
        <v>3222</v>
      </c>
      <c r="D5" s="3001">
        <v>46693</v>
      </c>
      <c r="E5" s="3001">
        <v>46693</v>
      </c>
      <c r="F5" s="3001" t="s">
        <v>3223</v>
      </c>
      <c r="G5" s="3001" t="s">
        <v>3224</v>
      </c>
      <c r="H5" s="3001" t="s">
        <v>3228</v>
      </c>
      <c r="I5" s="3001" t="s">
        <v>1331</v>
      </c>
      <c r="J5" s="3001">
        <v>1410.13</v>
      </c>
      <c r="K5" s="3001">
        <v>302</v>
      </c>
      <c r="L5" s="3001">
        <f t="shared" si="0"/>
        <v>302</v>
      </c>
      <c r="M5" s="3001" t="s">
        <v>1331</v>
      </c>
      <c r="N5" s="3001" t="s">
        <v>3233</v>
      </c>
    </row>
    <row r="6" spans="1:14">
      <c r="A6" s="2998" t="s">
        <v>3234</v>
      </c>
      <c r="B6" s="2998" t="s">
        <v>3221</v>
      </c>
      <c r="C6" s="2998" t="s">
        <v>3222</v>
      </c>
      <c r="D6" s="2998">
        <v>58014</v>
      </c>
      <c r="E6" s="2998">
        <v>58014</v>
      </c>
      <c r="F6" s="2998" t="s">
        <v>3223</v>
      </c>
      <c r="G6" s="2998" t="s">
        <v>3224</v>
      </c>
      <c r="H6" s="2998" t="s">
        <v>3235</v>
      </c>
      <c r="I6" s="2998">
        <v>3504.05</v>
      </c>
      <c r="J6" s="2998">
        <v>3504.05</v>
      </c>
      <c r="K6" s="2998">
        <v>604</v>
      </c>
      <c r="L6" s="2998">
        <f t="shared" si="0"/>
        <v>604</v>
      </c>
      <c r="M6" s="2998">
        <v>0</v>
      </c>
      <c r="N6" s="2998" t="s">
        <v>3236</v>
      </c>
    </row>
    <row r="7" spans="1:14">
      <c r="A7" s="2998" t="s">
        <v>3237</v>
      </c>
      <c r="B7" s="2998" t="s">
        <v>3221</v>
      </c>
      <c r="C7" s="2998" t="s">
        <v>3222</v>
      </c>
      <c r="D7" s="2998">
        <v>57473</v>
      </c>
      <c r="E7" s="2998">
        <v>57473</v>
      </c>
      <c r="F7" s="2998" t="s">
        <v>3223</v>
      </c>
      <c r="G7" s="2998" t="s">
        <v>3224</v>
      </c>
      <c r="H7" s="2998" t="s">
        <v>3235</v>
      </c>
      <c r="I7" s="2998">
        <v>3471.36</v>
      </c>
      <c r="J7" s="2998">
        <v>3471.36</v>
      </c>
      <c r="K7" s="2998">
        <v>604</v>
      </c>
      <c r="L7" s="2998">
        <f t="shared" si="0"/>
        <v>604</v>
      </c>
      <c r="M7" s="2998">
        <v>0</v>
      </c>
      <c r="N7" s="2998" t="s">
        <v>3238</v>
      </c>
    </row>
    <row r="8" spans="1:14">
      <c r="A8" s="2998" t="s">
        <v>3239</v>
      </c>
      <c r="B8" s="2998" t="s">
        <v>3221</v>
      </c>
      <c r="C8" s="2998" t="s">
        <v>3222</v>
      </c>
      <c r="D8" s="2998">
        <v>23161</v>
      </c>
      <c r="E8" s="2998">
        <v>23161</v>
      </c>
      <c r="F8" s="2998" t="s">
        <v>3223</v>
      </c>
      <c r="G8" s="2998" t="s">
        <v>3224</v>
      </c>
      <c r="H8" s="2998" t="s">
        <v>3240</v>
      </c>
      <c r="I8" s="2998">
        <v>743.47</v>
      </c>
      <c r="J8" s="2998">
        <v>743.47</v>
      </c>
      <c r="K8" s="2998">
        <v>321</v>
      </c>
      <c r="L8" s="2998">
        <f t="shared" si="0"/>
        <v>321</v>
      </c>
      <c r="M8" s="2998">
        <v>0</v>
      </c>
      <c r="N8" s="2998" t="s">
        <v>3241</v>
      </c>
    </row>
    <row r="9" spans="1:14">
      <c r="A9" s="2998" t="s">
        <v>3242</v>
      </c>
      <c r="B9" s="2998" t="s">
        <v>3221</v>
      </c>
      <c r="C9" s="2998" t="s">
        <v>3222</v>
      </c>
      <c r="D9" s="2998">
        <v>66768</v>
      </c>
      <c r="E9" s="2998">
        <v>66768</v>
      </c>
      <c r="F9" s="2998" t="s">
        <v>3223</v>
      </c>
      <c r="G9" s="2998" t="s">
        <v>3224</v>
      </c>
      <c r="H9" s="2998" t="s">
        <v>3240</v>
      </c>
      <c r="I9" s="2998">
        <v>1996.35</v>
      </c>
      <c r="J9" s="2998">
        <v>1996.35</v>
      </c>
      <c r="K9" s="2998">
        <v>299</v>
      </c>
      <c r="L9" s="2998">
        <f t="shared" si="0"/>
        <v>299</v>
      </c>
      <c r="M9" s="2998">
        <v>0</v>
      </c>
      <c r="N9" s="2998" t="s">
        <v>3243</v>
      </c>
    </row>
    <row r="10" spans="1:14">
      <c r="A10" s="2998" t="s">
        <v>3244</v>
      </c>
      <c r="B10" s="2998" t="s">
        <v>3221</v>
      </c>
      <c r="C10" s="2998" t="s">
        <v>3222</v>
      </c>
      <c r="D10" s="2998">
        <v>56069</v>
      </c>
      <c r="E10" s="2998">
        <v>39248.300000000003</v>
      </c>
      <c r="F10" s="2998" t="s">
        <v>3245</v>
      </c>
      <c r="G10" s="2998" t="s">
        <v>3224</v>
      </c>
      <c r="H10" s="2998" t="s">
        <v>3246</v>
      </c>
      <c r="I10" s="2998" t="s">
        <v>1331</v>
      </c>
      <c r="J10" s="2998">
        <v>2590.38</v>
      </c>
      <c r="K10" s="2998">
        <v>660</v>
      </c>
      <c r="L10" s="2998">
        <f t="shared" si="0"/>
        <v>462</v>
      </c>
      <c r="M10" s="2998" t="s">
        <v>1331</v>
      </c>
      <c r="N10" s="2998" t="s">
        <v>3247</v>
      </c>
    </row>
    <row r="11" spans="1:14">
      <c r="A11" s="2998" t="s">
        <v>3248</v>
      </c>
      <c r="B11" s="2998" t="s">
        <v>3221</v>
      </c>
      <c r="C11" s="2998" t="s">
        <v>3222</v>
      </c>
      <c r="D11" s="2998">
        <v>25699</v>
      </c>
      <c r="E11" s="2998">
        <v>25699</v>
      </c>
      <c r="F11" s="2998" t="s">
        <v>3223</v>
      </c>
      <c r="G11" s="2998" t="s">
        <v>3224</v>
      </c>
      <c r="H11" s="2998" t="s">
        <v>3246</v>
      </c>
      <c r="I11" s="2998" t="s">
        <v>1331</v>
      </c>
      <c r="J11" s="2998">
        <v>1243.82</v>
      </c>
      <c r="K11" s="2998">
        <v>484</v>
      </c>
      <c r="L11" s="2998">
        <f t="shared" si="0"/>
        <v>484</v>
      </c>
      <c r="M11" s="2998" t="s">
        <v>1331</v>
      </c>
      <c r="N11" s="2998" t="s">
        <v>3249</v>
      </c>
    </row>
    <row r="12" spans="1:14">
      <c r="A12" s="2998" t="s">
        <v>3250</v>
      </c>
      <c r="B12" s="2998" t="s">
        <v>3221</v>
      </c>
      <c r="C12" s="2998" t="s">
        <v>3222</v>
      </c>
      <c r="D12" s="2998">
        <v>32685</v>
      </c>
      <c r="E12" s="2998">
        <v>32685</v>
      </c>
      <c r="F12" s="2998" t="s">
        <v>3223</v>
      </c>
      <c r="G12" s="2998" t="s">
        <v>3224</v>
      </c>
      <c r="H12" s="2998" t="s">
        <v>3251</v>
      </c>
      <c r="I12" s="2998" t="s">
        <v>1331</v>
      </c>
      <c r="J12" s="2998">
        <v>980.54</v>
      </c>
      <c r="K12" s="2998">
        <v>300</v>
      </c>
      <c r="L12" s="2998">
        <f t="shared" si="0"/>
        <v>300</v>
      </c>
      <c r="M12" s="2998" t="s">
        <v>1331</v>
      </c>
      <c r="N12" s="2998" t="s">
        <v>3252</v>
      </c>
    </row>
    <row r="13" spans="1:14">
      <c r="A13" s="2998" t="s">
        <v>3253</v>
      </c>
      <c r="B13" s="2998" t="s">
        <v>3221</v>
      </c>
      <c r="C13" s="2998" t="s">
        <v>3222</v>
      </c>
      <c r="D13" s="2998">
        <v>138578</v>
      </c>
      <c r="E13" s="2998">
        <v>138578</v>
      </c>
      <c r="F13" s="2998" t="s">
        <v>3254</v>
      </c>
      <c r="G13" s="2998" t="s">
        <v>3224</v>
      </c>
      <c r="H13" s="2998" t="s">
        <v>3255</v>
      </c>
      <c r="I13" s="2998">
        <v>4850.22</v>
      </c>
      <c r="J13" s="2998">
        <v>4850.22</v>
      </c>
      <c r="K13" s="2998">
        <v>350</v>
      </c>
      <c r="L13" s="2998">
        <f t="shared" si="0"/>
        <v>350</v>
      </c>
      <c r="M13" s="2998">
        <v>0</v>
      </c>
      <c r="N13" s="2998" t="s">
        <v>3256</v>
      </c>
    </row>
    <row r="14" spans="1:14">
      <c r="A14" s="2998" t="s">
        <v>3257</v>
      </c>
      <c r="B14" s="2998" t="s">
        <v>3221</v>
      </c>
      <c r="C14" s="2998" t="s">
        <v>3222</v>
      </c>
      <c r="D14" s="2998">
        <v>23226</v>
      </c>
      <c r="E14" s="2998">
        <v>23226</v>
      </c>
      <c r="F14" s="2998" t="s">
        <v>3254</v>
      </c>
      <c r="G14" s="2998" t="s">
        <v>3224</v>
      </c>
      <c r="H14" s="2998" t="s">
        <v>3258</v>
      </c>
      <c r="I14" s="2998">
        <v>745.54</v>
      </c>
      <c r="J14" s="2998">
        <v>745.54</v>
      </c>
      <c r="K14" s="2998">
        <v>321</v>
      </c>
      <c r="L14" s="2998">
        <f t="shared" si="0"/>
        <v>321</v>
      </c>
      <c r="M14" s="2998">
        <v>0</v>
      </c>
      <c r="N14" s="2998" t="s">
        <v>3259</v>
      </c>
    </row>
    <row r="15" spans="1:14">
      <c r="A15" s="2998" t="s">
        <v>3250</v>
      </c>
      <c r="B15" s="2998" t="s">
        <v>3221</v>
      </c>
      <c r="C15" s="2998" t="s">
        <v>3222</v>
      </c>
      <c r="D15" s="2998">
        <v>6683</v>
      </c>
      <c r="E15" s="2998">
        <v>6683</v>
      </c>
      <c r="F15" s="2998" t="s">
        <v>3223</v>
      </c>
      <c r="G15" s="2998" t="s">
        <v>3224</v>
      </c>
      <c r="H15" s="2998" t="s">
        <v>3260</v>
      </c>
      <c r="I15" s="2998" t="s">
        <v>1331</v>
      </c>
      <c r="J15" s="2998">
        <v>199.81</v>
      </c>
      <c r="K15" s="2998">
        <v>299</v>
      </c>
      <c r="L15" s="2998">
        <f t="shared" si="0"/>
        <v>299</v>
      </c>
      <c r="M15" s="2998" t="s">
        <v>1331</v>
      </c>
      <c r="N15" s="2998" t="s">
        <v>3261</v>
      </c>
    </row>
    <row r="16" spans="1:14">
      <c r="A16" s="2998" t="s">
        <v>3262</v>
      </c>
      <c r="B16" s="2998" t="s">
        <v>3221</v>
      </c>
      <c r="C16" s="2998" t="s">
        <v>3222</v>
      </c>
      <c r="D16" s="2998">
        <v>90918</v>
      </c>
      <c r="E16" s="2998">
        <v>90918</v>
      </c>
      <c r="F16" s="2998" t="s">
        <v>3254</v>
      </c>
      <c r="G16" s="2998" t="s">
        <v>3224</v>
      </c>
      <c r="H16" s="2998" t="s">
        <v>3263</v>
      </c>
      <c r="I16" s="2998">
        <v>2718.44</v>
      </c>
      <c r="J16" s="2998">
        <v>2718.44</v>
      </c>
      <c r="K16" s="2998">
        <v>299</v>
      </c>
      <c r="L16" s="2998">
        <f t="shared" si="0"/>
        <v>299</v>
      </c>
      <c r="M16" s="2998">
        <v>0</v>
      </c>
      <c r="N16" s="2998" t="s">
        <v>3264</v>
      </c>
    </row>
    <row r="17" spans="1:14">
      <c r="A17" s="2998" t="s">
        <v>3265</v>
      </c>
      <c r="B17" s="2998" t="s">
        <v>3221</v>
      </c>
      <c r="C17" s="2998" t="s">
        <v>3222</v>
      </c>
      <c r="D17" s="2998">
        <v>30657</v>
      </c>
      <c r="E17" s="2998">
        <v>30657</v>
      </c>
      <c r="F17" s="2998" t="s">
        <v>3266</v>
      </c>
      <c r="G17" s="2998" t="s">
        <v>3224</v>
      </c>
      <c r="H17" s="2998" t="s">
        <v>3267</v>
      </c>
      <c r="I17" s="2998">
        <v>919.71</v>
      </c>
      <c r="J17" s="2998">
        <v>919.71</v>
      </c>
      <c r="K17" s="2998">
        <v>300</v>
      </c>
      <c r="L17" s="2998">
        <f t="shared" si="0"/>
        <v>300</v>
      </c>
      <c r="M17" s="2998">
        <v>0</v>
      </c>
      <c r="N17" s="2998" t="s">
        <v>3252</v>
      </c>
    </row>
    <row r="18" spans="1:14">
      <c r="A18" s="2998" t="s">
        <v>3268</v>
      </c>
      <c r="B18" s="2998" t="s">
        <v>3221</v>
      </c>
      <c r="C18" s="2998" t="s">
        <v>3222</v>
      </c>
      <c r="D18" s="2998">
        <v>13350</v>
      </c>
      <c r="E18" s="2998">
        <v>13350</v>
      </c>
      <c r="F18" s="2998" t="s">
        <v>3266</v>
      </c>
      <c r="G18" s="2998" t="s">
        <v>3224</v>
      </c>
      <c r="H18" s="2998" t="s">
        <v>3269</v>
      </c>
      <c r="I18" s="2998">
        <v>479.25</v>
      </c>
      <c r="J18" s="2998">
        <v>479.25</v>
      </c>
      <c r="K18" s="2998">
        <v>359</v>
      </c>
      <c r="L18" s="2998">
        <f t="shared" si="0"/>
        <v>359</v>
      </c>
      <c r="M18" s="2998">
        <v>0</v>
      </c>
      <c r="N18" s="2998" t="s">
        <v>3270</v>
      </c>
    </row>
    <row r="19" spans="1:14">
      <c r="A19" s="2998" t="s">
        <v>3271</v>
      </c>
      <c r="B19" s="2998" t="s">
        <v>3221</v>
      </c>
      <c r="C19" s="2998" t="s">
        <v>3222</v>
      </c>
      <c r="D19" s="2998">
        <v>12815</v>
      </c>
      <c r="E19" s="2998">
        <v>12815</v>
      </c>
      <c r="F19" s="2998" t="s">
        <v>3266</v>
      </c>
      <c r="G19" s="2998" t="s">
        <v>3224</v>
      </c>
      <c r="H19" s="2998" t="s">
        <v>3269</v>
      </c>
      <c r="I19" s="2998">
        <v>460.06</v>
      </c>
      <c r="J19" s="2998">
        <v>460.06</v>
      </c>
      <c r="K19" s="2998">
        <v>359</v>
      </c>
      <c r="L19" s="2998">
        <f t="shared" si="0"/>
        <v>359</v>
      </c>
      <c r="M19" s="2998">
        <v>0</v>
      </c>
      <c r="N19" s="2998" t="s">
        <v>3272</v>
      </c>
    </row>
    <row r="20" spans="1:14">
      <c r="A20" s="2998" t="s">
        <v>3273</v>
      </c>
      <c r="B20" s="2998" t="s">
        <v>3221</v>
      </c>
      <c r="C20" s="2998" t="s">
        <v>3222</v>
      </c>
      <c r="D20" s="2998">
        <v>33225</v>
      </c>
      <c r="E20" s="2998">
        <v>33225</v>
      </c>
      <c r="F20" s="2998" t="s">
        <v>3254</v>
      </c>
      <c r="G20" s="2998" t="s">
        <v>3224</v>
      </c>
      <c r="H20" s="2998" t="s">
        <v>3274</v>
      </c>
      <c r="I20" s="2998">
        <v>973.49</v>
      </c>
      <c r="J20" s="2998">
        <v>973.49</v>
      </c>
      <c r="K20" s="2998">
        <v>293</v>
      </c>
      <c r="L20" s="2998">
        <f t="shared" si="0"/>
        <v>293</v>
      </c>
      <c r="M20" s="2998">
        <v>0</v>
      </c>
      <c r="N20" s="2998" t="s">
        <v>3275</v>
      </c>
    </row>
    <row r="21" spans="1:14">
      <c r="A21" s="2998" t="s">
        <v>3276</v>
      </c>
      <c r="B21" s="2998" t="s">
        <v>3221</v>
      </c>
      <c r="C21" s="2998" t="s">
        <v>3222</v>
      </c>
      <c r="D21" s="2998">
        <v>61564</v>
      </c>
      <c r="E21" s="2998">
        <v>61564</v>
      </c>
      <c r="F21" s="2998" t="s">
        <v>3254</v>
      </c>
      <c r="G21" s="2998" t="s">
        <v>3224</v>
      </c>
      <c r="H21" s="2998" t="s">
        <v>3274</v>
      </c>
      <c r="I21" s="2998">
        <v>1803.82</v>
      </c>
      <c r="J21" s="2998">
        <v>1803.82</v>
      </c>
      <c r="K21" s="2998">
        <v>293</v>
      </c>
      <c r="L21" s="2998">
        <f t="shared" si="0"/>
        <v>293</v>
      </c>
      <c r="M21" s="2998">
        <v>0</v>
      </c>
      <c r="N21" s="2998" t="s">
        <v>3275</v>
      </c>
    </row>
    <row r="22" spans="1:14">
      <c r="A22" s="2998" t="s">
        <v>3277</v>
      </c>
      <c r="B22" s="2998" t="s">
        <v>3221</v>
      </c>
      <c r="C22" s="2998" t="s">
        <v>3222</v>
      </c>
      <c r="D22" s="2998">
        <v>20038</v>
      </c>
      <c r="E22" s="2998">
        <v>20038</v>
      </c>
      <c r="F22" s="2998" t="s">
        <v>3254</v>
      </c>
      <c r="G22" s="2998" t="s">
        <v>3224</v>
      </c>
      <c r="H22" s="2998" t="s">
        <v>3274</v>
      </c>
      <c r="I22" s="2998">
        <v>619.16</v>
      </c>
      <c r="J22" s="2998">
        <v>619.16</v>
      </c>
      <c r="K22" s="2998">
        <v>309</v>
      </c>
      <c r="L22" s="2998">
        <f t="shared" si="0"/>
        <v>309</v>
      </c>
      <c r="M22" s="2998">
        <v>0</v>
      </c>
      <c r="N22" s="2998" t="s">
        <v>3278</v>
      </c>
    </row>
    <row r="23" spans="1:14">
      <c r="A23" s="2998" t="s">
        <v>3279</v>
      </c>
      <c r="B23" s="2998" t="s">
        <v>3221</v>
      </c>
      <c r="C23" s="2998" t="s">
        <v>3222</v>
      </c>
      <c r="D23" s="2998">
        <v>14614</v>
      </c>
      <c r="E23" s="2998">
        <v>14614</v>
      </c>
      <c r="F23" s="2998" t="s">
        <v>3254</v>
      </c>
      <c r="G23" s="2998" t="s">
        <v>3224</v>
      </c>
      <c r="H23" s="2998" t="s">
        <v>3274</v>
      </c>
      <c r="I23" s="2998">
        <v>451.56</v>
      </c>
      <c r="J23" s="2998">
        <v>451.56</v>
      </c>
      <c r="K23" s="2998">
        <v>309</v>
      </c>
      <c r="L23" s="2998">
        <f t="shared" si="0"/>
        <v>309</v>
      </c>
      <c r="M23" s="2998">
        <v>0</v>
      </c>
      <c r="N23" s="2998" t="s">
        <v>3280</v>
      </c>
    </row>
    <row r="24" spans="1:14">
      <c r="A24" s="2998" t="s">
        <v>3281</v>
      </c>
      <c r="B24" s="2998" t="s">
        <v>3221</v>
      </c>
      <c r="C24" s="2998" t="s">
        <v>3222</v>
      </c>
      <c r="D24" s="2998">
        <v>29862</v>
      </c>
      <c r="E24" s="2998">
        <v>29862</v>
      </c>
      <c r="F24" s="2998" t="s">
        <v>3254</v>
      </c>
      <c r="G24" s="2998" t="s">
        <v>3224</v>
      </c>
      <c r="H24" s="2998" t="s">
        <v>3274</v>
      </c>
      <c r="I24" s="2998">
        <v>874.96</v>
      </c>
      <c r="J24" s="2998">
        <v>874.96</v>
      </c>
      <c r="K24" s="2998">
        <v>293</v>
      </c>
      <c r="L24" s="2998">
        <f t="shared" si="0"/>
        <v>293</v>
      </c>
      <c r="M24" s="2998">
        <v>0</v>
      </c>
      <c r="N24" s="2998" t="s">
        <v>3275</v>
      </c>
    </row>
    <row r="25" spans="1:14">
      <c r="A25" s="2998" t="s">
        <v>3282</v>
      </c>
      <c r="B25" s="2998" t="s">
        <v>3221</v>
      </c>
      <c r="C25" s="2998" t="s">
        <v>3222</v>
      </c>
      <c r="D25" s="2998">
        <v>46658</v>
      </c>
      <c r="E25" s="2998">
        <v>46658</v>
      </c>
      <c r="F25" s="2998" t="s">
        <v>3254</v>
      </c>
      <c r="G25" s="2998" t="s">
        <v>3224</v>
      </c>
      <c r="H25" s="2998" t="s">
        <v>3274</v>
      </c>
      <c r="I25" s="2998">
        <v>1432.4</v>
      </c>
      <c r="J25" s="2998">
        <v>1432.4</v>
      </c>
      <c r="K25" s="2998">
        <v>307</v>
      </c>
      <c r="L25" s="2998">
        <f t="shared" si="0"/>
        <v>307</v>
      </c>
      <c r="M25" s="2998">
        <v>0</v>
      </c>
      <c r="N25" s="2998" t="s">
        <v>3283</v>
      </c>
    </row>
    <row r="26" spans="1:14">
      <c r="A26" s="2998" t="s">
        <v>3284</v>
      </c>
      <c r="B26" s="2998" t="s">
        <v>3221</v>
      </c>
      <c r="C26" s="2998" t="s">
        <v>3222</v>
      </c>
      <c r="D26" s="2998">
        <v>26863</v>
      </c>
      <c r="E26" s="2998">
        <v>26863</v>
      </c>
      <c r="F26" s="2998" t="s">
        <v>3254</v>
      </c>
      <c r="G26" s="2998" t="s">
        <v>3224</v>
      </c>
      <c r="H26" s="2998" t="s">
        <v>3285</v>
      </c>
      <c r="I26" s="2998">
        <v>781.71</v>
      </c>
      <c r="J26" s="2998">
        <v>781.71</v>
      </c>
      <c r="K26" s="2998">
        <v>291</v>
      </c>
      <c r="L26" s="2998">
        <f t="shared" si="0"/>
        <v>291</v>
      </c>
      <c r="M26" s="2998">
        <v>0</v>
      </c>
      <c r="N26" s="2998" t="s">
        <v>3286</v>
      </c>
    </row>
    <row r="27" spans="1:14">
      <c r="A27" s="2998" t="s">
        <v>3287</v>
      </c>
      <c r="B27" s="2998" t="s">
        <v>3221</v>
      </c>
      <c r="C27" s="2998" t="s">
        <v>3222</v>
      </c>
      <c r="D27" s="2998">
        <v>18021</v>
      </c>
      <c r="E27" s="2998">
        <v>18021</v>
      </c>
      <c r="F27" s="2998" t="s">
        <v>3254</v>
      </c>
      <c r="G27" s="2998" t="s">
        <v>3224</v>
      </c>
      <c r="H27" s="2998" t="s">
        <v>3288</v>
      </c>
      <c r="I27" s="2998">
        <v>558.64</v>
      </c>
      <c r="J27" s="2998">
        <v>558.64</v>
      </c>
      <c r="K27" s="2998">
        <v>310</v>
      </c>
      <c r="L27" s="2998">
        <f t="shared" si="0"/>
        <v>310</v>
      </c>
      <c r="M27" s="2998">
        <v>0</v>
      </c>
      <c r="N27" s="2998" t="s">
        <v>3283</v>
      </c>
    </row>
    <row r="28" spans="1:14">
      <c r="A28" s="2998" t="s">
        <v>3289</v>
      </c>
      <c r="B28" s="2998" t="s">
        <v>3221</v>
      </c>
      <c r="C28" s="2998" t="s">
        <v>3222</v>
      </c>
      <c r="D28" s="2998">
        <v>90224</v>
      </c>
      <c r="E28" s="2998">
        <v>90224</v>
      </c>
      <c r="F28" s="2998" t="s">
        <v>3254</v>
      </c>
      <c r="G28" s="2998" t="s">
        <v>3224</v>
      </c>
      <c r="H28" s="2998" t="s">
        <v>3288</v>
      </c>
      <c r="I28" s="2998">
        <v>2986.4</v>
      </c>
      <c r="J28" s="2998">
        <v>2986.4</v>
      </c>
      <c r="K28" s="2998">
        <v>331</v>
      </c>
      <c r="L28" s="2998">
        <f t="shared" si="0"/>
        <v>331</v>
      </c>
      <c r="M28" s="2998">
        <v>0</v>
      </c>
      <c r="N28" s="2998" t="s">
        <v>3290</v>
      </c>
    </row>
    <row r="29" spans="1:14">
      <c r="A29" s="2998" t="s">
        <v>3291</v>
      </c>
      <c r="B29" s="2998" t="s">
        <v>3221</v>
      </c>
      <c r="C29" s="2998" t="s">
        <v>3222</v>
      </c>
      <c r="D29" s="2998">
        <v>7580</v>
      </c>
      <c r="E29" s="2998">
        <v>7580</v>
      </c>
      <c r="F29" s="2998" t="s">
        <v>3254</v>
      </c>
      <c r="G29" s="2998" t="s">
        <v>3224</v>
      </c>
      <c r="H29" s="2998" t="s">
        <v>3292</v>
      </c>
      <c r="I29" s="2998">
        <v>222.09</v>
      </c>
      <c r="J29" s="2998">
        <v>222.09</v>
      </c>
      <c r="K29" s="2998">
        <v>292.99</v>
      </c>
      <c r="L29" s="2998">
        <f t="shared" si="0"/>
        <v>293</v>
      </c>
      <c r="M29" s="2998">
        <v>0</v>
      </c>
      <c r="N29" s="2998" t="s">
        <v>3293</v>
      </c>
    </row>
    <row r="30" spans="1:14">
      <c r="A30" s="2998" t="s">
        <v>3294</v>
      </c>
      <c r="B30" s="2998" t="s">
        <v>3221</v>
      </c>
      <c r="C30" s="2998" t="s">
        <v>3222</v>
      </c>
      <c r="D30" s="2998">
        <v>30557</v>
      </c>
      <c r="E30" s="2998">
        <v>30557</v>
      </c>
      <c r="F30" s="2998" t="s">
        <v>3254</v>
      </c>
      <c r="G30" s="2998" t="s">
        <v>3224</v>
      </c>
      <c r="H30" s="2998" t="s">
        <v>3295</v>
      </c>
      <c r="I30" s="2998">
        <v>895.32</v>
      </c>
      <c r="J30" s="2998">
        <v>895.32</v>
      </c>
      <c r="K30" s="2998">
        <v>293</v>
      </c>
      <c r="L30" s="2998">
        <f t="shared" si="0"/>
        <v>293</v>
      </c>
      <c r="M30" s="2998">
        <v>0</v>
      </c>
      <c r="N30" s="2998" t="s">
        <v>3296</v>
      </c>
    </row>
    <row r="31" spans="1:14">
      <c r="A31" s="2998" t="s">
        <v>3297</v>
      </c>
      <c r="B31" s="2998" t="s">
        <v>3221</v>
      </c>
      <c r="C31" s="2998" t="s">
        <v>3222</v>
      </c>
      <c r="D31" s="2998">
        <v>13371</v>
      </c>
      <c r="E31" s="2998">
        <v>13371</v>
      </c>
      <c r="F31" s="2998" t="s">
        <v>3254</v>
      </c>
      <c r="G31" s="2998" t="s">
        <v>3224</v>
      </c>
      <c r="H31" s="2998" t="s">
        <v>3295</v>
      </c>
      <c r="I31" s="2998">
        <v>478.68</v>
      </c>
      <c r="J31" s="2998">
        <v>478.68</v>
      </c>
      <c r="K31" s="2998">
        <v>358</v>
      </c>
      <c r="L31" s="2998">
        <f t="shared" si="0"/>
        <v>358</v>
      </c>
      <c r="M31" s="2998">
        <v>0</v>
      </c>
      <c r="N31" s="2998" t="s">
        <v>3298</v>
      </c>
    </row>
    <row r="32" spans="1:14">
      <c r="A32" s="2998" t="s">
        <v>3299</v>
      </c>
      <c r="B32" s="2998" t="s">
        <v>3221</v>
      </c>
      <c r="C32" s="2998" t="s">
        <v>3222</v>
      </c>
      <c r="D32" s="2998">
        <v>47253</v>
      </c>
      <c r="E32" s="2998">
        <v>47253</v>
      </c>
      <c r="F32" s="2998" t="s">
        <v>3254</v>
      </c>
      <c r="G32" s="2998" t="s">
        <v>3224</v>
      </c>
      <c r="H32" s="2998" t="s">
        <v>3300</v>
      </c>
      <c r="I32" s="2998">
        <v>1507.36</v>
      </c>
      <c r="J32" s="2998">
        <v>1507.36</v>
      </c>
      <c r="K32" s="2998">
        <v>319</v>
      </c>
      <c r="L32" s="2998">
        <f t="shared" si="0"/>
        <v>319</v>
      </c>
      <c r="M32" s="2998">
        <v>0</v>
      </c>
      <c r="N32" s="2998" t="s">
        <v>3301</v>
      </c>
    </row>
    <row r="33" spans="1:14">
      <c r="A33" s="2998" t="s">
        <v>3302</v>
      </c>
      <c r="B33" s="2998" t="s">
        <v>3221</v>
      </c>
      <c r="C33" s="2998" t="s">
        <v>3222</v>
      </c>
      <c r="D33" s="2998">
        <v>91023</v>
      </c>
      <c r="E33" s="2998">
        <v>63716.1</v>
      </c>
      <c r="F33" s="2998" t="s">
        <v>3303</v>
      </c>
      <c r="G33" s="2998" t="s">
        <v>3224</v>
      </c>
      <c r="H33" s="2998" t="s">
        <v>3300</v>
      </c>
      <c r="I33" s="2998">
        <v>2676.07</v>
      </c>
      <c r="J33" s="2998">
        <v>2676.07</v>
      </c>
      <c r="K33" s="2998">
        <v>420</v>
      </c>
      <c r="L33" s="2998">
        <f t="shared" si="0"/>
        <v>294</v>
      </c>
      <c r="M33" s="2998">
        <v>0</v>
      </c>
      <c r="N33" s="2998" t="s">
        <v>3304</v>
      </c>
    </row>
    <row r="34" spans="1:14">
      <c r="A34" s="2998" t="s">
        <v>3305</v>
      </c>
      <c r="B34" s="2998" t="s">
        <v>3221</v>
      </c>
      <c r="C34" s="2998" t="s">
        <v>3222</v>
      </c>
      <c r="D34" s="2998">
        <v>33302</v>
      </c>
      <c r="E34" s="2998">
        <v>33302</v>
      </c>
      <c r="F34" s="2998" t="s">
        <v>3254</v>
      </c>
      <c r="G34" s="2998" t="s">
        <v>3224</v>
      </c>
      <c r="H34" s="2998" t="s">
        <v>3306</v>
      </c>
      <c r="I34" s="2998">
        <v>972.41</v>
      </c>
      <c r="J34" s="2998">
        <v>972.41</v>
      </c>
      <c r="K34" s="2998">
        <v>292</v>
      </c>
      <c r="L34" s="2998">
        <f t="shared" si="0"/>
        <v>292</v>
      </c>
      <c r="M34" s="2998">
        <v>0</v>
      </c>
      <c r="N34" s="2998" t="s">
        <v>3307</v>
      </c>
    </row>
    <row r="35" spans="1:14">
      <c r="A35" s="2998" t="s">
        <v>3308</v>
      </c>
      <c r="B35" s="2998" t="s">
        <v>3221</v>
      </c>
      <c r="C35" s="2998" t="s">
        <v>3222</v>
      </c>
      <c r="D35" s="2998">
        <v>49334</v>
      </c>
      <c r="E35" s="2998">
        <v>49334</v>
      </c>
      <c r="F35" s="2998" t="s">
        <v>3254</v>
      </c>
      <c r="G35" s="2998" t="s">
        <v>3224</v>
      </c>
      <c r="H35" s="2998" t="s">
        <v>3309</v>
      </c>
      <c r="I35" s="2998">
        <v>1578.69</v>
      </c>
      <c r="J35" s="2998">
        <v>1578.69</v>
      </c>
      <c r="K35" s="2998">
        <v>320</v>
      </c>
      <c r="L35" s="2998">
        <f t="shared" si="0"/>
        <v>320</v>
      </c>
      <c r="M35" s="2998">
        <v>0</v>
      </c>
      <c r="N35" s="2998" t="s">
        <v>3310</v>
      </c>
    </row>
    <row r="36" spans="1:14">
      <c r="A36" s="2998" t="s">
        <v>3311</v>
      </c>
      <c r="B36" s="2998" t="s">
        <v>3221</v>
      </c>
      <c r="C36" s="2998" t="s">
        <v>3222</v>
      </c>
      <c r="D36" s="2998">
        <v>120400</v>
      </c>
      <c r="E36" s="2998">
        <v>120400</v>
      </c>
      <c r="F36" s="2998" t="s">
        <v>3254</v>
      </c>
      <c r="G36" s="2998" t="s">
        <v>3224</v>
      </c>
      <c r="H36" s="2998" t="s">
        <v>3312</v>
      </c>
      <c r="I36" s="2998">
        <v>3551.8</v>
      </c>
      <c r="J36" s="2998">
        <v>3551.8</v>
      </c>
      <c r="K36" s="2998">
        <v>295</v>
      </c>
      <c r="L36" s="2998">
        <f t="shared" si="0"/>
        <v>295</v>
      </c>
      <c r="M36" s="2998">
        <v>0</v>
      </c>
      <c r="N36" s="2998" t="s">
        <v>3313</v>
      </c>
    </row>
    <row r="37" spans="1:14">
      <c r="A37" s="2998" t="s">
        <v>3314</v>
      </c>
      <c r="B37" s="2998" t="s">
        <v>3221</v>
      </c>
      <c r="C37" s="2998" t="s">
        <v>3222</v>
      </c>
      <c r="D37" s="2998">
        <v>27727</v>
      </c>
      <c r="E37" s="2998">
        <v>27727</v>
      </c>
      <c r="F37" s="2998" t="s">
        <v>3254</v>
      </c>
      <c r="G37" s="2998" t="s">
        <v>3224</v>
      </c>
      <c r="H37" s="2998" t="s">
        <v>3315</v>
      </c>
      <c r="I37" s="2998">
        <v>923.3</v>
      </c>
      <c r="J37" s="2998">
        <v>923.3</v>
      </c>
      <c r="K37" s="2998">
        <v>333</v>
      </c>
      <c r="L37" s="2998">
        <f t="shared" si="0"/>
        <v>333</v>
      </c>
      <c r="M37" s="2998">
        <v>0</v>
      </c>
      <c r="N37" s="2998" t="s">
        <v>3229</v>
      </c>
    </row>
    <row r="38" spans="1:14">
      <c r="A38" s="2998" t="s">
        <v>3316</v>
      </c>
      <c r="B38" s="2998" t="s">
        <v>3221</v>
      </c>
      <c r="C38" s="2998" t="s">
        <v>3222</v>
      </c>
      <c r="D38" s="2998">
        <v>1732808</v>
      </c>
      <c r="E38" s="2998">
        <v>1386246</v>
      </c>
      <c r="F38" s="2998" t="s">
        <v>3317</v>
      </c>
      <c r="G38" s="2998" t="s">
        <v>3224</v>
      </c>
      <c r="H38" s="2998" t="s">
        <v>3318</v>
      </c>
      <c r="I38" s="2998">
        <v>51637.68</v>
      </c>
      <c r="J38" s="2998">
        <v>51637.68</v>
      </c>
      <c r="K38" s="2998">
        <v>372.5</v>
      </c>
      <c r="L38" s="2998">
        <f t="shared" si="0"/>
        <v>298</v>
      </c>
      <c r="M38" s="2998">
        <v>0</v>
      </c>
      <c r="N38" s="2998" t="s">
        <v>3319</v>
      </c>
    </row>
    <row r="39" spans="1:14">
      <c r="A39" s="2998" t="s">
        <v>3320</v>
      </c>
      <c r="B39" s="2998" t="s">
        <v>3221</v>
      </c>
      <c r="C39" s="2998" t="s">
        <v>3222</v>
      </c>
      <c r="D39" s="2998">
        <v>44514</v>
      </c>
      <c r="E39" s="2998">
        <v>44514</v>
      </c>
      <c r="F39" s="2998" t="s">
        <v>3254</v>
      </c>
      <c r="G39" s="2998" t="s">
        <v>3224</v>
      </c>
      <c r="H39" s="2998" t="s">
        <v>3321</v>
      </c>
      <c r="I39" s="2998">
        <v>1464.5</v>
      </c>
      <c r="J39" s="2998">
        <v>1464.5</v>
      </c>
      <c r="K39" s="2998">
        <v>329</v>
      </c>
      <c r="L39" s="2998">
        <f t="shared" si="0"/>
        <v>329</v>
      </c>
      <c r="M39" s="2998">
        <v>0</v>
      </c>
      <c r="N39" s="2998" t="s">
        <v>3322</v>
      </c>
    </row>
    <row r="40" spans="1:14">
      <c r="A40" s="2998" t="s">
        <v>3323</v>
      </c>
      <c r="B40" s="2998" t="s">
        <v>3221</v>
      </c>
      <c r="C40" s="2998" t="s">
        <v>3222</v>
      </c>
      <c r="D40" s="2998">
        <v>61388</v>
      </c>
      <c r="E40" s="2998">
        <v>61388</v>
      </c>
      <c r="F40" s="2998" t="s">
        <v>3254</v>
      </c>
      <c r="G40" s="2998" t="s">
        <v>3224</v>
      </c>
      <c r="H40" s="2998" t="s">
        <v>3321</v>
      </c>
      <c r="I40" s="2998">
        <v>1982.82</v>
      </c>
      <c r="J40" s="2998">
        <v>1982.82</v>
      </c>
      <c r="K40" s="2998">
        <v>323</v>
      </c>
      <c r="L40" s="2998">
        <f t="shared" si="0"/>
        <v>323</v>
      </c>
      <c r="M40" s="2998">
        <v>0</v>
      </c>
      <c r="N40" s="2998" t="s">
        <v>3324</v>
      </c>
    </row>
    <row r="41" spans="1:14">
      <c r="A41" s="2998" t="s">
        <v>3325</v>
      </c>
      <c r="B41" s="2998" t="s">
        <v>3221</v>
      </c>
      <c r="C41" s="2998" t="s">
        <v>3222</v>
      </c>
      <c r="D41" s="2998">
        <v>80279</v>
      </c>
      <c r="E41" s="2998">
        <v>64223.199999999997</v>
      </c>
      <c r="F41" s="2998" t="s">
        <v>3317</v>
      </c>
      <c r="G41" s="2998" t="s">
        <v>3224</v>
      </c>
      <c r="H41" s="2998" t="s">
        <v>3326</v>
      </c>
      <c r="I41" s="2998">
        <v>2793.71</v>
      </c>
      <c r="J41" s="2998">
        <v>2793.71</v>
      </c>
      <c r="K41" s="2998">
        <v>435</v>
      </c>
      <c r="L41" s="2998">
        <f t="shared" si="0"/>
        <v>348</v>
      </c>
      <c r="M41" s="2998">
        <v>0</v>
      </c>
      <c r="N41" s="2998" t="s">
        <v>3327</v>
      </c>
    </row>
    <row r="42" spans="1:14">
      <c r="A42" s="2998" t="s">
        <v>3328</v>
      </c>
      <c r="B42" s="2998" t="s">
        <v>3221</v>
      </c>
      <c r="C42" s="2998" t="s">
        <v>3222</v>
      </c>
      <c r="D42" s="2998">
        <v>75028</v>
      </c>
      <c r="E42" s="2998">
        <v>75028</v>
      </c>
      <c r="F42" s="2998" t="s">
        <v>3254</v>
      </c>
      <c r="G42" s="2998" t="s">
        <v>3224</v>
      </c>
      <c r="H42" s="2998" t="s">
        <v>3329</v>
      </c>
      <c r="I42" s="2998">
        <v>2198.3200000000002</v>
      </c>
      <c r="J42" s="2998">
        <v>2198.3200000000002</v>
      </c>
      <c r="K42" s="2998">
        <v>293</v>
      </c>
      <c r="L42" s="2998">
        <f t="shared" si="0"/>
        <v>293</v>
      </c>
      <c r="M42" s="2998">
        <v>0</v>
      </c>
      <c r="N42" s="2998" t="s">
        <v>3330</v>
      </c>
    </row>
    <row r="43" spans="1:14">
      <c r="A43" s="2998" t="s">
        <v>3331</v>
      </c>
      <c r="B43" s="2998" t="s">
        <v>3221</v>
      </c>
      <c r="C43" s="2998" t="s">
        <v>3222</v>
      </c>
      <c r="D43" s="2998">
        <v>25387</v>
      </c>
      <c r="E43" s="2998">
        <v>25387</v>
      </c>
      <c r="F43" s="2998" t="s">
        <v>3254</v>
      </c>
      <c r="G43" s="2998" t="s">
        <v>3224</v>
      </c>
      <c r="H43" s="2998" t="s">
        <v>3329</v>
      </c>
      <c r="I43" s="2998">
        <v>746.37</v>
      </c>
      <c r="J43" s="2998">
        <v>746.37</v>
      </c>
      <c r="K43" s="2998">
        <v>294</v>
      </c>
      <c r="L43" s="2998">
        <f t="shared" si="0"/>
        <v>294</v>
      </c>
      <c r="M43" s="2998">
        <v>0</v>
      </c>
      <c r="N43" s="2998" t="s">
        <v>3332</v>
      </c>
    </row>
    <row r="44" spans="1:14">
      <c r="A44" s="2998" t="s">
        <v>3333</v>
      </c>
      <c r="B44" s="2998" t="s">
        <v>3221</v>
      </c>
      <c r="C44" s="2998" t="s">
        <v>3222</v>
      </c>
      <c r="D44" s="2998">
        <v>11807</v>
      </c>
      <c r="E44" s="2998">
        <v>11807</v>
      </c>
      <c r="F44" s="2998" t="s">
        <v>3254</v>
      </c>
      <c r="G44" s="2998" t="s">
        <v>3224</v>
      </c>
      <c r="H44" s="2998" t="s">
        <v>3334</v>
      </c>
      <c r="I44" s="2998">
        <v>382.55</v>
      </c>
      <c r="J44" s="2998">
        <v>382.55</v>
      </c>
      <c r="K44" s="2998">
        <v>324</v>
      </c>
      <c r="L44" s="2998">
        <f t="shared" si="0"/>
        <v>324</v>
      </c>
      <c r="M44" s="2998">
        <v>0</v>
      </c>
      <c r="N44" s="2998" t="s">
        <v>3335</v>
      </c>
    </row>
    <row r="45" spans="1:14">
      <c r="A45" s="2998" t="s">
        <v>3336</v>
      </c>
      <c r="B45" s="2998" t="s">
        <v>3221</v>
      </c>
      <c r="C45" s="2998" t="s">
        <v>3222</v>
      </c>
      <c r="D45" s="2998">
        <v>106600</v>
      </c>
      <c r="E45" s="2998">
        <v>106600</v>
      </c>
      <c r="F45" s="2998" t="s">
        <v>3254</v>
      </c>
      <c r="G45" s="2998" t="s">
        <v>3224</v>
      </c>
      <c r="H45" s="2998" t="s">
        <v>3337</v>
      </c>
      <c r="I45" s="2998">
        <v>3507.13</v>
      </c>
      <c r="J45" s="2998">
        <v>3507.13</v>
      </c>
      <c r="K45" s="2998">
        <v>329</v>
      </c>
      <c r="L45" s="2998">
        <f t="shared" si="0"/>
        <v>329</v>
      </c>
      <c r="M45" s="2998">
        <v>0</v>
      </c>
      <c r="N45" s="2998" t="s">
        <v>3322</v>
      </c>
    </row>
    <row r="46" spans="1:14">
      <c r="A46" s="2998" t="s">
        <v>3338</v>
      </c>
      <c r="B46" s="2998" t="s">
        <v>3221</v>
      </c>
      <c r="C46" s="2998" t="s">
        <v>3222</v>
      </c>
      <c r="D46" s="2998">
        <v>36358</v>
      </c>
      <c r="E46" s="2998">
        <v>36358</v>
      </c>
      <c r="F46" s="2998" t="s">
        <v>3254</v>
      </c>
      <c r="G46" s="2998" t="s">
        <v>3224</v>
      </c>
      <c r="H46" s="2998" t="s">
        <v>3339</v>
      </c>
      <c r="I46" s="2998">
        <v>1170.73</v>
      </c>
      <c r="J46" s="2998">
        <v>1170.73</v>
      </c>
      <c r="K46" s="2998">
        <v>322</v>
      </c>
      <c r="L46" s="2998">
        <f t="shared" si="0"/>
        <v>322</v>
      </c>
      <c r="M46" s="2998">
        <v>0</v>
      </c>
      <c r="N46" s="2998" t="s">
        <v>3340</v>
      </c>
    </row>
    <row r="47" spans="1:14">
      <c r="A47" s="2998" t="s">
        <v>3341</v>
      </c>
      <c r="B47" s="2998" t="s">
        <v>3221</v>
      </c>
      <c r="C47" s="2998" t="s">
        <v>3222</v>
      </c>
      <c r="D47" s="2998">
        <v>13541</v>
      </c>
      <c r="E47" s="2998">
        <v>13541</v>
      </c>
      <c r="F47" s="2998" t="s">
        <v>3254</v>
      </c>
      <c r="G47" s="2998" t="s">
        <v>3224</v>
      </c>
      <c r="H47" s="2998" t="s">
        <v>3342</v>
      </c>
      <c r="I47" s="2998">
        <v>396.75</v>
      </c>
      <c r="J47" s="2998">
        <v>396.75</v>
      </c>
      <c r="K47" s="2998">
        <v>293</v>
      </c>
      <c r="L47" s="2998">
        <f t="shared" si="0"/>
        <v>293</v>
      </c>
      <c r="M47" s="2998">
        <v>0</v>
      </c>
      <c r="N47" s="2998" t="s">
        <v>3343</v>
      </c>
    </row>
    <row r="48" spans="1:14">
      <c r="A48" s="2998" t="s">
        <v>3344</v>
      </c>
      <c r="B48" s="2998" t="s">
        <v>3221</v>
      </c>
      <c r="C48" s="2998" t="s">
        <v>3222</v>
      </c>
      <c r="D48" s="2998">
        <v>104575</v>
      </c>
      <c r="E48" s="2998">
        <v>104575</v>
      </c>
      <c r="F48" s="2998" t="s">
        <v>3254</v>
      </c>
      <c r="G48" s="2998" t="s">
        <v>3224</v>
      </c>
      <c r="H48" s="2998" t="s">
        <v>3342</v>
      </c>
      <c r="I48" s="2998">
        <v>3064.05</v>
      </c>
      <c r="J48" s="2998">
        <v>3064.05</v>
      </c>
      <c r="K48" s="2998">
        <v>293</v>
      </c>
      <c r="L48" s="2998">
        <f t="shared" si="0"/>
        <v>293</v>
      </c>
      <c r="M48" s="2998">
        <v>0</v>
      </c>
      <c r="N48" s="2998" t="s">
        <v>3345</v>
      </c>
    </row>
    <row r="49" spans="1:15">
      <c r="A49" s="2998" t="s">
        <v>3346</v>
      </c>
      <c r="B49" s="2998" t="s">
        <v>3221</v>
      </c>
      <c r="C49" s="2998" t="s">
        <v>3222</v>
      </c>
      <c r="D49" s="2998">
        <v>13752</v>
      </c>
      <c r="E49" s="2998">
        <v>13752</v>
      </c>
      <c r="F49" s="2998" t="s">
        <v>3254</v>
      </c>
      <c r="G49" s="2998" t="s">
        <v>3224</v>
      </c>
      <c r="H49" s="2998" t="s">
        <v>3347</v>
      </c>
      <c r="I49" s="2998">
        <v>401.56</v>
      </c>
      <c r="J49" s="2998">
        <v>401.56</v>
      </c>
      <c r="K49" s="2998">
        <v>292</v>
      </c>
      <c r="L49" s="2998">
        <f t="shared" si="0"/>
        <v>292</v>
      </c>
      <c r="M49" s="2998">
        <v>0</v>
      </c>
      <c r="N49" s="2998" t="s">
        <v>3275</v>
      </c>
    </row>
    <row r="50" spans="1:15">
      <c r="A50" s="2998" t="s">
        <v>3348</v>
      </c>
      <c r="B50" s="2998" t="s">
        <v>3221</v>
      </c>
      <c r="C50" s="2998" t="s">
        <v>3222</v>
      </c>
      <c r="D50" s="2998">
        <v>37836</v>
      </c>
      <c r="E50" s="2998">
        <v>37836</v>
      </c>
      <c r="F50" s="2998" t="s">
        <v>3254</v>
      </c>
      <c r="G50" s="2998" t="s">
        <v>3224</v>
      </c>
      <c r="H50" s="2998" t="s">
        <v>3347</v>
      </c>
      <c r="I50" s="2998">
        <v>1301.55</v>
      </c>
      <c r="J50" s="2998">
        <v>1301.55</v>
      </c>
      <c r="K50" s="2998">
        <v>344</v>
      </c>
      <c r="L50" s="2998">
        <f t="shared" si="0"/>
        <v>344</v>
      </c>
      <c r="M50" s="2998">
        <v>0</v>
      </c>
      <c r="N50" s="2998" t="s">
        <v>3349</v>
      </c>
    </row>
    <row r="51" spans="1:15">
      <c r="A51" s="2998" t="s">
        <v>3350</v>
      </c>
      <c r="B51" s="2998" t="s">
        <v>3221</v>
      </c>
      <c r="C51" s="2998" t="s">
        <v>3222</v>
      </c>
      <c r="D51" s="2998">
        <v>25655</v>
      </c>
      <c r="E51" s="2998">
        <v>25655</v>
      </c>
      <c r="F51" s="2998" t="s">
        <v>3254</v>
      </c>
      <c r="G51" s="2998" t="s">
        <v>3224</v>
      </c>
      <c r="H51" s="2998" t="s">
        <v>3351</v>
      </c>
      <c r="I51" s="2998">
        <v>749.12</v>
      </c>
      <c r="J51" s="2998">
        <v>749.12</v>
      </c>
      <c r="K51" s="2998">
        <v>292</v>
      </c>
      <c r="L51" s="2998">
        <f t="shared" si="0"/>
        <v>292</v>
      </c>
      <c r="M51" s="2998">
        <v>0</v>
      </c>
      <c r="N51" s="2998" t="s">
        <v>3290</v>
      </c>
    </row>
    <row r="54" spans="1:15">
      <c r="D54" s="2998" t="s">
        <v>3377</v>
      </c>
      <c r="K54" s="2998" t="s">
        <v>3378</v>
      </c>
      <c r="O54" s="2998" t="s">
        <v>3379</v>
      </c>
    </row>
  </sheetData>
  <phoneticPr fontId="143" type="noConversion"/>
  <pageMargins left="0.75" right="0.75" top="1" bottom="1" header="0.5" footer="0.5"/>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17" t="str">
        <f>IF(项目基本情况!B9="房地产市场价值","估价结果一览表","结果表-2")</f>
        <v>结果表-2</v>
      </c>
      <c r="B1" s="3017"/>
      <c r="C1" s="3017"/>
      <c r="D1" s="3017"/>
      <c r="E1" s="3017"/>
      <c r="F1" s="3017"/>
      <c r="G1" s="3017"/>
      <c r="H1" s="3017"/>
      <c r="I1" s="3017"/>
    </row>
    <row r="2" spans="1:9" ht="30" customHeight="1" thickTop="1">
      <c r="A2" s="3018" t="s">
        <v>1641</v>
      </c>
      <c r="B2" s="3018" t="s">
        <v>1642</v>
      </c>
      <c r="C2" s="3018" t="s">
        <v>1643</v>
      </c>
      <c r="D2" s="3018" t="str">
        <f>结果表!D116</f>
        <v>出让国有建设用地使用权价值</v>
      </c>
      <c r="E2" s="3018"/>
      <c r="F2" s="3018" t="str">
        <f>结果表!F116</f>
        <v>在建建筑物价值</v>
      </c>
      <c r="G2" s="3018"/>
      <c r="H2" s="3018" t="str">
        <f>IF(项目基本情况!B9="房地产市场价值","房地产市场价值","房地产价值")</f>
        <v>房地产价值</v>
      </c>
      <c r="I2" s="3018"/>
    </row>
    <row r="3" spans="1:9" ht="15">
      <c r="A3" s="3019"/>
      <c r="B3" s="3019"/>
      <c r="C3" s="3019"/>
      <c r="D3" s="1047" t="s">
        <v>1638</v>
      </c>
      <c r="E3" s="1047" t="s">
        <v>1644</v>
      </c>
      <c r="F3" s="1047" t="s">
        <v>1638</v>
      </c>
      <c r="G3" s="1047" t="s">
        <v>1639</v>
      </c>
      <c r="H3" s="1047" t="s">
        <v>1638</v>
      </c>
      <c r="I3" s="1047" t="s">
        <v>1639</v>
      </c>
    </row>
    <row r="4" spans="1:9" ht="30">
      <c r="A4" s="1976" t="str">
        <f>项目基本情况!S2</f>
        <v>出让国有建设用地使用权及在建建筑物房地产</v>
      </c>
      <c r="B4" s="1047">
        <f>项目基本情况!C17</f>
        <v>1611</v>
      </c>
      <c r="C4" s="1047">
        <f>项目基本情况!C18</f>
        <v>1626.74</v>
      </c>
      <c r="D4" s="1047">
        <f ca="1">结果表!D118</f>
        <v>2879</v>
      </c>
      <c r="E4" s="1047">
        <f ca="1">结果表!E118</f>
        <v>17871</v>
      </c>
      <c r="F4" s="1047">
        <f ca="1">结果表!F118</f>
        <v>-2372</v>
      </c>
      <c r="G4" s="1047">
        <f ca="1">结果表!G118</f>
        <v>-14724</v>
      </c>
      <c r="H4" s="1047">
        <f ca="1">结果表!H118</f>
        <v>507</v>
      </c>
      <c r="I4" s="1047">
        <f ca="1">结果表!I118</f>
        <v>3147</v>
      </c>
    </row>
    <row r="5" spans="1:9" ht="30" customHeight="1">
      <c r="A5" s="3019" t="s">
        <v>1640</v>
      </c>
      <c r="B5" s="3019"/>
      <c r="C5" s="3019"/>
      <c r="D5" s="3020" t="str">
        <f ca="1">结果表!D119</f>
        <v>贰仟捌佰柒拾玖万元整</v>
      </c>
      <c r="E5" s="3020"/>
      <c r="F5" s="3020" t="e">
        <f ca="1">结果表!F119</f>
        <v>#NUM!</v>
      </c>
      <c r="G5" s="3020"/>
      <c r="H5" s="3020" t="str">
        <f ca="1">结果表!H119</f>
        <v>伍佰零柒万元整</v>
      </c>
      <c r="I5" s="3020"/>
    </row>
    <row r="6" spans="1:9" ht="15.75">
      <c r="A6" s="3021" t="str">
        <f>结果表!A120</f>
        <v>估价师知悉的法定优先受偿款</v>
      </c>
      <c r="B6" s="3021"/>
      <c r="C6" s="3021"/>
      <c r="D6" s="3021">
        <f>结果表!D120</f>
        <v>0</v>
      </c>
      <c r="E6" s="3021"/>
      <c r="F6" s="3021"/>
      <c r="G6" s="3021"/>
      <c r="H6" s="3021"/>
      <c r="I6" s="3021"/>
    </row>
    <row r="7" spans="1:9" ht="15">
      <c r="A7" s="3019" t="s">
        <v>1640</v>
      </c>
      <c r="B7" s="3019"/>
      <c r="C7" s="3019"/>
      <c r="D7" s="3022" t="str">
        <f>结果表!D121</f>
        <v>零元整</v>
      </c>
      <c r="E7" s="3023"/>
      <c r="F7" s="3023"/>
      <c r="G7" s="3023"/>
      <c r="H7" s="3023"/>
      <c r="I7" s="3024"/>
    </row>
    <row r="8" spans="1:9" ht="15.75">
      <c r="A8" s="3021" t="str">
        <f>结果表!A122</f>
        <v>房地产抵押价值</v>
      </c>
      <c r="B8" s="3021"/>
      <c r="C8" s="3021"/>
      <c r="D8" s="3021">
        <f ca="1">结果表!D122</f>
        <v>507</v>
      </c>
      <c r="E8" s="3021"/>
      <c r="F8" s="3021"/>
      <c r="G8" s="3021"/>
      <c r="H8" s="3021"/>
      <c r="I8" s="3021"/>
    </row>
    <row r="9" spans="1:9" ht="15">
      <c r="A9" s="3019" t="s">
        <v>1640</v>
      </c>
      <c r="B9" s="3019"/>
      <c r="C9" s="3019"/>
      <c r="D9" s="3020" t="str">
        <f ca="1">结果表!D123</f>
        <v>伍佰零柒万元整</v>
      </c>
      <c r="E9" s="3020"/>
      <c r="F9" s="3020"/>
      <c r="G9" s="3020"/>
      <c r="H9" s="3020"/>
      <c r="I9" s="3020"/>
    </row>
    <row r="10" spans="1:9" ht="15.75">
      <c r="A10" s="3021" t="str">
        <f>结果表!A124</f>
        <v/>
      </c>
      <c r="B10" s="3021"/>
      <c r="C10" s="3021"/>
      <c r="D10" s="3021" t="str">
        <f>结果表!D124</f>
        <v>——</v>
      </c>
      <c r="E10" s="3021"/>
      <c r="F10" s="3021"/>
      <c r="G10" s="3021"/>
      <c r="H10" s="3021"/>
      <c r="I10" s="3021"/>
    </row>
    <row r="11" spans="1:9" ht="15">
      <c r="A11" s="3019" t="s">
        <v>1640</v>
      </c>
      <c r="B11" s="3019"/>
      <c r="C11" s="3019"/>
      <c r="D11" s="3020" t="e">
        <f>结果表!D125</f>
        <v>#VALUE!</v>
      </c>
      <c r="E11" s="3020"/>
      <c r="F11" s="3020"/>
      <c r="G11" s="3020"/>
      <c r="H11" s="3020"/>
      <c r="I11" s="3020"/>
    </row>
    <row r="12" spans="1:9" ht="15.75">
      <c r="A12" s="3021" t="str">
        <f>结果表!A126</f>
        <v/>
      </c>
      <c r="B12" s="3021"/>
      <c r="C12" s="3021"/>
      <c r="D12" s="3021" t="str">
        <f>结果表!D126</f>
        <v>——</v>
      </c>
      <c r="E12" s="3021"/>
      <c r="F12" s="3021"/>
      <c r="G12" s="3021"/>
      <c r="H12" s="3021"/>
      <c r="I12" s="3021"/>
    </row>
    <row r="13" spans="1:9" ht="15.75" thickBot="1">
      <c r="A13" s="3025" t="s">
        <v>1640</v>
      </c>
      <c r="B13" s="3025"/>
      <c r="C13" s="3025"/>
      <c r="D13" s="3026" t="e">
        <f>结果表!D127</f>
        <v>#VALUE!</v>
      </c>
      <c r="E13" s="3026"/>
      <c r="F13" s="3026"/>
      <c r="G13" s="3026"/>
      <c r="H13" s="3026"/>
      <c r="I13" s="3026"/>
    </row>
    <row r="14" spans="1:9" ht="15" thickTop="1">
      <c r="A14" s="3027" t="s">
        <v>1645</v>
      </c>
      <c r="B14" s="3027"/>
      <c r="C14" s="3027"/>
      <c r="D14" s="3027"/>
      <c r="E14" s="3027"/>
      <c r="F14" s="3027"/>
      <c r="G14" s="3027"/>
      <c r="H14" s="3027"/>
      <c r="I14" s="3027"/>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28" t="s">
        <v>1662</v>
      </c>
      <c r="B1" s="3028"/>
      <c r="C1" s="3028"/>
      <c r="D1" s="3028"/>
    </row>
    <row r="2" spans="1:4" ht="18">
      <c r="A2" s="3029" t="s">
        <v>1646</v>
      </c>
      <c r="B2" s="3029"/>
      <c r="C2" s="3029"/>
      <c r="D2" s="3029"/>
    </row>
    <row r="3" spans="1:4" ht="18.75">
      <c r="A3" s="1980" t="s">
        <v>1647</v>
      </c>
      <c r="B3" s="1980" t="s">
        <v>1648</v>
      </c>
      <c r="C3" s="1980" t="s">
        <v>1649</v>
      </c>
      <c r="D3" s="1980" t="s">
        <v>1650</v>
      </c>
    </row>
    <row r="4" spans="1:4" ht="56.25" customHeight="1">
      <c r="A4" s="1981" t="str">
        <f>项目基本情况!B4</f>
        <v>王鹏</v>
      </c>
      <c r="B4" s="1982">
        <f ca="1">项目基本情况!C4</f>
        <v>1120050019</v>
      </c>
      <c r="C4" s="1983"/>
      <c r="D4" s="1984" t="s">
        <v>1651</v>
      </c>
    </row>
    <row r="5" spans="1:4" ht="56.25" customHeight="1">
      <c r="A5" s="1981" t="str">
        <f>项目基本情况!D4</f>
        <v>郑燚</v>
      </c>
      <c r="B5" s="1982">
        <f ca="1">项目基本情况!E4</f>
        <v>1120070131</v>
      </c>
      <c r="C5" s="1985"/>
      <c r="D5" s="1984" t="s">
        <v>1651</v>
      </c>
    </row>
    <row r="6" spans="1:4" ht="18">
      <c r="A6" s="3029" t="s">
        <v>1652</v>
      </c>
      <c r="B6" s="3029"/>
      <c r="C6" s="3029"/>
      <c r="D6" s="3029"/>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30" t="s">
        <v>1655</v>
      </c>
      <c r="B11" s="3031"/>
      <c r="C11" s="3031"/>
      <c r="D11" s="3031"/>
    </row>
    <row r="12" spans="1:4" ht="15.75">
      <c r="A12" s="30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2"/>
      <c r="C12" s="3032"/>
      <c r="D12" s="3032"/>
    </row>
    <row r="13" spans="1:4" ht="30" customHeight="1">
      <c r="A13" s="30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2"/>
      <c r="C13" s="3032"/>
      <c r="D13" s="3032"/>
    </row>
    <row r="14" spans="1:4" ht="15.75" customHeight="1">
      <c r="A14" s="3031" t="str">
        <f>IF(项目基本情况!B8="抵押","4.本次评估估价师所知悉的法定优先受偿款情况说明如下：","——")</f>
        <v>4.本次评估估价师所知悉的法定优先受偿款情况说明如下：</v>
      </c>
      <c r="B14" s="3032"/>
      <c r="C14" s="3032"/>
      <c r="D14" s="3032"/>
    </row>
    <row r="15" spans="1:4" ht="42" customHeight="1">
      <c r="A15" s="30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1"/>
      <c r="C15" s="3031"/>
      <c r="D15" s="3031"/>
    </row>
    <row r="16" spans="1:4" ht="30" customHeight="1">
      <c r="A16" s="3034" t="s">
        <v>1656</v>
      </c>
      <c r="B16" s="3034"/>
      <c r="C16" s="3034"/>
      <c r="D16" s="3034"/>
    </row>
    <row r="17" spans="1:4" ht="144" customHeight="1">
      <c r="A17" s="3034" t="s">
        <v>1657</v>
      </c>
      <c r="B17" s="3034"/>
      <c r="C17" s="3034"/>
      <c r="D17" s="3034"/>
    </row>
    <row r="18" spans="1:4" ht="15.75" customHeight="1">
      <c r="A18" s="3031" t="str">
        <f>IF(项目基本情况!B8="抵押",结果表!K120,"——")</f>
        <v>故，本次评估不存在估价师知悉的法定优先受偿款</v>
      </c>
      <c r="B18" s="3031"/>
      <c r="C18" s="3031"/>
      <c r="D18" s="3031"/>
    </row>
    <row r="19" spans="1:4" ht="46.5" customHeight="1">
      <c r="A19" s="30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1"/>
      <c r="C19" s="3031"/>
      <c r="D19" s="3031"/>
    </row>
    <row r="20" spans="1:4" ht="57.75" customHeight="1">
      <c r="A20" s="30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1"/>
      <c r="C20" s="3031"/>
      <c r="D20" s="3031"/>
    </row>
    <row r="21" spans="1:4" ht="57.75" customHeight="1">
      <c r="A21" s="30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5"/>
      <c r="C21" s="3035"/>
      <c r="D21" s="3035"/>
    </row>
    <row r="22" spans="1:4" ht="18.75" customHeight="1">
      <c r="A22" s="3036" t="s">
        <v>1658</v>
      </c>
      <c r="B22" s="3036"/>
      <c r="C22" s="3036"/>
      <c r="D22" s="3036"/>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33">
        <v>42551</v>
      </c>
      <c r="D31" s="303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42" t="s">
        <v>1669</v>
      </c>
      <c r="B15" s="3037" t="s">
        <v>136</v>
      </c>
      <c r="C15" s="3038"/>
    </row>
    <row r="16" spans="1:7" ht="13.5">
      <c r="A16" s="3043"/>
      <c r="B16" s="3037" t="s">
        <v>69</v>
      </c>
      <c r="C16" s="3038"/>
    </row>
    <row r="17" spans="1:3" ht="13.5">
      <c r="A17" s="3043"/>
      <c r="B17" s="3040" t="s">
        <v>1670</v>
      </c>
      <c r="C17" s="2003" t="s">
        <v>1669</v>
      </c>
    </row>
    <row r="18" spans="1:3" ht="13.5">
      <c r="A18" s="3043"/>
      <c r="B18" s="3040"/>
      <c r="C18" s="2003" t="s">
        <v>1671</v>
      </c>
    </row>
    <row r="19" spans="1:3" ht="13.5">
      <c r="A19" s="3043"/>
      <c r="B19" s="3040"/>
      <c r="C19" s="2003" t="s">
        <v>1672</v>
      </c>
    </row>
    <row r="20" spans="1:3" ht="13.5">
      <c r="A20" s="3044"/>
      <c r="B20" s="3039" t="s">
        <v>1673</v>
      </c>
      <c r="C20" s="3038"/>
    </row>
    <row r="21" spans="1:3" ht="13.5">
      <c r="A21" s="2004" t="s">
        <v>1674</v>
      </c>
      <c r="B21" s="2005"/>
      <c r="C21" s="2006"/>
    </row>
    <row r="22" spans="1:3" ht="13.5">
      <c r="A22" s="3041" t="s">
        <v>1675</v>
      </c>
      <c r="B22" s="3039" t="s">
        <v>1676</v>
      </c>
      <c r="C22" s="3038"/>
    </row>
    <row r="23" spans="1:3" ht="13.5">
      <c r="A23" s="3041"/>
      <c r="B23" s="3039" t="s">
        <v>1677</v>
      </c>
      <c r="C23" s="3038"/>
    </row>
    <row r="24" spans="1:3" ht="13.5">
      <c r="A24" s="3041"/>
      <c r="B24" s="3039" t="s">
        <v>1678</v>
      </c>
      <c r="C24" s="3038"/>
    </row>
    <row r="25" spans="1:3" ht="13.5">
      <c r="A25" s="3041"/>
      <c r="B25" s="3040" t="s">
        <v>1679</v>
      </c>
      <c r="C25" s="2003" t="s">
        <v>1680</v>
      </c>
    </row>
    <row r="26" spans="1:3" ht="13.5">
      <c r="A26" s="3041"/>
      <c r="B26" s="3040"/>
      <c r="C26" s="2003" t="s">
        <v>1681</v>
      </c>
    </row>
    <row r="27" spans="1:3" ht="13.5">
      <c r="A27" s="3041"/>
      <c r="B27" s="3040"/>
      <c r="C27" s="2003" t="s">
        <v>1682</v>
      </c>
    </row>
    <row r="28" spans="1:3" ht="13.5">
      <c r="A28" s="3041"/>
      <c r="B28" s="3040"/>
      <c r="C28" s="2003" t="s">
        <v>1683</v>
      </c>
    </row>
    <row r="29" spans="1:3" ht="13.5">
      <c r="A29" s="3041"/>
      <c r="B29" s="3040"/>
      <c r="C29" s="2003" t="s">
        <v>1684</v>
      </c>
    </row>
    <row r="30" spans="1:3" ht="13.5">
      <c r="A30" s="3041"/>
      <c r="B30" s="3040"/>
      <c r="C30" s="2003" t="s">
        <v>1685</v>
      </c>
    </row>
    <row r="31" spans="1:3" ht="13.5">
      <c r="A31" s="3041"/>
      <c r="B31" s="3040"/>
      <c r="C31" s="2003" t="s">
        <v>1686</v>
      </c>
    </row>
    <row r="32" spans="1:3" ht="13.5">
      <c r="A32" s="3041"/>
      <c r="B32" s="3040"/>
      <c r="C32" s="2003" t="s">
        <v>1687</v>
      </c>
    </row>
    <row r="33" spans="1:3" ht="13.5">
      <c r="A33" s="3041"/>
      <c r="B33" s="3040"/>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43326</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43359</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3040</v>
      </c>
      <c r="B12" s="1025">
        <v>1120110054</v>
      </c>
      <c r="C12" s="2944">
        <v>43937</v>
      </c>
      <c r="D12" s="1705" t="s">
        <v>3040</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4">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45" t="s">
        <v>846</v>
      </c>
      <c r="B25" s="3045"/>
      <c r="C25" s="3045"/>
      <c r="D25" s="3045"/>
      <c r="E25" s="3045"/>
      <c r="F25" s="3045"/>
      <c r="G25" s="3045"/>
    </row>
    <row r="26" spans="1:7" s="1028" customFormat="1" ht="24" customHeight="1">
      <c r="A26" s="3046" t="s">
        <v>847</v>
      </c>
      <c r="B26" s="3046"/>
      <c r="C26" s="3047"/>
      <c r="D26" s="3048" t="s">
        <v>848</v>
      </c>
      <c r="E26" s="3046"/>
      <c r="F26" s="3046"/>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收益法</vt:lpstr>
      <vt:lpstr>比较法-工业</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结果表 (净值)</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2018-08-14T03:10:30Z</dcterms:modified>
</cp:coreProperties>
</file>