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 i="39" l="1"/>
  <c r="I7" i="39"/>
  <c r="H23" i="68" l="1"/>
  <c r="J23" i="68"/>
  <c r="O23" i="68" s="1"/>
  <c r="I40" i="39" l="1"/>
  <c r="E47" i="70" l="1"/>
  <c r="I47" i="70"/>
  <c r="G47" i="70"/>
  <c r="I13" i="3"/>
  <c r="I13" i="68"/>
  <c r="N13" i="68" s="1"/>
  <c r="N4" i="68"/>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F46" i="70" l="1"/>
  <c r="AA46" i="70" s="1"/>
  <c r="W21" i="70"/>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C24" i="68"/>
  <c r="B24" i="68"/>
  <c r="D23" i="68"/>
  <c r="D22" i="68"/>
  <c r="D21" i="68"/>
  <c r="D20" i="68"/>
  <c r="D19" i="68"/>
  <c r="D18" i="68"/>
  <c r="D17" i="68"/>
  <c r="D16" i="68"/>
  <c r="D13" i="68"/>
  <c r="D14" i="68"/>
  <c r="D15" i="68"/>
  <c r="D12" i="68"/>
  <c r="S46" i="70" l="1"/>
  <c r="D24" i="68"/>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3" i="67"/>
  <c r="F8" i="67"/>
  <c r="B9" i="67"/>
  <c r="F11" i="67"/>
  <c r="E13" i="67"/>
  <c r="E8" i="67"/>
  <c r="B8" i="67"/>
  <c r="E11" i="67"/>
  <c r="F12" i="67"/>
  <c r="E12" i="67"/>
  <c r="B14" i="67"/>
  <c r="E9" i="67"/>
  <c r="F13" i="67"/>
  <c r="B12" i="67"/>
  <c r="E10" i="67"/>
  <c r="F14" i="67"/>
  <c r="B11" i="67"/>
  <c r="F9" i="67"/>
  <c r="B10" i="67"/>
  <c r="E14"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N6" i="65"/>
  <c r="N5" i="65"/>
  <c r="N4" i="65"/>
  <c r="J7" i="65"/>
  <c r="C4" i="65" l="1"/>
  <c r="B39" i="1" s="1"/>
  <c r="I7" i="65"/>
  <c r="I3" i="65"/>
  <c r="I5" i="65"/>
  <c r="J3" i="65"/>
  <c r="J4" i="65"/>
  <c r="I6" i="65"/>
  <c r="I4" i="65"/>
  <c r="J6" i="65"/>
  <c r="J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AA13" i="39" l="1"/>
  <c r="BA28" i="3"/>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F10" i="44"/>
  <c r="M10" i="44"/>
  <c r="M25" i="44"/>
  <c r="F18" i="44"/>
  <c r="F11" i="44"/>
  <c r="M6" i="15"/>
  <c r="J17" i="44"/>
  <c r="M9" i="15"/>
  <c r="M8" i="44"/>
  <c r="L49" i="44"/>
  <c r="F28" i="44"/>
  <c r="M30" i="44"/>
  <c r="F39" i="44"/>
  <c r="F13" i="15"/>
  <c r="F15" i="44"/>
  <c r="M26" i="44"/>
  <c r="F8" i="44"/>
  <c r="M8" i="15"/>
  <c r="M26" i="15"/>
  <c r="F9" i="44"/>
  <c r="F40" i="44"/>
  <c r="J36" i="15"/>
  <c r="M24" i="44"/>
  <c r="M23" i="15"/>
  <c r="M28" i="44"/>
  <c r="L48" i="44"/>
  <c r="M11" i="44"/>
  <c r="M31" i="44"/>
  <c r="F36" i="15"/>
  <c r="F38" i="44"/>
  <c r="F43" i="44"/>
  <c r="S34" i="39" l="1"/>
  <c r="W34" i="39"/>
  <c r="AZ144" i="3"/>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F37" i="15"/>
  <c r="M22" i="15"/>
  <c r="F40" i="15"/>
  <c r="F9" i="15"/>
  <c r="F26" i="15"/>
  <c r="M24" i="15"/>
  <c r="L48" i="15"/>
  <c r="F8" i="15"/>
  <c r="F38" i="15"/>
  <c r="M29" i="15"/>
  <c r="J15" i="15"/>
  <c r="M28" i="15"/>
  <c r="L47" i="15"/>
  <c r="F16" i="15"/>
  <c r="F6" i="15"/>
  <c r="F43" i="15"/>
  <c r="F7" i="15"/>
  <c r="F42"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F33" i="12"/>
  <c r="M29" i="44"/>
  <c r="AE8" i="1"/>
  <c r="M27" i="15"/>
  <c r="L52" i="44"/>
  <c r="G43" i="35" l="1"/>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1" i="15"/>
  <c r="F46" i="44"/>
  <c r="F68" i="15" l="1"/>
  <c r="G53" i="70"/>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C19" i="44"/>
  <c r="E7" i="67"/>
  <c r="D22" i="12"/>
  <c r="C17" i="15"/>
  <c r="D16" i="12"/>
  <c r="C15" i="12"/>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M23" i="44"/>
  <c r="F35" i="15"/>
  <c r="M21" i="15"/>
  <c r="F37" i="44"/>
  <c r="B7" i="67"/>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6" i="44"/>
  <c r="C14" i="15"/>
  <c r="C13" i="12"/>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19" i="9"/>
  <c r="C20"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D19" i="9"/>
  <c r="B4" i="12"/>
  <c r="G19" i="9" l="1"/>
  <c r="D22" i="9"/>
  <c r="L44" i="9"/>
  <c r="B3" i="12"/>
  <c r="D20" i="9"/>
  <c r="D21" i="9"/>
  <c r="B5" i="12"/>
  <c r="N43" i="9" l="1"/>
  <c r="D27" i="9"/>
  <c r="C32" i="9"/>
  <c r="O38" i="9" s="1"/>
  <c r="G22" i="9"/>
  <c r="G20" i="9"/>
  <c r="G21"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<sst xmlns="http://schemas.openxmlformats.org/spreadsheetml/2006/main" count="8234" uniqueCount="3456">
  <si>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</si>
  <si>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</si>
  <si>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</si>
  <si>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</si>
  <si>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</si>
  <si>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</si>
  <si>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</si>
  <si>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</si>
  <si>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</si>
  <si>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</si>
  <si>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</si>
  <si>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</si>
  <si>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</si>
  <si>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</si>
  <si>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</si>
  <si>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</si>
  <si>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</si>
  <si>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</si>
  <si>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</si>
  <si>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</si>
  <si>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</si>
  <si>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</si>
  <si>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</si>
  <si>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</si>
  <si>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</si>
  <si>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</si>
  <si>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</si>
  <si>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</si>
  <si>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</si>
  <si>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</si>
  <si>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</si>
  <si>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</si>
  <si>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</si>
  <si>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</si>
  <si>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</si>
  <si>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</si>
  <si>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</si>
  <si>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</si>
  <si>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</si>
  <si>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</si>
  <si>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</si>
  <si>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</si>
  <si>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</si>
  <si>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</si>
  <si>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</si>
  <si>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</si>
  <si>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</si>
  <si>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</si>
  <si>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</si>
  <si>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</si>
  <si>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</si>
  <si>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</si>
  <si>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</si>
  <si>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</si>
  <si>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</si>
  <si>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</si>
  <si>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</si>
  <si>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</si>
  <si>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</si>
  <si>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</si>
  <si>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</si>
  <si>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</si>
  <si>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</si>
  <si>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</si>
  <si>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</si>
  <si>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</si>
  <si>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</si>
  <si>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</si>
  <si>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</si>
  <si>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</si>
  <si>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</si>
  <si>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</si>
  <si>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</si>
  <si>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</si>
  <si>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</si>
  <si>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</si>
  <si>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</si>
  <si>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</si>
  <si>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</si>
  <si>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</si>
  <si>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</si>
  <si>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</si>
  <si>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</si>
  <si>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</si>
  <si>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</si>
  <si>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</si>
  <si>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</si>
  <si>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</si>
  <si>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</si>
  <si>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</si>
  <si>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</si>
  <si>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</si>
  <si>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</si>
  <si>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</si>
  <si>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</si>
  <si>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</si>
  <si>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</si>
  <si>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</si>
  <si>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</si>
  <si>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</si>
  <si>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</si>
  <si>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</si>
  <si>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</si>
  <si>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</si>
  <si>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</si>
  <si>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</si>
  <si>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</si>
  <si>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</si>
  <si>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</si>
  <si>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</si>
  <si>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</si>
  <si>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</si>
  <si>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</si>
  <si>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</si>
  <si>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</si>
  <si>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</si>
  <si>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</si>
  <si>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</si>
  <si>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</si>
  <si>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</si>
  <si>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</si>
  <si>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</si>
  <si>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</si>
  <si>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</si>
  <si>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</si>
  <si>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</si>
  <si>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</si>
  <si>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</si>
  <si>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</si>
  <si>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</si>
  <si>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</si>
  <si>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</si>
  <si>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</si>
  <si>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</si>
  <si>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</si>
  <si>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</si>
  <si>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</si>
  <si>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</si>
  <si>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</si>
  <si>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</si>
  <si>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</si>
  <si>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</si>
  <si>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</si>
  <si>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</si>
  <si>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</si>
  <si>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</si>
  <si>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</si>
  <si>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</si>
  <si>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</si>
  <si>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</si>
  <si>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</si>
  <si>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</si>
  <si>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</si>
  <si>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</si>
  <si>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</si>
  <si>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</si>
  <si>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</si>
  <si>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</si>
  <si>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</si>
  <si>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</si>
  <si>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</si>
  <si>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</si>
  <si>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</si>
  <si>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</si>
  <si>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</si>
  <si>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</si>
  <si>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</si>
  <si>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</si>
  <si>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</si>
  <si>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</si>
  <si>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</si>
  <si>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</si>
  <si>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</si>
  <si>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</si>
  <si>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</si>
  <si>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</si>
  <si>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</si>
  <si>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</si>
  <si>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</si>
  <si>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</si>
  <si>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</si>
  <si>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</si>
  <si>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</si>
  <si>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</si>
  <si>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</si>
  <si>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</si>
  <si>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</si>
  <si>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</si>
  <si>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</si>
  <si>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</si>
  <si>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</si>
  <si>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</si>
  <si>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</si>
  <si>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</si>
  <si>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</si>
  <si>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</si>
  <si>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</si>
  <si>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</si>
  <si>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</si>
  <si>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</si>
  <si>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</si>
  <si>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</si>
  <si>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</si>
  <si>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</si>
  <si>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</si>
  <si>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</si>
  <si>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</si>
  <si>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</si>
  <si>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</si>
  <si>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</si>
  <si>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</si>
  <si>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</si>
  <si>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</si>
  <si>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</si>
  <si>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</si>
  <si>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</si>
  <si>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</si>
  <si>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</si>
  <si>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</si>
  <si>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</si>
  <si>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</si>
  <si>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</si>
  <si>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</si>
  <si>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</si>
  <si>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</si>
  <si>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</si>
  <si>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</si>
  <si>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</si>
  <si>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</si>
  <si>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</si>
  <si>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</si>
  <si>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</si>
  <si>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</si>
  <si>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</si>
  <si>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</si>
  <si>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</si>
  <si>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</si>
  <si>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</si>
  <si>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</si>
  <si>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</si>
  <si>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</si>
  <si>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</si>
  <si>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</si>
  <si>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</si>
  <si>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</si>
  <si>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</si>
  <si>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</si>
  <si>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</si>
  <si>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</si>
  <si>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</si>
  <si>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</si>
  <si>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</si>
  <si>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</si>
  <si>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</si>
  <si>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</si>
  <si>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</si>
  <si>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</si>
  <si>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</si>
  <si>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</si>
  <si>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</si>
  <si>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</si>
  <si>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</si>
  <si>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</si>
  <si>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</si>
  <si>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</si>
  <si>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</si>
  <si>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</si>
  <si>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</si>
  <si>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</si>
  <si>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</si>
  <si>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</si>
  <si>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</si>
  <si>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</si>
  <si>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</si>
  <si>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</si>
  <si>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</si>
  <si>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</si>
  <si>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</si>
  <si>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</si>
  <si>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</si>
  <si>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</si>
  <si>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</si>
  <si>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</si>
  <si>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</si>
  <si>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</si>
  <si>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</si>
  <si>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</si>
  <si>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</si>
  <si>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</si>
  <si>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</si>
  <si>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</si>
  <si>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</si>
  <si>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</si>
  <si>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</si>
  <si>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</si>
  <si>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</si>
  <si>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</si>
  <si>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</si>
  <si>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</si>
  <si>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</si>
  <si>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</si>
  <si>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</si>
  <si>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</si>
  <si>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</si>
  <si>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</si>
  <si>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</si>
  <si>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</si>
  <si>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</si>
  <si>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</si>
  <si>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</si>
  <si>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</si>
  <si>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</si>
  <si>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</si>
  <si>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</si>
  <si>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</si>
  <si>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</si>
  <si>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</si>
  <si>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</si>
  <si>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</si>
  <si>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</si>
  <si>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</si>
  <si>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</si>
  <si>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</si>
  <si>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</si>
  <si>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</si>
  <si>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</si>
  <si>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</si>
  <si>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</si>
  <si>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</si>
  <si>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</si>
  <si>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</si>
  <si>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</si>
  <si>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</si>
  <si>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</si>
  <si>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</si>
  <si>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</si>
  <si>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</si>
  <si>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</si>
  <si>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</si>
  <si>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</si>
  <si>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</si>
  <si>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</si>
  <si>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</si>
  <si>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</si>
  <si>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</si>
  <si>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</si>
  <si>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</si>
  <si>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</si>
  <si>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</si>
  <si>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</si>
  <si>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</si>
  <si>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</si>
  <si>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</si>
  <si>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</si>
  <si>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</si>
  <si>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</si>
  <si>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</si>
  <si>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</si>
  <si>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</si>
  <si>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</si>
  <si>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</si>
  <si>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</si>
  <si>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</si>
  <si>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</si>
  <si>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</si>
  <si>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</si>
  <si>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</si>
  <si>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</si>
  <si>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</si>
  <si>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</si>
  <si>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</si>
  <si>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</si>
  <si>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</si>
  <si>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</si>
  <si>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</si>
  <si>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</si>
  <si>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</si>
  <si>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</si>
  <si>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</si>
  <si>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</si>
  <si>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</si>
  <si>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</si>
  <si>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</si>
  <si>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</si>
  <si>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</si>
  <si>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</si>
  <si>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</si>
  <si>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</si>
  <si>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</si>
  <si>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</si>
  <si>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</si>
  <si>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</si>
  <si>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</si>
  <si>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</si>
  <si>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</si>
  <si>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</si>
  <si>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</si>
  <si>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</si>
  <si>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</si>
  <si>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</si>
  <si>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</si>
  <si>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</si>
  <si>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</si>
  <si>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</si>
  <si>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</si>
  <si>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</si>
  <si>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</si>
  <si>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</si>
  <si>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</si>
  <si>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</si>
  <si>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</si>
  <si>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</si>
  <si>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</si>
  <si>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</si>
  <si>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</si>
  <si>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</si>
  <si>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</si>
  <si>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</si>
  <si>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</si>
  <si>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</si>
  <si>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</si>
  <si>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</si>
  <si>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</si>
  <si>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</si>
  <si>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</si>
  <si>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</si>
  <si>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</si>
  <si>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</si>
  <si>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</si>
  <si>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</si>
  <si>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</si>
  <si>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</si>
  <si>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</si>
  <si>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</si>
  <si>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</si>
  <si>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</si>
  <si>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</si>
  <si>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</si>
  <si>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</si>
  <si>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</si>
  <si>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</si>
  <si>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</si>
  <si>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</si>
  <si>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</si>
  <si>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</si>
  <si>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</si>
  <si>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</si>
  <si>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</si>
  <si>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</si>
  <si>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</si>
  <si>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</si>
  <si>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</si>
  <si>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</si>
  <si>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</si>
  <si>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</si>
  <si>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</si>
  <si>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</si>
  <si>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</si>
  <si>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</si>
  <si>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</si>
  <si>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</si>
  <si>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</si>
  <si>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</si>
  <si>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</si>
  <si>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</si>
  <si>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</si>
  <si>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</si>
  <si>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</si>
  <si>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</si>
  <si>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</si>
  <si>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</si>
  <si>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</si>
  <si>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</si>
  <si>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</si>
  <si>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</si>
  <si>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</si>
  <si>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</si>
  <si>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</si>
  <si>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</si>
  <si>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</si>
  <si>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</si>
  <si>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</si>
  <si>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</si>
  <si>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</si>
  <si>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</si>
  <si>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</si>
  <si>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</si>
  <si>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</si>
  <si>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</si>
  <si>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</si>
  <si>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</si>
  <si>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</si>
  <si>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</si>
  <si>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</si>
  <si>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</si>
  <si>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</si>
  <si>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</si>
  <si>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</si>
  <si>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</si>
  <si>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</si>
  <si>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</si>
  <si>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</si>
  <si>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</si>
  <si>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</si>
  <si>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</si>
  <si>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</si>
  <si>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</si>
  <si>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</si>
  <si>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</si>
  <si>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</si>
  <si>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</si>
  <si>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</si>
  <si>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</si>
  <si>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</si>
  <si>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</si>
  <si>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</si>
  <si>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</si>
  <si>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</si>
  <si>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</si>
  <si>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</si>
  <si>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</si>
  <si>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</si>
  <si>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</si>
  <si>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</si>
  <si>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</si>
  <si>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</si>
  <si>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</si>
  <si>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</si>
  <si>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</si>
  <si>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</si>
  <si>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</si>
  <si>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</si>
  <si>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</si>
  <si>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</si>
  <si>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</si>
  <si>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</si>
  <si>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</si>
  <si>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</si>
  <si>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</si>
  <si>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</si>
  <si>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</si>
  <si>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</si>
  <si>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</si>
  <si>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</si>
  <si>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</si>
  <si>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</si>
  <si>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</si>
  <si>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</si>
  <si>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</si>
  <si>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</si>
  <si>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</si>
  <si>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</si>
  <si>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</si>
  <si>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</si>
  <si>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</si>
  <si>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</si>
  <si>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</si>
  <si>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</si>
  <si>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</si>
  <si>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</si>
  <si>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</si>
  <si>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</si>
  <si>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</si>
  <si>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</si>
  <si>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</si>
  <si>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</si>
  <si>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</si>
  <si>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</si>
  <si>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</si>
  <si>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</si>
  <si>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</si>
  <si>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</si>
  <si>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</si>
  <si>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</si>
  <si>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</si>
  <si>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</si>
  <si>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</si>
  <si>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</si>
  <si>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</si>
  <si>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</si>
  <si>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</si>
  <si>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</si>
  <si>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</si>
  <si>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</si>
  <si>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</si>
  <si>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</si>
  <si>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</si>
  <si>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</si>
  <si>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</si>
  <si>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</si>
  <si>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</si>
  <si>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</si>
  <si>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</si>
  <si>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</si>
  <si>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</si>
  <si>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</si>
  <si>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</si>
  <si>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</si>
  <si>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</si>
  <si>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</si>
  <si>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</si>
  <si>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</si>
  <si>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</si>
  <si>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</si>
  <si>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</si>
  <si>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</si>
  <si>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</si>
  <si>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</si>
  <si>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</si>
  <si>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</si>
  <si>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</si>
  <si>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</si>
  <si>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</si>
  <si>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</si>
  <si>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</si>
  <si>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</si>
  <si>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</si>
  <si>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</si>
  <si>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</si>
  <si>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</si>
  <si>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</si>
  <si>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</si>
  <si>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</si>
  <si>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</si>
  <si>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</si>
  <si>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</si>
  <si>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</si>
  <si>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</si>
  <si>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</si>
  <si>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</si>
  <si>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</si>
  <si>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</si>
  <si>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</si>
  <si>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</si>
  <si>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</si>
  <si>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</si>
  <si>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</si>
  <si>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</si>
  <si>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</si>
  <si>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</si>
  <si>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</si>
  <si>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</si>
  <si>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</si>
  <si>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</si>
  <si>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</si>
  <si>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</si>
  <si>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</si>
  <si>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</si>
  <si>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</si>
  <si>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</si>
  <si>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</si>
  <si>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</si>
  <si>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</si>
  <si>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</si>
  <si>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</si>
  <si>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</si>
  <si>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</si>
  <si>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</si>
  <si>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</si>
  <si>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</si>
  <si>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</si>
  <si>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</si>
  <si>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</si>
  <si>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</si>
  <si>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</si>
  <si>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</si>
  <si>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</si>
  <si>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</si>
  <si>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</si>
  <si>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</si>
  <si>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</si>
  <si>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</si>
  <si>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</si>
  <si>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</si>
  <si>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</si>
  <si>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</si>
  <si>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</si>
  <si>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</si>
  <si>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</si>
  <si>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</si>
  <si>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</si>
  <si>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</si>
  <si>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</si>
  <si>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</si>
  <si>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</si>
  <si>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</si>
  <si>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</si>
  <si>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</si>
  <si>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</si>
  <si>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</si>
  <si>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</si>
  <si>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</si>
  <si>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</si>
  <si>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</si>
  <si>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</si>
  <si>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</si>
  <si>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</si>
  <si>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</si>
  <si>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</si>
  <si>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</si>
  <si>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</si>
  <si>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</si>
  <si>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</si>
  <si>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</si>
  <si>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</si>
  <si>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</si>
  <si>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</si>
  <si>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</si>
  <si>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</si>
  <si>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</si>
  <si>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</si>
  <si>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</si>
  <si>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</si>
  <si>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</si>
  <si>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</si>
  <si>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</si>
  <si>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</si>
  <si>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</si>
  <si>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</si>
  <si>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</si>
  <si>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</si>
  <si>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</si>
  <si>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</si>
  <si>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</si>
  <si>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</si>
  <si>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</si>
  <si>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</si>
  <si>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</si>
  <si>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</si>
  <si>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</si>
  <si>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</si>
  <si>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</si>
  <si>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</si>
  <si>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</si>
  <si>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</si>
  <si>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</si>
  <si>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</si>
  <si>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</si>
  <si>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</si>
  <si>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</si>
  <si>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</si>
  <si>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</si>
  <si>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</si>
  <si>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</si>
  <si>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</si>
  <si>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</si>
  <si>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</si>
  <si>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</si>
  <si>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</si>
  <si>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</si>
  <si>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</si>
  <si>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</si>
  <si>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</si>
  <si>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</si>
  <si>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</si>
  <si>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</si>
  <si>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</si>
  <si>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</si>
  <si>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</si>
  <si>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</si>
  <si>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</si>
  <si>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</si>
  <si>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</si>
  <si>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</si>
  <si>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</si>
  <si>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</si>
  <si>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</si>
  <si>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</si>
  <si>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</si>
  <si>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</si>
  <si>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</si>
  <si>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</si>
  <si>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</si>
  <si>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</si>
  <si>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</si>
  <si>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</si>
  <si>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</si>
  <si>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</si>
  <si>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</si>
  <si>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</si>
  <si>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</si>
  <si>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</si>
  <si>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</si>
  <si>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</si>
  <si>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</si>
  <si>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</si>
  <si>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</si>
  <si>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</si>
  <si>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</si>
  <si>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</si>
  <si>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</si>
  <si>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</si>
  <si>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</si>
  <si>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</si>
  <si>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</si>
  <si>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</si>
  <si>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</si>
  <si>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</si>
  <si>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</si>
  <si>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</si>
  <si>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</si>
  <si>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</si>
  <si>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</si>
  <si>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</si>
  <si>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</si>
  <si>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</si>
  <si>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</si>
  <si>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</si>
  <si>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</si>
  <si>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</si>
  <si>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</si>
  <si>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</si>
  <si>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</si>
  <si>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</si>
  <si>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</si>
  <si>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</si>
  <si>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</si>
  <si>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</si>
  <si>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</si>
  <si>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</si>
  <si>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</si>
  <si>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</si>
  <si>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</si>
  <si>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</si>
  <si>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</si>
  <si>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</si>
  <si>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</si>
  <si>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</si>
  <si>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</si>
  <si>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</si>
  <si>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</si>
  <si>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</si>
  <si>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</si>
  <si>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</si>
  <si>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</si>
  <si>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</si>
  <si>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</si>
  <si>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</si>
  <si>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</si>
  <si>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</si>
  <si>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</si>
  <si>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</si>
  <si>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</si>
  <si>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</si>
  <si>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</si>
  <si>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</si>
  <si>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</si>
  <si>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</si>
  <si>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</si>
  <si>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</si>
  <si>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</si>
  <si>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</si>
  <si>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</si>
  <si>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</si>
  <si>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</si>
  <si>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</si>
  <si>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</si>
  <si>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</si>
  <si>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</si>
  <si>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</si>
  <si>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</si>
  <si>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</si>
  <si>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</si>
  <si>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</si>
  <si>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</si>
  <si>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</si>
  <si>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</si>
  <si>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</si>
  <si>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</si>
  <si>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</si>
  <si>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</si>
  <si>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</si>
  <si>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</si>
  <si>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</si>
  <si>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</si>
  <si>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</si>
  <si>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</si>
  <si>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</si>
  <si>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</si>
  <si>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</si>
  <si>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</si>
  <si>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</si>
  <si>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</si>
  <si>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</si>
  <si>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</si>
  <si>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</si>
  <si>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</si>
  <si>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</si>
  <si>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</si>
  <si>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</si>
  <si>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</si>
  <si>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</si>
  <si>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</si>
  <si>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</si>
  <si>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</si>
  <si>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</si>
  <si>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</si>
  <si>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</si>
  <si>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</si>
  <si>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</si>
  <si>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</si>
  <si>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</si>
  <si>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</si>
  <si>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</si>
  <si>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</si>
  <si>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</si>
  <si>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</si>
  <si>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</si>
  <si>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</si>
  <si>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</si>
  <si>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</si>
  <si>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</si>
  <si>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</si>
  <si>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</si>
  <si>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</si>
  <si>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</si>
  <si>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</si>
  <si>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</si>
  <si>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</si>
  <si>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</si>
  <si>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</si>
  <si>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</si>
  <si>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</si>
  <si>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</si>
  <si>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</si>
  <si>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</si>
  <si>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</si>
  <si>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</si>
  <si>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</si>
  <si>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</si>
  <si>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</si>
  <si>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</si>
  <si>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</si>
  <si>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</si>
  <si>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</si>
  <si>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</si>
  <si>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</si>
  <si>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</si>
  <si>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</si>
  <si>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</si>
  <si>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</si>
  <si>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</si>
  <si>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</si>
  <si>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</si>
  <si>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</si>
  <si>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</si>
  <si>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</si>
  <si>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</si>
  <si>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</si>
  <si>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</si>
  <si>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</si>
  <si>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</si>
  <si>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</si>
  <si>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</si>
  <si>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</si>
  <si>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</si>
  <si>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</si>
  <si>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</si>
  <si>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</si>
  <si>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</si>
  <si>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</si>
  <si>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</si>
  <si>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</si>
  <si>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</si>
  <si>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</si>
  <si>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</si>
  <si>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</si>
  <si>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</si>
  <si>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</si>
  <si>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</si>
  <si>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</si>
  <si>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</si>
  <si>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</si>
  <si>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</si>
  <si>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</si>
  <si>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</si>
  <si>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</si>
  <si>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</si>
  <si>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</si>
  <si>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</si>
  <si>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</si>
  <si>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</si>
  <si>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</si>
  <si>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</si>
  <si>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</si>
  <si>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</si>
  <si>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</si>
  <si>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</si>
  <si>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</si>
  <si>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</si>
  <si>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</si>
  <si>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</si>
  <si>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</si>
  <si>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</si>
  <si>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</si>
  <si>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</si>
  <si>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</si>
  <si>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</si>
  <si>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</si>
  <si>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</si>
  <si>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</si>
  <si>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</si>
  <si>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</si>
  <si>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</si>
  <si>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</si>
  <si>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</si>
  <si>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</si>
  <si>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</si>
  <si>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</si>
  <si>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</si>
  <si>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</si>
  <si>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</si>
  <si>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</si>
  <si>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</si>
  <si>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</si>
  <si>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</si>
  <si>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</si>
  <si>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</si>
  <si>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</si>
  <si>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</si>
  <si>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</si>
  <si>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</si>
  <si>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</si>
  <si>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</si>
  <si>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</si>
  <si>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</si>
  <si>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</si>
  <si>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</si>
  <si>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</si>
  <si>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</si>
  <si>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</si>
  <si>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</si>
  <si>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</si>
  <si>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</si>
  <si>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</si>
  <si>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</si>
  <si>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</si>
  <si>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</si>
  <si>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</si>
  <si>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</si>
  <si>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</si>
  <si>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</si>
  <si>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</si>
  <si>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</si>
  <si>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</si>
  <si>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</si>
  <si>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</si>
  <si>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</si>
  <si>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</si>
  <si>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</si>
  <si>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</si>
  <si>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</si>
  <si>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</si>
  <si>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</si>
  <si>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</si>
  <si>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</si>
  <si>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</si>
  <si>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</si>
  <si>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</si>
  <si>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</si>
  <si>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</si>
  <si>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</si>
  <si>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</si>
  <si>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</si>
  <si>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</si>
  <si>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</si>
  <si>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</si>
  <si>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</si>
  <si>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</si>
  <si>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</si>
  <si>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</si>
  <si>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</si>
  <si>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</si>
  <si>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</si>
  <si>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</si>
  <si>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</si>
  <si>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</si>
  <si>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</si>
  <si>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</si>
  <si>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</si>
  <si>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</si>
  <si>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</si>
  <si>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</si>
  <si>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</si>
  <si>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</si>
  <si>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</si>
  <si>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</si>
  <si>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</si>
  <si>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</si>
  <si>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</si>
  <si>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</si>
  <si>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</si>
  <si>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</si>
  <si>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</si>
  <si>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</si>
  <si>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</si>
  <si>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</si>
  <si>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</si>
  <si>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</si>
  <si>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</si>
  <si>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</si>
  <si>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</si>
  <si>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</si>
  <si>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</si>
  <si>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</si>
  <si>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</si>
  <si>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</si>
  <si>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</si>
  <si>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</si>
  <si>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</si>
  <si>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</si>
  <si>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</si>
  <si>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</si>
  <si>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</si>
  <si>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</si>
  <si>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</si>
  <si>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</si>
  <si>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</si>
  <si>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</si>
  <si>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</si>
  <si>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</si>
  <si>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</si>
  <si>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</si>
  <si>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</si>
  <si>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</si>
  <si>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</si>
  <si>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</si>
  <si>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</si>
  <si>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</si>
  <si>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</si>
  <si>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</si>
  <si>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</si>
  <si>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</si>
  <si>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</si>
  <si>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</si>
  <si>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</si>
  <si>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</si>
  <si>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</si>
  <si>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</si>
  <si>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</si>
  <si>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</si>
  <si>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</si>
  <si>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</si>
  <si>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</si>
  <si>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</si>
  <si>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</si>
  <si>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</si>
  <si>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</si>
  <si>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</si>
  <si>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</si>
  <si>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</si>
  <si>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</si>
  <si>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</si>
  <si>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</si>
  <si>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</si>
  <si>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</si>
  <si>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</si>
  <si>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</si>
  <si>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</si>
  <si>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</si>
  <si>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</si>
  <si>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</si>
  <si>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</si>
  <si>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</si>
  <si>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</si>
  <si>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</si>
  <si>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</si>
  <si>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</si>
  <si>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</si>
  <si>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</si>
  <si>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</si>
  <si>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</si>
  <si>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</si>
  <si>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</si>
  <si>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</si>
  <si>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</si>
  <si>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</si>
  <si>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</si>
  <si>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</si>
  <si>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</si>
  <si>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</si>
  <si>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</si>
  <si>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</si>
  <si>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</si>
  <si>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</si>
  <si>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</si>
  <si>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</si>
  <si>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</si>
  <si>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</si>
  <si>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</si>
  <si>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</si>
  <si>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</si>
  <si>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</si>
  <si>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</si>
  <si>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</si>
  <si>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</si>
  <si>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</si>
  <si>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</si>
  <si>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</si>
  <si>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</si>
  <si>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</si>
  <si>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</si>
  <si>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</si>
  <si>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</si>
  <si>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</si>
  <si>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</si>
  <si>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</si>
  <si>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</si>
  <si>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</si>
  <si>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</si>
  <si>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</si>
  <si>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</si>
  <si>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</si>
  <si>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</si>
  <si>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</si>
  <si>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</si>
  <si>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</si>
  <si>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</si>
  <si>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</si>
  <si>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</si>
  <si>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</si>
  <si>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</si>
  <si>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</si>
  <si>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</si>
  <si>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</si>
  <si>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</si>
  <si>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</si>
  <si>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</si>
  <si>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</si>
  <si>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</si>
  <si>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</si>
  <si>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</si>
  <si>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</si>
  <si>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</si>
  <si>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</si>
  <si>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</si>
  <si>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</si>
  <si>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</si>
  <si>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</si>
  <si>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</si>
  <si>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</si>
  <si>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</si>
  <si>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</si>
  <si>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</si>
  <si>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</si>
  <si>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</si>
  <si>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</si>
  <si>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</si>
  <si>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</si>
  <si>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</si>
  <si>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</si>
  <si>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</si>
  <si>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</si>
  <si>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</si>
  <si>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</si>
  <si>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</si>
  <si>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</si>
  <si>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</si>
  <si>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</si>
  <si>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</si>
  <si>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</si>
  <si>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</si>
  <si>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</si>
  <si>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</si>
  <si>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</si>
  <si>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</si>
  <si>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</si>
  <si>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</si>
  <si>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</si>
  <si>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</si>
  <si>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</si>
  <si>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</si>
  <si>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</si>
  <si>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</si>
  <si>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</si>
  <si>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</si>
  <si>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</si>
  <si>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</si>
  <si>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</si>
  <si>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</si>
  <si>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</si>
  <si>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</si>
  <si>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</si>
  <si>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</si>
  <si>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</si>
  <si>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</si>
  <si>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</si>
  <si>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</si>
  <si>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</si>
  <si>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</si>
  <si>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</si>
  <si>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</si>
  <si>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</si>
  <si>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</si>
  <si>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</si>
  <si>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</si>
  <si>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</si>
  <si>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</si>
  <si>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</si>
  <si>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</si>
  <si>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</si>
  <si>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</si>
  <si>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</si>
  <si>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</si>
  <si>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</si>
  <si>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</si>
  <si>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</si>
  <si>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</si>
  <si>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</si>
  <si>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</si>
  <si>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</si>
  <si>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</si>
  <si>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</si>
  <si>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</si>
  <si>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</si>
  <si>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</si>
  <si>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</si>
  <si>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</si>
  <si>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</si>
  <si>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</si>
  <si>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</si>
  <si>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</si>
  <si>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</si>
  <si>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</si>
  <si>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</si>
  <si>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</si>
  <si>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</si>
  <si>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</si>
  <si>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</si>
  <si>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</si>
  <si>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</si>
  <si>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</si>
  <si>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</si>
  <si>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</si>
  <si>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</si>
  <si>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</si>
  <si>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</si>
  <si>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</si>
  <si>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</si>
  <si>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</si>
  <si>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</si>
  <si>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</si>
  <si>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</si>
  <si>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</si>
  <si>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</si>
  <si>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</si>
  <si>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</si>
  <si>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</si>
  <si>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</si>
  <si>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</si>
  <si>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</si>
  <si>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</si>
  <si>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</si>
  <si>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</si>
  <si>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</si>
  <si>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</si>
  <si>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</si>
  <si>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</si>
  <si>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</si>
  <si>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</si>
  <si>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</si>
  <si>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</si>
  <si>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</si>
  <si>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</si>
  <si>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</si>
  <si>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</si>
  <si>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</si>
  <si>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</si>
  <si>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</si>
  <si>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</si>
  <si>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</si>
  <si>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</si>
  <si>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</si>
  <si>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</si>
  <si>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</si>
  <si>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</si>
  <si>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</si>
  <si>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</si>
  <si>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</si>
  <si>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</si>
  <si>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</si>
  <si>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</si>
  <si>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</si>
  <si>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</si>
  <si>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</si>
  <si>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</si>
  <si>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</si>
  <si>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</si>
  <si>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</si>
  <si>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</si>
  <si>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</si>
  <si>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</si>
  <si>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</si>
  <si>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</si>
  <si>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</si>
  <si>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</si>
  <si>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</si>
  <si>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</si>
  <si>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</si>
  <si>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</si>
  <si>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</si>
  <si>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</si>
  <si>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</si>
  <si>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</si>
  <si>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</si>
  <si>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</si>
  <si>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</si>
  <si>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</si>
  <si>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</si>
  <si>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</si>
  <si>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</si>
  <si>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</si>
  <si>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</si>
  <si>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</si>
  <si>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</si>
  <si>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</si>
  <si>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</si>
  <si>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</si>
  <si>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</si>
  <si>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</si>
  <si>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</si>
  <si>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</si>
  <si>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</si>
  <si>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</si>
  <si>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</si>
  <si>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</si>
  <si>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</si>
  <si>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</si>
  <si>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</si>
  <si>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</si>
  <si>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</si>
  <si>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</si>
  <si>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</si>
  <si>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</si>
  <si>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</si>
  <si>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</si>
  <si>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</si>
  <si>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</si>
  <si>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</si>
  <si>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</si>
  <si>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</si>
  <si>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</si>
  <si>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</si>
  <si>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</si>
  <si>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</si>
  <si>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</si>
  <si>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</si>
  <si>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</si>
  <si>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</si>
  <si>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</si>
  <si>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</si>
  <si>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</si>
  <si>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</si>
  <si>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</si>
  <si>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</si>
  <si>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</si>
  <si>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</si>
  <si>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</si>
  <si>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</si>
  <si>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</si>
  <si>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</si>
  <si>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</si>
  <si>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</si>
  <si>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</si>
  <si>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</si>
  <si>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</si>
  <si>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</si>
  <si>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</si>
  <si>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</si>
  <si>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</si>
  <si>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</si>
  <si>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</si>
  <si>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</si>
  <si>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</si>
  <si>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</si>
  <si>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</si>
  <si>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</si>
  <si>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</si>
  <si>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</si>
  <si>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</si>
  <si>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</si>
  <si>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</si>
  <si>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</si>
  <si>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</si>
  <si>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</si>
  <si>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</si>
  <si>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</si>
  <si>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</si>
  <si>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</si>
  <si>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</si>
  <si>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</si>
  <si>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</si>
  <si>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</si>
  <si>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</si>
  <si>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</si>
  <si>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</si>
  <si>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</si>
  <si>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</si>
  <si>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</si>
  <si>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</si>
  <si>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</si>
  <si>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</si>
  <si>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</si>
  <si>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</si>
  <si>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</si>
  <si>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</si>
  <si>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</si>
  <si>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</si>
  <si>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</si>
  <si>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</si>
  <si>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</si>
  <si>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</si>
  <si>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</si>
  <si>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</si>
  <si>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</si>
  <si>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</si>
  <si>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</si>
  <si>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</si>
  <si>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</si>
  <si>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</si>
  <si>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</si>
  <si>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</si>
  <si>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</si>
  <si>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</si>
  <si>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</si>
  <si>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</si>
  <si>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</si>
  <si>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</si>
  <si>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</si>
  <si>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</si>
  <si>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</si>
  <si>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</si>
  <si>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</si>
  <si>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</si>
  <si>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</si>
  <si>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</si>
  <si>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</si>
  <si>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</si>
  <si>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</si>
  <si>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</si>
  <si>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</si>
  <si>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</si>
  <si>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</si>
  <si>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</si>
  <si>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</si>
  <si>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</si>
  <si>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</si>
  <si>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</si>
  <si>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</si>
  <si>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</si>
  <si>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</si>
  <si>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</si>
  <si>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</si>
  <si>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</si>
  <si>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</si>
  <si>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</si>
  <si>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</si>
  <si>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</si>
  <si>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</si>
  <si>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</si>
  <si>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</si>
  <si>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</si>
  <si>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</si>
  <si>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</si>
  <si>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</si>
  <si>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</si>
  <si>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</si>
  <si>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</si>
  <si>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</si>
  <si>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</si>
  <si>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</si>
  <si>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</si>
  <si>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</si>
  <si>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</si>
  <si>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</si>
  <si>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</si>
  <si>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</si>
  <si>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</si>
  <si>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</si>
  <si>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</si>
  <si>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</si>
  <si>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</si>
  <si>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</si>
  <si>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</si>
  <si>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</si>
  <si>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</si>
  <si>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</si>
  <si>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</si>
  <si>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</si>
  <si>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</si>
  <si>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</si>
  <si>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</si>
  <si>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</si>
  <si>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</si>
  <si>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</si>
  <si>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</si>
  <si>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</si>
  <si>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</si>
  <si>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</si>
  <si>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</si>
  <si>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</si>
  <si>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</si>
  <si>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</si>
  <si>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</si>
  <si>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</si>
  <si>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</si>
  <si>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</si>
  <si>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</si>
  <si>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</si>
  <si>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</si>
  <si>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</si>
  <si>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</si>
  <si>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</si>
  <si>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</si>
  <si>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</si>
  <si>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</si>
  <si>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</si>
  <si>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</si>
  <si>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</si>
  <si>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</si>
  <si>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</si>
  <si>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</si>
  <si>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</si>
  <si>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</si>
  <si>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</si>
  <si>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</si>
  <si>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</si>
  <si>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</si>
  <si>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</si>
  <si>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</si>
  <si>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</si>
  <si>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</si>
  <si>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</si>
  <si>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</si>
  <si>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</si>
  <si>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</si>
  <si>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</si>
  <si>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</si>
  <si>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</si>
  <si>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</si>
  <si>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</si>
  <si>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</si>
  <si>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</si>
  <si>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</si>
  <si>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</si>
  <si>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</si>
  <si>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</si>
  <si>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</si>
  <si>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</si>
  <si>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</si>
  <si>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</si>
  <si>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</si>
  <si>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</si>
  <si>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</si>
  <si>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</si>
  <si>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</si>
  <si>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</si>
  <si>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</si>
  <si>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</si>
  <si>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</si>
  <si>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</si>
  <si>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</si>
  <si>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</si>
  <si>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</si>
  <si>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</si>
  <si>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</si>
  <si>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</si>
  <si>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</si>
  <si>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</si>
  <si>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</si>
  <si>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</si>
  <si>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</si>
  <si>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</si>
  <si>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</si>
  <si>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</si>
  <si>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</si>
  <si>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</si>
  <si>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</si>
  <si>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</si>
  <si>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</si>
  <si>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</si>
  <si>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</si>
  <si>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</si>
  <si>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</si>
  <si>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</si>
  <si>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</si>
  <si>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</si>
  <si>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</si>
  <si>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</si>
  <si>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</si>
  <si>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</si>
  <si>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</si>
  <si>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</si>
  <si>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</si>
  <si>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</si>
  <si>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</si>
  <si>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</si>
  <si>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</si>
  <si>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</si>
  <si>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</si>
  <si>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</si>
  <si>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</si>
  <si>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</si>
  <si>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</si>
  <si>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</si>
  <si>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</si>
  <si>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</si>
  <si>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</si>
  <si>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</si>
  <si>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</si>
  <si>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</si>
  <si>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</si>
  <si>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</si>
  <si>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</si>
  <si>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</si>
  <si>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</si>
  <si>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</si>
  <si>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</si>
  <si>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</si>
  <si>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</si>
  <si>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</si>
  <si>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</si>
  <si>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</si>
  <si>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</si>
  <si>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</si>
  <si>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</si>
  <si>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</si>
  <si>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</si>
  <si>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</si>
  <si>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</si>
  <si>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</si>
  <si>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</si>
  <si>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</si>
  <si>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</si>
  <si>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</si>
  <si>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</si>
  <si>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</si>
  <si>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</si>
  <si>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</si>
  <si>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</si>
  <si>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</si>
  <si>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</si>
  <si>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</si>
  <si>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</si>
  <si>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</si>
  <si>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</si>
  <si>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</si>
  <si>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</si>
  <si>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</si>
  <si>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</si>
  <si>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</si>
  <si>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</si>
  <si>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</si>
  <si>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</si>
  <si>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</si>
  <si>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</si>
  <si>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</si>
  <si>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</si>
  <si>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</si>
  <si>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</si>
  <si>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</si>
  <si>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</si>
  <si>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</si>
  <si>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</si>
  <si>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</si>
  <si>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</si>
  <si>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</si>
  <si>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</si>
  <si>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</si>
  <si>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</si>
  <si>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</si>
  <si>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</si>
  <si>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</si>
  <si>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</si>
  <si>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</si>
  <si>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</si>
  <si>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</si>
  <si>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</si>
  <si>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</si>
  <si>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</si>
  <si>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</si>
  <si>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</si>
  <si>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</si>
  <si>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</si>
  <si>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</si>
  <si>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</si>
  <si>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</si>
  <si>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</si>
  <si>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</si>
  <si>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</si>
  <si>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</si>
  <si>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</si>
  <si>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</si>
  <si>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</si>
  <si>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</si>
  <si>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</si>
  <si>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</si>
  <si>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</si>
  <si>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</si>
  <si>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</si>
  <si>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</si>
  <si>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</si>
  <si>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</si>
  <si>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</si>
  <si>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</si>
  <si>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</si>
  <si>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</si>
  <si>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</si>
  <si>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</si>
  <si>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</si>
  <si>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</si>
  <si>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</si>
  <si>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</si>
  <si>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</si>
  <si>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</si>
  <si>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</si>
  <si>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</si>
  <si>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</si>
  <si>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</si>
  <si>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</si>
  <si>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</si>
  <si>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</si>
  <si>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</si>
  <si>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</si>
  <si>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</si>
  <si>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</si>
  <si>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</si>
  <si>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</si>
  <si>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</si>
  <si>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</si>
  <si>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</si>
  <si>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</si>
  <si>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</si>
  <si>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</si>
  <si>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</si>
  <si>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</si>
  <si>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</si>
  <si>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</si>
  <si>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</si>
  <si>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</si>
  <si>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</si>
  <si>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</si>
  <si>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</si>
  <si>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</si>
  <si>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</si>
  <si>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</si>
  <si>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</si>
  <si>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</si>
  <si>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</si>
  <si>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</si>
  <si>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</si>
  <si>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</si>
  <si>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</si>
  <si>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</si>
  <si>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</si>
  <si>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</si>
  <si>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</si>
  <si>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</si>
  <si>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</si>
  <si>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</si>
  <si>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</si>
  <si>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</si>
  <si>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</si>
  <si>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</si>
  <si>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</si>
  <si>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</si>
  <si>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</si>
  <si>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</si>
  <si>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</si>
  <si>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</si>
  <si>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</si>
  <si>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</si>
  <si>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</si>
  <si>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</si>
  <si>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</si>
  <si>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</si>
  <si>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</si>
  <si>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</si>
  <si>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</si>
  <si>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</si>
  <si>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</si>
  <si>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</si>
  <si>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</si>
  <si>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</si>
  <si>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</si>
  <si>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</si>
  <si>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</si>
  <si>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</si>
  <si>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</si>
  <si>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</si>
  <si>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</si>
  <si>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</si>
  <si>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</si>
  <si>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</si>
  <si>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</si>
  <si>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</si>
  <si>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</si>
  <si>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</si>
  <si>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</si>
  <si>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</si>
  <si>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</si>
  <si>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</si>
  <si>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</si>
  <si>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</si>
  <si>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</si>
  <si>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</si>
  <si>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</si>
  <si>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</si>
  <si>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</si>
  <si>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</si>
  <si>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</si>
  <si>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</si>
  <si>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</si>
  <si>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</si>
  <si>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</si>
  <si>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</si>
  <si>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</si>
  <si>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</si>
  <si>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</si>
  <si>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</si>
  <si>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</si>
  <si>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</si>
  <si>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</si>
  <si>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</si>
  <si>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</si>
  <si>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</si>
  <si>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</si>
  <si>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</si>
  <si>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</si>
  <si>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</si>
  <si>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</si>
  <si>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</si>
  <si>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</si>
  <si>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</si>
  <si>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</si>
  <si>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</si>
  <si>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</si>
  <si>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</si>
  <si>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</si>
  <si>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</si>
  <si>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</si>
  <si>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</si>
  <si>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</si>
  <si>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</si>
  <si>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</si>
  <si>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</si>
  <si>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</si>
  <si>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</si>
  <si>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</si>
  <si>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</si>
  <si>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</si>
  <si>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</si>
  <si>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</si>
  <si>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</si>
  <si>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</si>
  <si>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</si>
  <si>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</si>
  <si>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</si>
  <si>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</si>
  <si>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</si>
  <si>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</si>
  <si>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</si>
  <si>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</si>
  <si>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</si>
  <si>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</si>
  <si>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</si>
  <si>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</si>
  <si>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</si>
  <si>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</si>
  <si>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</si>
  <si>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</si>
  <si>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</si>
  <si>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</si>
  <si>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</si>
  <si>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</si>
  <si>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</si>
  <si>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</si>
  <si>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</si>
  <si>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</si>
  <si>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</si>
  <si>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</si>
  <si>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</si>
  <si>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</si>
  <si>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</si>
  <si>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</si>
  <si>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</si>
  <si>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</si>
  <si>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</si>
  <si>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</si>
  <si>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</si>
  <si>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</si>
  <si>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</si>
  <si>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</si>
  <si>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</si>
  <si>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</si>
  <si>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</si>
  <si>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</si>
  <si>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</si>
  <si>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</si>
  <si>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</si>
  <si>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</si>
  <si>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</si>
  <si>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</si>
  <si>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</si>
  <si>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</si>
  <si>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</si>
  <si>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</si>
  <si>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</si>
  <si>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</si>
  <si>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</si>
  <si>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</si>
  <si>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</si>
  <si>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</si>
  <si>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</si>
  <si>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</si>
  <si>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</si>
  <si>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</si>
  <si>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</si>
  <si>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</si>
  <si>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</si>
  <si>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</si>
  <si>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</si>
  <si>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</si>
  <si>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</si>
  <si>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</si>
  <si>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</si>
  <si>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</si>
  <si>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</si>
  <si>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</si>
  <si>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</si>
  <si>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</si>
  <si>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</si>
  <si>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</si>
  <si>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</si>
  <si>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</si>
  <si>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</si>
  <si>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</si>
  <si>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</si>
  <si>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</si>
  <si>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</si>
  <si>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</si>
  <si>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</si>
  <si>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</si>
  <si>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</si>
  <si>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</si>
  <si>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</si>
  <si>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</si>
  <si>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</si>
  <si>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</si>
  <si>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</si>
  <si>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</si>
  <si>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</si>
  <si>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</si>
  <si>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</si>
  <si>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</si>
  <si>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</si>
  <si>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</si>
  <si>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</si>
  <si>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</si>
  <si>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</si>
  <si>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</si>
  <si>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</si>
  <si>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</si>
  <si>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</si>
  <si>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</si>
  <si>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</si>
  <si>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</si>
  <si>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</si>
  <si>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</si>
  <si>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</si>
  <si>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</si>
  <si>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</si>
  <si>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</si>
  <si>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</si>
  <si>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</si>
  <si>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</si>
  <si>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</si>
  <si>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</si>
  <si>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</si>
  <si>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</si>
  <si>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</si>
  <si>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</si>
  <si>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</si>
  <si>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</si>
  <si>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</si>
  <si>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</si>
  <si>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</si>
  <si>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</si>
  <si>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</si>
  <si>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</si>
  <si>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</si>
  <si>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</si>
  <si>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</si>
  <si>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</si>
  <si>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</si>
  <si>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</si>
  <si>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</si>
  <si>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</si>
  <si>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</si>
  <si>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</si>
  <si>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</si>
  <si>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</si>
  <si>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</si>
  <si>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</si>
  <si>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</si>
  <si>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</si>
  <si>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</si>
  <si>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</si>
  <si>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</si>
  <si>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</si>
  <si>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</si>
  <si>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</si>
  <si>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</si>
  <si>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</si>
  <si>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</si>
  <si>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</si>
  <si>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</si>
  <si>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</si>
  <si>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</si>
  <si>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</si>
  <si>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</si>
  <si>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</si>
  <si>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</si>
  <si>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</si>
  <si>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</si>
  <si>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</si>
  <si>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</si>
  <si>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</si>
  <si>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</si>
  <si>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</si>
  <si>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</si>
  <si>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</si>
  <si>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</si>
  <si>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</si>
  <si>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</si>
  <si>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</si>
  <si>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</si>
  <si>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</si>
  <si>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</si>
  <si>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</si>
  <si>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</si>
  <si>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</si>
  <si>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</si>
  <si>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</si>
  <si>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</si>
  <si>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</si>
  <si>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</si>
  <si>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</si>
  <si>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</si>
  <si>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</si>
  <si>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</si>
  <si>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</si>
  <si>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</si>
  <si>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</si>
  <si>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</si>
  <si>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</si>
  <si>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</si>
  <si>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</si>
  <si>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</si>
  <si>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</si>
  <si>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</si>
  <si>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</si>
  <si>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</si>
  <si>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</si>
  <si>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</si>
  <si>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</si>
  <si>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</si>
  <si>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</si>
  <si>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</si>
  <si>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</si>
  <si>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</si>
  <si>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</si>
  <si>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</si>
  <si>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</si>
  <si>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</si>
  <si>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</si>
  <si>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</si>
  <si>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</si>
  <si>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</si>
  <si>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</si>
  <si>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</si>
  <si>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</si>
  <si>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</si>
  <si>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</si>
  <si>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</si>
  <si>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</si>
  <si>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</si>
  <si>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</si>
  <si>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</si>
  <si>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</si>
  <si>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</si>
  <si>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</si>
  <si>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</si>
  <si>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</si>
  <si>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</si>
  <si>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</si>
  <si>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</si>
  <si>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</si>
  <si>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</si>
  <si>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</si>
  <si>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</si>
  <si>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</si>
  <si>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</si>
  <si>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</si>
  <si>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</si>
  <si>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</si>
  <si>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</si>
  <si>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</si>
  <si>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</si>
  <si>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</si>
  <si>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</si>
  <si>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</si>
  <si>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</si>
  <si>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</si>
  <si>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</si>
  <si>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</si>
  <si>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</si>
  <si>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</si>
  <si>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</si>
  <si>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</si>
  <si>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</si>
  <si>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</si>
  <si>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</si>
  <si>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</si>
  <si>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</si>
  <si>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</si>
  <si>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</si>
  <si>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</si>
  <si>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</si>
  <si>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</si>
  <si>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</si>
  <si>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</si>
  <si>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</si>
  <si>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</si>
  <si>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</si>
  <si>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</si>
  <si>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</si>
  <si>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</si>
  <si>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</si>
  <si>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</si>
  <si>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</si>
  <si>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</si>
  <si>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</si>
  <si>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</si>
  <si>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</si>
  <si>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</si>
  <si>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</si>
  <si>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</si>
  <si>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</si>
  <si>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</si>
  <si>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</si>
  <si>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</si>
  <si>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</si>
  <si>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</si>
  <si>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</si>
  <si>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</si>
  <si>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</si>
  <si>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</si>
  <si>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</si>
  <si>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</si>
  <si>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</si>
  <si>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</si>
  <si>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</si>
  <si>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</si>
  <si>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</si>
  <si>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</si>
  <si>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</si>
  <si>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</si>
  <si>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</si>
  <si>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</si>
  <si>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</si>
  <si>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</si>
  <si>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</si>
  <si>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</si>
  <si>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</si>
  <si>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</si>
  <si>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</si>
  <si>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</si>
  <si>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</si>
  <si>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</si>
  <si>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</si>
  <si>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</si>
  <si>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</si>
  <si>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</si>
  <si>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</si>
  <si>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</si>
  <si>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</si>
  <si>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</si>
  <si>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</si>
  <si>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</si>
  <si>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</si>
  <si>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</si>
  <si>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</si>
  <si>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</si>
  <si>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</si>
  <si>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</si>
  <si>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</si>
  <si>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</si>
  <si>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</si>
  <si>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</si>
  <si>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</si>
  <si>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</si>
  <si>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</si>
  <si>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</si>
  <si>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</si>
  <si>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</si>
  <si>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</si>
  <si>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</si>
  <si>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</si>
  <si>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</si>
  <si>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</si>
  <si>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</si>
  <si>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</si>
  <si>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</si>
  <si>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</si>
  <si>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</si>
  <si>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</si>
  <si>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</si>
  <si>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</si>
  <si>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</si>
  <si>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</si>
  <si>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</si>
  <si>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</si>
  <si>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</si>
  <si>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</si>
  <si>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</si>
  <si>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</si>
  <si>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</si>
  <si>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</si>
  <si>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</si>
  <si>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</si>
  <si>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</si>
  <si>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</si>
  <si>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</si>
  <si>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</si>
  <si>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</si>
  <si>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</si>
  <si>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</si>
  <si>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</si>
  <si>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</si>
  <si>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</si>
  <si>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</si>
  <si>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</si>
  <si>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</si>
  <si>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</si>
  <si>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</si>
  <si>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</si>
  <si>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</si>
  <si>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</si>
  <si>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</si>
  <si>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</si>
  <si>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</si>
  <si>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</si>
  <si>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</si>
  <si>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</si>
  <si>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</si>
  <si>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</si>
  <si>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</si>
  <si>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</si>
  <si>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</si>
  <si>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</si>
  <si>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</si>
  <si>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</si>
  <si>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</si>
  <si>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</si>
  <si>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</si>
  <si>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</si>
  <si>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</si>
  <si>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</si>
  <si>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</si>
  <si>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</si>
  <si>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</si>
  <si>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</si>
  <si>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</si>
  <si>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</si>
  <si>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</si>
  <si>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</si>
  <si>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</si>
  <si>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</si>
  <si>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</si>
  <si>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</si>
  <si>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</si>
  <si>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</si>
  <si>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</si>
  <si>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</si>
  <si>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</si>
  <si>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</si>
  <si>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</si>
  <si>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</si>
  <si>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</si>
  <si>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</si>
  <si>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</si>
  <si>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</si>
  <si>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</si>
  <si>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</si>
  <si>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</si>
  <si>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</si>
  <si>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</si>
  <si>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</si>
  <si>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</si>
  <si>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</si>
  <si>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</si>
  <si>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</si>
  <si>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</si>
  <si>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</si>
  <si>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</si>
  <si>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</si>
  <si>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</si>
  <si>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</si>
  <si>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</si>
  <si>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</si>
  <si>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</si>
  <si>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</si>
  <si>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</si>
  <si>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</si>
  <si>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</si>
  <si>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</si>
  <si>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</si>
  <si>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</si>
  <si>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</si>
  <si>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</si>
  <si>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</si>
  <si>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</si>
  <si>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</si>
  <si>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</si>
  <si>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</si>
  <si>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</si>
  <si>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</si>
  <si>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</si>
  <si>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</si>
  <si>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</si>
  <si>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</si>
  <si>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</si>
  <si>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</si>
  <si>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</si>
  <si>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</si>
  <si>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</si>
  <si>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</si>
  <si>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</si>
  <si>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</si>
  <si>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</si>
  <si>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</si>
  <si>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</si>
  <si>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</si>
  <si>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</si>
  <si>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</si>
  <si>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</si>
  <si>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</si>
  <si>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</si>
  <si>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</si>
  <si>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</si>
  <si>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</si>
  <si>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</si>
  <si>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</si>
  <si>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</si>
  <si>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</si>
  <si>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</si>
  <si>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</si>
  <si>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</si>
  <si>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</si>
  <si>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</si>
  <si>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</si>
  <si>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</si>
  <si>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</si>
  <si>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</si>
  <si>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</si>
  <si>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</si>
  <si>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</si>
  <si>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</si>
  <si>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</si>
  <si>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</si>
  <si>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</si>
  <si>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</si>
  <si>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</si>
  <si>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</si>
  <si>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</si>
  <si>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</si>
  <si>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</si>
  <si>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</si>
  <si>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</si>
  <si>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</si>
  <si>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</si>
  <si>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</si>
  <si>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</si>
  <si>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</si>
  <si>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</si>
  <si>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</si>
  <si>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</si>
  <si>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</si>
  <si>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</si>
  <si>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</si>
  <si>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</si>
  <si>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</si>
  <si>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</si>
  <si>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</si>
  <si>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</si>
  <si>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</si>
  <si>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</si>
  <si>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</si>
  <si>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</si>
  <si>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</si>
  <si>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</si>
  <si>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</si>
  <si>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</si>
  <si>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</si>
  <si>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</si>
  <si>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</si>
  <si>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</si>
  <si>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</si>
  <si>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</si>
  <si>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</si>
  <si>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</si>
  <si>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</si>
  <si>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</si>
  <si>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</si>
  <si>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</si>
  <si>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</si>
  <si>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</si>
  <si>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</si>
  <si>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</si>
  <si>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</si>
  <si>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</si>
  <si>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</si>
  <si>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</si>
  <si>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</si>
  <si>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</si>
  <si>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</si>
  <si>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</si>
  <si>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</si>
  <si>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</si>
  <si>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</si>
  <si>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</si>
  <si>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</si>
  <si>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</si>
  <si>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</si>
  <si>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</si>
  <si>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</si>
  <si>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</si>
  <si>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</si>
  <si>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</si>
  <si>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</si>
  <si>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</si>
  <si>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</si>
  <si>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</si>
  <si>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</si>
  <si>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</si>
  <si>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</si>
  <si>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</si>
  <si>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</si>
  <si>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</si>
  <si>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</si>
  <si>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</si>
  <si>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</si>
  <si>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</si>
  <si>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</si>
  <si>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</si>
  <si>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</si>
  <si>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</si>
  <si>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</si>
  <si>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</si>
  <si>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</si>
  <si>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</si>
  <si>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</si>
  <si>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</si>
  <si>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</si>
  <si>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</si>
  <si>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</si>
  <si>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</si>
  <si>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</si>
  <si>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</si>
  <si>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</si>
  <si>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</si>
  <si>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</si>
  <si>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</si>
  <si>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</si>
  <si>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</si>
  <si>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</si>
  <si>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</si>
  <si>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</si>
  <si>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</si>
  <si>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</si>
  <si>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</si>
  <si>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</si>
  <si>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</si>
  <si>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</si>
  <si>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</si>
  <si>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</si>
  <si>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</si>
  <si>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</si>
  <si>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</si>
  <si>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</si>
  <si>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</si>
  <si>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</si>
  <si>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</si>
  <si>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</si>
  <si>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</si>
  <si>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</si>
  <si>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</si>
  <si>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</si>
  <si>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</si>
  <si>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</si>
  <si>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</si>
  <si>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</si>
  <si>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</si>
  <si>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</si>
  <si>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</si>
  <si>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</si>
  <si>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</si>
  <si>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</si>
  <si>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</si>
  <si>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</si>
  <si>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</si>
  <si>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</si>
  <si>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</si>
  <si>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</si>
  <si>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</si>
  <si>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</si>
  <si>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</si>
  <si>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</si>
  <si>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</si>
  <si>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</si>
  <si>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</si>
  <si>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</si>
  <si>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</si>
  <si>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</si>
  <si>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</si>
  <si>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</si>
  <si>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</si>
  <si>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</si>
  <si>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</si>
  <si>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</si>
  <si>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</si>
  <si>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</si>
  <si>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</si>
  <si>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</si>
  <si>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</si>
  <si>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</si>
  <si>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</si>
  <si>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</si>
  <si>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</si>
  <si>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</si>
  <si>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</si>
  <si>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</si>
  <si>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</si>
  <si>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</si>
  <si>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</si>
  <si>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</si>
  <si>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</si>
  <si>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</si>
  <si>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</si>
  <si>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</si>
  <si>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</si>
  <si>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</si>
  <si>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</si>
  <si>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</si>
  <si>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</si>
  <si>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</si>
  <si>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</si>
  <si>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</si>
  <si>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</si>
  <si>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</si>
  <si>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</si>
  <si>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</si>
  <si>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</si>
  <si>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</si>
  <si>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</si>
  <si>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</si>
  <si>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</si>
  <si>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</si>
  <si>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</si>
  <si>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</si>
  <si>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</si>
  <si>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</si>
  <si>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</si>
  <si>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</si>
  <si>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</si>
  <si>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</si>
  <si>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</si>
  <si>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</si>
  <si>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</si>
  <si>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</si>
  <si>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</si>
  <si>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</si>
  <si>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</si>
  <si>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</si>
  <si>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</si>
  <si>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</si>
  <si>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</si>
  <si>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</si>
  <si>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</si>
  <si>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</si>
  <si>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</si>
  <si>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</si>
  <si>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</si>
  <si>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</si>
  <si>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</si>
  <si>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</si>
  <si>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</si>
  <si>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</si>
  <si>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</si>
  <si>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</si>
  <si>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</si>
  <si>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</si>
  <si>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</si>
  <si>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</si>
  <si>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</si>
  <si>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</si>
  <si>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</si>
  <si>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</si>
  <si>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</si>
  <si>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</si>
  <si>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</si>
  <si>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</si>
  <si>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</si>
  <si>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</si>
  <si>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</si>
  <si>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</si>
  <si>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</si>
  <si>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</si>
  <si>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</si>
  <si>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</si>
  <si>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</si>
  <si>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</si>
  <si>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</si>
  <si>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</si>
  <si>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</si>
  <si>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</si>
  <si>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</si>
  <si>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</si>
  <si>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</si>
  <si>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</si>
  <si>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</si>
  <si>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</si>
  <si>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</si>
  <si>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</si>
  <si>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</si>
  <si>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</si>
  <si>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</si>
  <si>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</si>
  <si>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</si>
  <si>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</si>
  <si>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</si>
  <si>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</si>
  <si>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</si>
  <si>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</si>
  <si>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</si>
  <si>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</si>
  <si>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</si>
  <si>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</si>
  <si>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</si>
  <si>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</si>
  <si>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</si>
  <si>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</si>
  <si>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</si>
  <si>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</si>
  <si>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</si>
  <si>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</si>
  <si>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</si>
  <si>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</si>
  <si>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</si>
  <si>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</si>
  <si>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</si>
  <si>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</si>
  <si>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</si>
  <si>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</si>
  <si>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</si>
  <si>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</si>
  <si>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</si>
  <si>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</si>
  <si>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</si>
  <si>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</si>
  <si>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</si>
  <si>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</si>
  <si>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</si>
  <si>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</si>
  <si>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</si>
  <si>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</si>
  <si>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</si>
  <si>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</si>
  <si>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</si>
  <si>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</si>
  <si>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</si>
  <si>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</si>
  <si>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</si>
  <si>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</si>
  <si>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</si>
  <si>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</si>
  <si>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</si>
  <si>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</si>
  <si>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</si>
  <si>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</si>
  <si>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</si>
  <si>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</si>
  <si>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</si>
  <si>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</si>
  <si>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</si>
  <si>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</si>
  <si>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</si>
  <si>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</si>
  <si>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</si>
  <si>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</si>
  <si>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</si>
  <si>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</si>
  <si>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</si>
  <si>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</si>
  <si>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</si>
  <si>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</si>
  <si>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</si>
  <si>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</si>
  <si>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</si>
  <si>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</si>
  <si>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</si>
  <si>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</si>
  <si>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</si>
  <si>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</si>
  <si>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</si>
  <si>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</si>
  <si>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</si>
  <si>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</si>
  <si>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</si>
  <si>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</si>
  <si>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</si>
  <si>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</si>
  <si>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</si>
  <si>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</si>
  <si>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</si>
  <si>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</si>
  <si>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</si>
  <si>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</si>
  <si>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</si>
  <si>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</si>
  <si>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</si>
  <si>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</si>
  <si>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</si>
  <si>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</si>
  <si>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</si>
  <si>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</si>
  <si>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</si>
  <si>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</si>
  <si>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</si>
  <si>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</si>
  <si>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</si>
  <si>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</si>
  <si>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</si>
  <si>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</si>
  <si>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</si>
  <si>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</si>
  <si>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</si>
  <si>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</si>
  <si>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</si>
  <si>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</si>
  <si>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</si>
  <si>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</si>
  <si>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</si>
  <si>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</si>
  <si>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</si>
  <si>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</si>
  <si>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</si>
  <si>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</si>
  <si>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</si>
  <si>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</si>
  <si>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</si>
  <si>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</si>
  <si>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</si>
  <si>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</si>
  <si>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</si>
  <si>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</si>
  <si>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</si>
  <si>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</si>
  <si>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</si>
  <si>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</si>
  <si>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</si>
  <si>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</si>
  <si>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</si>
  <si>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</si>
  <si>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</si>
  <si>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</si>
  <si>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</si>
  <si>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</si>
  <si>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</si>
  <si>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</si>
  <si>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</si>
  <si>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</si>
  <si>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</si>
  <si>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</si>
  <si>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</si>
  <si>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</si>
  <si>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</si>
  <si>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</si>
  <si>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</si>
  <si>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</si>
  <si>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</si>
  <si>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</si>
  <si>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</si>
  <si>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</si>
  <si>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</si>
  <si>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</si>
  <si>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</si>
  <si>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</si>
  <si>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</si>
  <si>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</si>
  <si>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</si>
  <si>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</si>
  <si>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</si>
  <si>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</si>
  <si>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</si>
  <si>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</si>
  <si>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</si>
  <si>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</si>
  <si>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</si>
  <si>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</si>
  <si>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</si>
  <si>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</si>
  <si>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</si>
  <si>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</si>
  <si>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</si>
  <si>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</si>
  <si>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</si>
  <si>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</si>
  <si>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</si>
  <si>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</si>
  <si>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</si>
  <si>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</si>
  <si>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</si>
  <si>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</si>
  <si>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</si>
  <si>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</si>
  <si>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</si>
  <si>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</si>
  <si>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</si>
  <si>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</si>
  <si>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</si>
  <si>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</si>
  <si>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</si>
  <si>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</si>
  <si>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</si>
  <si>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</si>
  <si>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</si>
  <si>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</si>
  <si>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</si>
  <si>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</si>
  <si>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</si>
  <si>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</si>
  <si>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</si>
  <si>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</si>
  <si>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</si>
  <si>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</si>
  <si>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</si>
  <si>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</si>
  <si>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</si>
  <si>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</si>
  <si>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</si>
  <si>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</si>
  <si>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</si>
  <si>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</si>
  <si>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</si>
  <si>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</si>
  <si>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</si>
  <si>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</si>
  <si>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</si>
  <si>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</si>
  <si>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</si>
  <si>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</si>
  <si>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</si>
  <si>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</si>
  <si>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</si>
  <si>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</si>
  <si>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</si>
  <si>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</si>
  <si>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</si>
  <si>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</si>
  <si>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</si>
  <si>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</si>
  <si>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</si>
  <si>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</si>
  <si>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</si>
  <si>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</si>
  <si>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</si>
  <si>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</si>
  <si>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</si>
  <si>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</si>
  <si>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</si>
  <si>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</si>
  <si>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</si>
  <si>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</si>
  <si>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</si>
  <si>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</si>
  <si>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</si>
  <si>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</si>
  <si>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</si>
  <si>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</si>
  <si>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</si>
  <si>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</si>
  <si>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</si>
  <si>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</si>
  <si>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</si>
  <si>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</si>
  <si>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</si>
  <si>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</si>
  <si>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</si>
  <si>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</si>
  <si>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</si>
  <si>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</si>
  <si>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</si>
  <si>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</si>
  <si>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</si>
  <si>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</si>
  <si>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</si>
  <si>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</si>
  <si>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</si>
  <si>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</si>
  <si>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</si>
  <si>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</si>
  <si>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</si>
  <si>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</si>
  <si>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</si>
  <si>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</si>
  <si>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</si>
  <si>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</si>
  <si>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</si>
  <si>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</si>
  <si>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</si>
  <si>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</si>
  <si>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</si>
  <si>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</si>
  <si>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</si>
  <si>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</si>
  <si>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</si>
  <si>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</si>
  <si>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</si>
  <si>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</si>
  <si>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</si>
  <si>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</si>
  <si>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</si>
  <si>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</si>
  <si>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</si>
  <si>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</si>
  <si>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</si>
  <si>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</si>
  <si>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</si>
  <si>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</si>
  <si>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</si>
  <si>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</si>
  <si>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</si>
  <si>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</si>
  <si>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</si>
  <si>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</si>
  <si>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</si>
  <si>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</si>
  <si>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</si>
  <si>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</si>
  <si>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</si>
  <si>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</si>
  <si>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</si>
  <si>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</si>
  <si>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</si>
  <si>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</si>
  <si>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</si>
  <si>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</si>
  <si>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</si>
  <si>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</si>
  <si>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</si>
  <si>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</si>
  <si>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</si>
  <si>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</si>
  <si>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</si>
  <si>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</si>
  <si>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</si>
  <si>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</si>
  <si>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</si>
  <si>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</si>
  <si>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</si>
  <si>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</si>
  <si>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</si>
  <si>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</si>
  <si>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</si>
  <si>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</si>
  <si>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</si>
  <si>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</si>
  <si>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</si>
  <si>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</si>
  <si>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</si>
  <si>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</si>
  <si>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</si>
  <si>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</si>
  <si>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</si>
  <si>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</si>
  <si>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</si>
  <si>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</si>
  <si>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</si>
  <si>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</si>
  <si>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</si>
  <si>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</si>
  <si>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</si>
  <si>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</si>
  <si>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</si>
  <si>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</si>
  <si>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</si>
  <si>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</si>
  <si>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</si>
  <si>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</si>
  <si>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</si>
  <si>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</si>
  <si>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</si>
  <si>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</si>
  <si>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</si>
  <si>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</si>
  <si>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</si>
  <si>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</si>
  <si>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</si>
  <si>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</si>
  <si>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</si>
  <si>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</si>
  <si>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</si>
  <si>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</si>
  <si>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</si>
  <si>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</si>
  <si>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</si>
  <si>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</si>
  <si>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</si>
  <si>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</si>
  <si>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</si>
  <si>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</si>
  <si>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</si>
  <si>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</si>
  <si>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</si>
  <si>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</si>
  <si>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</si>
  <si>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</si>
  <si>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</si>
  <si>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</si>
  <si>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</si>
  <si>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</si>
  <si>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</si>
  <si>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</si>
  <si>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</si>
  <si>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</si>
  <si>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</si>
  <si>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</si>
  <si>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</si>
  <si>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</si>
  <si>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</si>
  <si>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</si>
  <si>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</si>
  <si>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</si>
  <si>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</si>
  <si>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</si>
  <si>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</si>
  <si>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</si>
  <si>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</si>
  <si>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</si>
  <si>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</si>
  <si>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</si>
  <si>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</si>
  <si>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</si>
  <si>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</si>
  <si>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</si>
  <si>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</si>
  <si>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</si>
  <si>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</si>
  <si>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</si>
  <si>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</si>
  <si>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</si>
  <si>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</si>
  <si>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</si>
  <si>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</si>
  <si>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</si>
  <si>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</si>
  <si>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</si>
  <si>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</si>
  <si>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</si>
  <si>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</si>
  <si>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</si>
  <si>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</si>
  <si>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</si>
  <si>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</si>
  <si>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</si>
  <si>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</si>
  <si>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</si>
  <si>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</si>
  <si>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</si>
  <si>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</si>
  <si>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</si>
  <si>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</si>
  <si>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</si>
  <si>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</si>
  <si>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</si>
  <si>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</si>
  <si>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</si>
  <si>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</si>
  <si>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</si>
  <si>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</si>
  <si>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</si>
  <si>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</si>
  <si>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</si>
  <si>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</si>
  <si>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</si>
  <si>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</si>
  <si>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</si>
  <si>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</si>
  <si>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</si>
  <si>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</si>
  <si>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</si>
  <si>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</si>
  <si>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</si>
  <si>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</si>
  <si>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</si>
  <si>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</si>
  <si>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</si>
  <si>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</si>
  <si>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</si>
  <si>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</si>
  <si>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</si>
  <si>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</si>
  <si>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</si>
  <si>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</si>
  <si>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</si>
  <si>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</si>
  <si>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</si>
  <si>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</si>
  <si>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</si>
  <si>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</si>
  <si>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</si>
  <si>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</si>
  <si>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</si>
  <si>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</si>
  <si>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</si>
  <si>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</si>
  <si>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</si>
  <si>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</si>
  <si>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</si>
  <si>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</si>
  <si>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</si>
  <si>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</si>
  <si>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</si>
  <si>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</si>
  <si>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</si>
  <si>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</si>
  <si>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</si>
  <si>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</si>
  <si>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</si>
  <si>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</si>
  <si>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</si>
  <si>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</si>
  <si>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</si>
  <si>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</si>
  <si>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</si>
  <si>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</si>
  <si>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</si>
  <si>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</si>
  <si>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</si>
  <si>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</si>
  <si>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</si>
  <si>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</si>
  <si>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</si>
  <si>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</si>
  <si>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</si>
  <si>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</si>
  <si>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</si>
  <si>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</si>
  <si>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</si>
  <si>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</si>
  <si>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</si>
  <si>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</si>
  <si>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</si>
  <si>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</si>
  <si>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</si>
  <si>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</si>
  <si>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</si>
  <si>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</si>
  <si>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</si>
  <si>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</si>
  <si>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</si>
  <si>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</si>
  <si>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</si>
  <si>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</si>
  <si>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</si>
  <si>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</si>
  <si>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</si>
  <si>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</si>
  <si>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</si>
  <si>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</si>
  <si>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</si>
  <si>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</si>
  <si>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</si>
  <si>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</si>
  <si>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</si>
  <si>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</si>
  <si>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</si>
  <si>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</si>
  <si>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</si>
  <si>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</si>
  <si>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</si>
  <si>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</si>
  <si>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</si>
  <si>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</si>
  <si>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</si>
  <si>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</si>
  <si>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</si>
  <si>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</si>
  <si>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</si>
  <si>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</si>
  <si>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</si>
  <si>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</si>
  <si>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</si>
  <si>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</si>
  <si>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</si>
  <si>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</si>
  <si>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</si>
  <si>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</si>
  <si>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</si>
  <si>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</si>
  <si>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</si>
  <si>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</si>
  <si>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</si>
  <si>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</si>
  <si>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</si>
  <si>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</si>
  <si>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</si>
  <si>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</si>
  <si>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</si>
  <si>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</si>
  <si>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</si>
  <si>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</si>
  <si>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</si>
  <si>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</si>
  <si>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</si>
  <si>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</si>
  <si>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</si>
  <si>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</si>
  <si>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</si>
  <si>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</si>
  <si>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</si>
  <si>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</si>
  <si>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</si>
  <si>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</si>
  <si>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</si>
  <si>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</si>
  <si>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</si>
  <si>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</si>
  <si>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</si>
  <si>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</si>
  <si>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</si>
  <si>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</si>
  <si>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</si>
  <si>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</si>
  <si>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</si>
  <si>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</si>
  <si>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</si>
  <si>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</si>
  <si>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</si>
  <si>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</si>
  <si>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</si>
  <si>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</si>
  <si>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</si>
  <si>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</si>
  <si>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</si>
  <si>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</si>
  <si>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</si>
  <si>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</si>
  <si>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</si>
  <si>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</si>
  <si>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</si>
  <si>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</si>
  <si>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</si>
  <si>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</si>
  <si>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</si>
  <si>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</si>
  <si>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</si>
  <si>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</si>
  <si>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</si>
  <si>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</si>
  <si>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</si>
  <si>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</si>
  <si>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</si>
  <si>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</si>
  <si>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</si>
  <si>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</si>
  <si>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</si>
  <si>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</si>
  <si>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</si>
  <si>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</si>
  <si>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</si>
  <si>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</si>
  <si>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</si>
  <si>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</si>
  <si>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</si>
  <si>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</si>
  <si>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</si>
  <si>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</si>
  <si>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</si>
  <si>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</si>
  <si>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</si>
  <si>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</si>
  <si>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</si>
  <si>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</si>
  <si>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</si>
  <si>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</si>
  <si>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</si>
  <si>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</si>
  <si>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</si>
  <si>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</si>
  <si>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</si>
  <si>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</si>
  <si>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</si>
  <si>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</si>
  <si>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</si>
  <si>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</si>
  <si>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</si>
  <si>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</si>
  <si>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</si>
  <si>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</si>
  <si>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</si>
  <si>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</si>
  <si>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</si>
  <si>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</si>
  <si>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</si>
  <si>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</si>
  <si>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</si>
  <si>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</si>
  <si>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</si>
  <si>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</si>
  <si>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</si>
  <si>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</si>
  <si>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</si>
  <si>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</si>
  <si>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</si>
  <si>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</si>
  <si>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</si>
  <si>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</si>
  <si>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</si>
  <si>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</si>
  <si>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</si>
  <si>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</si>
  <si>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</si>
  <si>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</si>
  <si>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</si>
  <si>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</si>
  <si>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</si>
  <si>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</si>
  <si>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</si>
  <si>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</si>
  <si>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</si>
  <si>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</si>
  <si>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</si>
  <si>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</si>
  <si>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</si>
  <si>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</si>
  <si>
    <t>高板地上面积按预测走、地下面积按规证走，预测报告中不可分摊面积不计，计规证中设备用房面积。</t>
    <phoneticPr fontId="233" type="noConversion"/>
  </si>
  <si>
    <t>别墅地下车库是和别墅整体销售，故未单独列车库收益法。</t>
    <phoneticPr fontId="233" type="noConversion"/>
  </si>
  <si>
    <t>吴中区高新区迎春路东侧、吴中东路南侧</t>
    <phoneticPr fontId="233" type="noConversion"/>
  </si>
  <si>
    <t>吴中区木渎镇金长路北侧、金枫路东侧</t>
    <phoneticPr fontId="233" type="noConversion"/>
  </si>
  <si>
    <t>吴中区木渎镇花苑东路两侧、长石路西侧</t>
    <phoneticPr fontId="233" type="noConversion"/>
  </si>
  <si>
    <t>次干道—迎春路</t>
    <phoneticPr fontId="26" type="noConversion"/>
  </si>
  <si>
    <t>支路——金长路</t>
    <phoneticPr fontId="26" type="noConversion"/>
  </si>
  <si>
    <t>支路——花苑东路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</si>
</sst>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13" xfId="0" applyFont="1" applyFill="1" applyBorder="1" applyAlignment="1">
      <alignment horizontal="center" vertical="center"/>
    </xf>
    <xf numFmtId="0" fontId="0" fillId="0" borderId="2" xfId="0" applyBorder="1" applyAlignment="1">
      <alignment horizontal="center" vertical="center"/>
    </xf>
    <xf numFmtId="0" fontId="0" fillId="0" borderId="3" xfId="0"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6" fillId="18" borderId="19" xfId="0" applyFont="1" applyFill="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17952"/>
          <a:ext cx="4565406" cy="3259891"/>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根据《国有土地使用证》[]，估价对象（分摊）出让国有建设用地使用权面积为37499.7平方米，规划建筑面积为118587.48平方米。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37499.699999999997</v>
      </c>
    </row>
    <row r="44" spans="1:2">
      <c r="A44" s="2901" t="s">
        <v>2739</v>
      </c>
      <c r="B44" s="2902" t="str">
        <f>'预评函-2'!O3</f>
        <v>规划建筑面积/㎡</v>
      </c>
    </row>
    <row r="45" spans="1:2">
      <c r="A45" s="2901" t="s">
        <v>2721</v>
      </c>
      <c r="B45" s="2902">
        <f>'预评函-2'!O5</f>
        <v>118587.47999999997</v>
      </c>
    </row>
    <row r="46" spans="1:2">
      <c r="A46" s="2901" t="s">
        <v>2722</v>
      </c>
      <c r="B46" s="2902">
        <f ca="1">'预评函-2'!P5</f>
        <v>68367</v>
      </c>
    </row>
    <row r="47" spans="1:2">
      <c r="A47" s="2901" t="s">
        <v>2723</v>
      </c>
      <c r="B47" s="2902">
        <f ca="1">'预评函-2'!Q5</f>
        <v>21619</v>
      </c>
    </row>
    <row r="48" spans="1:2">
      <c r="A48" s="2901" t="s">
        <v>2724</v>
      </c>
      <c r="B48" s="2902">
        <f ca="1">'预评函-2'!R5</f>
        <v>256375</v>
      </c>
    </row>
    <row r="49" spans="1:2">
      <c r="A49" s="2901" t="s">
        <v>2740</v>
      </c>
      <c r="B49" s="2902" t="str">
        <f>'预评函-2'!A6</f>
        <v>抵押价格</v>
      </c>
    </row>
    <row r="50" spans="1:2">
      <c r="A50" s="2901" t="s">
        <v>2725</v>
      </c>
      <c r="B50" s="2902">
        <f ca="1">'预评函-2'!R6</f>
        <v>256375</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7" t="str">
        <f>IF(B10="北京市","北京市",C10)&amp;F10&amp;B16&amp;"国有建设用地使用权"&amp;B9&amp;"预评估"</f>
        <v>江苏省苏州市吴中区木渎镇竹园路北侧、金枫路西侧（苏地2016-WG-6）地块出让国有建设用地使用权抵押价格预评估</v>
      </c>
      <c r="C1" s="3278"/>
      <c r="D1" s="3278"/>
      <c r="E1" s="3278"/>
      <c r="F1" s="3278"/>
      <c r="G1" s="3278"/>
      <c r="H1" s="3278"/>
      <c r="I1" s="3279"/>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3430</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83"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84"/>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3431</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80" t="s">
        <v>2985</v>
      </c>
      <c r="C12" s="3281"/>
      <c r="D12" s="3282"/>
      <c r="E12" s="1697" t="s">
        <v>2061</v>
      </c>
      <c r="F12" s="3298" t="s">
        <v>3433</v>
      </c>
      <c r="G12" s="3299"/>
      <c r="H12" s="3299"/>
      <c r="I12" s="3300"/>
      <c r="J12" s="1692"/>
      <c r="K12" s="1772"/>
      <c r="L12" s="1721"/>
      <c r="M12" s="1721"/>
      <c r="N12" s="1692"/>
      <c r="O12" s="1693"/>
      <c r="P12" s="1692"/>
      <c r="Q12" s="1692"/>
      <c r="R12" s="1692"/>
      <c r="S12" s="1692"/>
      <c r="T12" s="1692"/>
      <c r="U12" s="1692"/>
    </row>
    <row r="13" spans="1:21">
      <c r="A13" s="1685" t="s">
        <v>2059</v>
      </c>
      <c r="B13" s="3280" t="s">
        <v>2986</v>
      </c>
      <c r="C13" s="3281"/>
      <c r="D13" s="3282"/>
      <c r="E13" s="1697" t="s">
        <v>2061</v>
      </c>
      <c r="F13" s="3298" t="s">
        <v>3432</v>
      </c>
      <c r="G13" s="3299"/>
      <c r="H13" s="3299"/>
      <c r="I13" s="3300"/>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95"/>
      <c r="E20" s="3296"/>
      <c r="F20" s="3296"/>
      <c r="G20" s="3296"/>
      <c r="H20" s="3296"/>
      <c r="I20" s="3297"/>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85" t="s">
        <v>1998</v>
      </c>
      <c r="F21" s="3286"/>
      <c r="G21" s="3286"/>
      <c r="H21" s="3286"/>
      <c r="I21" s="3287"/>
      <c r="J21" s="1692"/>
      <c r="K21" s="1772"/>
      <c r="L21" s="1721"/>
      <c r="M21" s="1721"/>
      <c r="N21" s="1692"/>
      <c r="O21" s="1693"/>
      <c r="P21" s="1692"/>
      <c r="Q21" s="1692"/>
      <c r="R21" s="1692"/>
      <c r="S21" s="1692"/>
      <c r="T21" s="1692"/>
      <c r="U21" s="1692"/>
    </row>
    <row r="22" spans="1:21" ht="28.5">
      <c r="A22" s="3173" t="s">
        <v>2989</v>
      </c>
      <c r="B22" s="1659" t="s">
        <v>1963</v>
      </c>
      <c r="C22" s="1684">
        <f>'数据-汇总表'!D3</f>
        <v>37499.699999999997</v>
      </c>
      <c r="D22" s="1685" t="s">
        <v>1962</v>
      </c>
      <c r="E22" s="3285" t="s">
        <v>2888</v>
      </c>
      <c r="F22" s="3286"/>
      <c r="G22" s="3286"/>
      <c r="H22" s="3286"/>
      <c r="I22" s="3287"/>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8" t="s">
        <v>1968</v>
      </c>
      <c r="C24" s="3289"/>
      <c r="D24" s="3290" t="s">
        <v>1969</v>
      </c>
      <c r="E24" s="3291"/>
      <c r="F24" s="1706" t="s">
        <v>1970</v>
      </c>
      <c r="G24" s="1692"/>
      <c r="H24" s="1692"/>
      <c r="I24" s="1705"/>
      <c r="J24" s="1692"/>
      <c r="K24" s="3276"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7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7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62" t="s">
        <v>2001</v>
      </c>
      <c r="B31" s="1762" t="s">
        <v>2002</v>
      </c>
      <c r="C31" s="3301" t="s">
        <v>2991</v>
      </c>
      <c r="D31" s="3302"/>
      <c r="E31" s="1692"/>
      <c r="F31" s="1692"/>
      <c r="G31" s="1692"/>
      <c r="H31" s="1692"/>
      <c r="I31" s="1705"/>
      <c r="J31" s="1692"/>
      <c r="K31" s="2481"/>
      <c r="L31" s="1692"/>
      <c r="M31" s="1692"/>
      <c r="N31" s="1692"/>
      <c r="O31" s="1692"/>
      <c r="P31" s="1692"/>
      <c r="Q31" s="1692"/>
      <c r="R31" s="1692"/>
      <c r="S31" s="1692"/>
      <c r="T31" s="1692"/>
      <c r="U31" s="1692"/>
    </row>
    <row r="32" spans="1:21">
      <c r="A32" s="3262"/>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62"/>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63"/>
      <c r="B34" s="1659" t="s">
        <v>2005</v>
      </c>
      <c r="C34" s="3264"/>
      <c r="D34" s="3265"/>
      <c r="E34" s="1692"/>
      <c r="F34" s="1692"/>
      <c r="G34" s="1692"/>
      <c r="H34" s="1692"/>
      <c r="I34" s="1705"/>
      <c r="J34" s="1692"/>
      <c r="K34" s="2481"/>
      <c r="L34" s="1692"/>
      <c r="M34" s="1692"/>
      <c r="N34" s="1692"/>
      <c r="O34" s="1692"/>
      <c r="P34" s="1692"/>
      <c r="Q34" s="1692"/>
      <c r="R34" s="1692"/>
      <c r="S34" s="1692"/>
      <c r="T34" s="1692"/>
      <c r="U34" s="1692"/>
    </row>
    <row r="35" spans="1:21" ht="28.5">
      <c r="A35" s="3266" t="s">
        <v>847</v>
      </c>
      <c r="B35" s="1720" t="s">
        <v>2993</v>
      </c>
      <c r="C35" s="1774" t="str">
        <f>IF(B35="场地平整","——","具体情况：")</f>
        <v>具体情况：</v>
      </c>
      <c r="D35" s="3268" t="s">
        <v>3001</v>
      </c>
      <c r="E35" s="3269"/>
      <c r="F35" s="3269"/>
      <c r="G35" s="3269"/>
      <c r="H35" s="3269"/>
      <c r="I35" s="3270"/>
      <c r="J35" s="1692"/>
      <c r="K35" s="1773"/>
      <c r="L35" s="1721"/>
      <c r="M35" s="1721"/>
      <c r="N35" s="1692"/>
      <c r="O35" s="1693"/>
      <c r="P35" s="1692"/>
      <c r="Q35" s="1692"/>
      <c r="R35" s="1692"/>
      <c r="S35" s="1692"/>
      <c r="T35" s="1692"/>
      <c r="U35" s="1692"/>
    </row>
    <row r="36" spans="1:21">
      <c r="A36" s="3262"/>
      <c r="B36" s="3271" t="s">
        <v>2054</v>
      </c>
      <c r="C36" s="3272"/>
      <c r="D36" s="1790" t="s">
        <v>2994</v>
      </c>
      <c r="E36" s="3273"/>
      <c r="F36" s="3273"/>
      <c r="G36" s="1685" t="str">
        <f>IF(B35="场地未平整","估价结果处理","")</f>
        <v/>
      </c>
      <c r="H36" s="3274"/>
      <c r="I36" s="3274"/>
      <c r="J36" s="1692"/>
      <c r="K36" s="1773"/>
      <c r="L36" s="1721"/>
      <c r="M36" s="1721"/>
      <c r="N36" s="1692"/>
      <c r="O36" s="1693"/>
      <c r="P36" s="1692"/>
      <c r="Q36" s="1692"/>
      <c r="R36" s="1692"/>
      <c r="S36" s="1692"/>
      <c r="T36" s="1692"/>
      <c r="U36" s="1692"/>
    </row>
    <row r="37" spans="1:21" ht="28.5">
      <c r="A37" s="3262"/>
      <c r="B37" s="3292"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2"/>
      <c r="B38" s="3293"/>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63"/>
      <c r="B39" s="3294"/>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75" t="s">
        <v>1985</v>
      </c>
      <c r="T40" s="1729" t="str">
        <f>NUMBERSTRING(7-K40,1)&amp;"通"</f>
        <v>七通</v>
      </c>
      <c r="U40" s="1692"/>
    </row>
    <row r="41" spans="1:21">
      <c r="A41" s="1661"/>
      <c r="B41" s="3267" t="s">
        <v>1721</v>
      </c>
      <c r="C41" s="3267"/>
      <c r="D41" s="3267"/>
      <c r="E41" s="3267"/>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75"/>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pane xSplit="1" topLeftCell="E1" activePane="topRight" state="frozen"/>
      <selection pane="topRight" activeCell="I4" sqref="I4:J4"/>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307" t="s">
        <v>3446</v>
      </c>
      <c r="B1" s="3307"/>
      <c r="C1" s="3307"/>
      <c r="D1" s="3307"/>
      <c r="E1" s="3307"/>
      <c r="F1" s="3307"/>
      <c r="H1" s="3307" t="s">
        <v>3439</v>
      </c>
      <c r="I1" s="3307"/>
      <c r="J1" s="3307"/>
      <c r="K1" s="3307"/>
      <c r="L1" s="3307"/>
    </row>
    <row r="2" spans="1:15" ht="18.75" customHeight="1">
      <c r="A2" s="3303" t="s">
        <v>3005</v>
      </c>
      <c r="B2" s="3303" t="s">
        <v>3006</v>
      </c>
      <c r="C2" s="3303" t="s">
        <v>3009</v>
      </c>
      <c r="D2" s="3308"/>
      <c r="E2" s="3303" t="s">
        <v>3008</v>
      </c>
      <c r="F2" s="3309" t="s">
        <v>3012</v>
      </c>
      <c r="H2" s="3303" t="s">
        <v>3447</v>
      </c>
      <c r="I2" s="3304" t="s">
        <v>3009</v>
      </c>
      <c r="J2" s="3305"/>
      <c r="K2" s="3306"/>
      <c r="L2" s="3227" t="s">
        <v>3441</v>
      </c>
    </row>
    <row r="3" spans="1:15" ht="21.95" customHeight="1">
      <c r="A3" s="3303"/>
      <c r="B3" s="3303"/>
      <c r="C3" s="3184" t="s">
        <v>3010</v>
      </c>
      <c r="D3" s="3184" t="s">
        <v>3007</v>
      </c>
      <c r="E3" s="3303"/>
      <c r="F3" s="3310"/>
      <c r="H3" s="3303"/>
      <c r="I3" s="3227" t="s">
        <v>3010</v>
      </c>
      <c r="J3" s="3227" t="s">
        <v>3007</v>
      </c>
      <c r="K3" s="3227" t="s">
        <v>3443</v>
      </c>
      <c r="L3" s="3227" t="s">
        <v>3440</v>
      </c>
      <c r="N3" s="3231" t="s">
        <v>3444</v>
      </c>
      <c r="O3" s="3231" t="s">
        <v>3445</v>
      </c>
    </row>
    <row r="4" spans="1:15" ht="21.95" customHeight="1">
      <c r="A4" s="3185">
        <v>36</v>
      </c>
      <c r="B4" s="3223">
        <v>18330.349999999999</v>
      </c>
      <c r="C4" s="3185">
        <v>17687.62</v>
      </c>
      <c r="D4" s="3185">
        <v>642.73</v>
      </c>
      <c r="E4" s="3185">
        <v>17467.400000000001</v>
      </c>
      <c r="F4" s="3183" t="s">
        <v>3013</v>
      </c>
      <c r="G4" s="3182"/>
      <c r="H4" s="3229">
        <v>18341.82</v>
      </c>
      <c r="I4" s="3229">
        <v>17402.66</v>
      </c>
      <c r="J4" s="3232">
        <v>642.73</v>
      </c>
      <c r="K4" s="3227">
        <f>232.69+175.11+232.69+236.93</f>
        <v>877.42000000000007</v>
      </c>
      <c r="L4" s="3228">
        <v>939.16</v>
      </c>
      <c r="N4">
        <f>C4-I4</f>
        <v>284.95999999999913</v>
      </c>
      <c r="O4">
        <f>D4-J4</f>
        <v>0</v>
      </c>
    </row>
    <row r="5" spans="1:15" ht="21.95" customHeight="1">
      <c r="A5" s="3185">
        <v>37</v>
      </c>
      <c r="B5" s="3223">
        <v>17854.740000000002</v>
      </c>
      <c r="C5" s="3185">
        <v>17294.88</v>
      </c>
      <c r="D5" s="3185">
        <v>559.86</v>
      </c>
      <c r="E5" s="3185">
        <v>17087.32</v>
      </c>
      <c r="F5" s="3183" t="s">
        <v>3013</v>
      </c>
      <c r="H5" s="3230">
        <v>17353.330000000002</v>
      </c>
      <c r="I5" s="3230">
        <v>17128.96</v>
      </c>
      <c r="J5" s="3232">
        <v>559.86</v>
      </c>
      <c r="K5" s="3228"/>
      <c r="L5" s="3228">
        <v>224.37</v>
      </c>
      <c r="N5">
        <f t="shared" ref="N5:N22" si="0">C5-I5</f>
        <v>165.92000000000189</v>
      </c>
      <c r="O5">
        <f t="shared" ref="O5:O23" si="1">D5-J5</f>
        <v>0</v>
      </c>
    </row>
    <row r="6" spans="1:15" ht="21.95" customHeight="1">
      <c r="A6" s="3185">
        <v>38</v>
      </c>
      <c r="B6" s="3223">
        <v>17604.259999999998</v>
      </c>
      <c r="C6" s="3185">
        <v>17294.88</v>
      </c>
      <c r="D6" s="3185">
        <v>309.38</v>
      </c>
      <c r="E6" s="3185">
        <v>17087.32</v>
      </c>
      <c r="F6" s="3183" t="s">
        <v>3013</v>
      </c>
      <c r="H6" s="3230">
        <v>17353.330000000002</v>
      </c>
      <c r="I6" s="3230">
        <v>17128.96</v>
      </c>
      <c r="J6" s="3232">
        <v>309.38</v>
      </c>
      <c r="K6" s="3228"/>
      <c r="L6" s="3228">
        <v>224.37</v>
      </c>
      <c r="N6">
        <f t="shared" si="0"/>
        <v>165.92000000000189</v>
      </c>
      <c r="O6">
        <f t="shared" si="1"/>
        <v>0</v>
      </c>
    </row>
    <row r="7" spans="1:15" ht="21.95" customHeight="1">
      <c r="A7" s="3185">
        <v>39</v>
      </c>
      <c r="B7" s="3223">
        <v>19118.78</v>
      </c>
      <c r="C7" s="3185">
        <v>18779.71</v>
      </c>
      <c r="D7" s="3185">
        <v>339.07</v>
      </c>
      <c r="E7" s="3185">
        <v>18621.73</v>
      </c>
      <c r="F7" s="3183" t="s">
        <v>3013</v>
      </c>
      <c r="H7" s="3229">
        <v>18841.91</v>
      </c>
      <c r="I7" s="3230">
        <v>18450.080000000002</v>
      </c>
      <c r="J7" s="3232">
        <v>339.07</v>
      </c>
      <c r="K7" s="3228"/>
      <c r="L7" s="3228">
        <v>391.83</v>
      </c>
      <c r="N7">
        <f t="shared" si="0"/>
        <v>329.62999999999738</v>
      </c>
      <c r="O7">
        <f t="shared" si="1"/>
        <v>0</v>
      </c>
    </row>
    <row r="8" spans="1:15" ht="21.95" customHeight="1">
      <c r="A8" s="3185">
        <v>40</v>
      </c>
      <c r="B8" s="3223">
        <v>19075.18</v>
      </c>
      <c r="C8" s="3185">
        <v>18775.79</v>
      </c>
      <c r="D8" s="3185">
        <v>299.39</v>
      </c>
      <c r="E8" s="3185">
        <v>18611</v>
      </c>
      <c r="F8" s="3183" t="s">
        <v>3013</v>
      </c>
      <c r="H8" s="3229">
        <v>18834.439999999999</v>
      </c>
      <c r="I8" s="3230">
        <v>18487.3</v>
      </c>
      <c r="J8" s="3232">
        <v>299.39</v>
      </c>
      <c r="K8" s="3228"/>
      <c r="L8" s="3228">
        <v>347.14</v>
      </c>
      <c r="N8">
        <f t="shared" si="0"/>
        <v>288.4900000000016</v>
      </c>
      <c r="O8">
        <f t="shared" si="1"/>
        <v>0</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3442</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3442</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3442</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3442</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c r="H23">
        <f>SUM(H4:H22)</f>
        <v>108749.29999999996</v>
      </c>
      <c r="J23" s="3233">
        <f>SUM(J4:J22)</f>
        <v>7855.22</v>
      </c>
      <c r="O23">
        <f t="shared" si="1"/>
        <v>-493.35000000000036</v>
      </c>
    </row>
    <row r="24" spans="1:15" ht="25.5" customHeight="1">
      <c r="A24" s="3184" t="s">
        <v>3019</v>
      </c>
      <c r="B24" s="3185">
        <f>SUM(B4:B23)</f>
        <v>121204.00000000003</v>
      </c>
      <c r="C24" s="3185">
        <f>SUM(C4:C23)</f>
        <v>104659.02999999997</v>
      </c>
      <c r="D24" s="3185">
        <f>SUM(D4:D23)</f>
        <v>16544.97</v>
      </c>
      <c r="E24" s="3185">
        <f>SUM(E4:E23)</f>
        <v>103906.93000000004</v>
      </c>
      <c r="F24" s="3183" t="s">
        <v>3020</v>
      </c>
    </row>
    <row r="25" spans="1:15">
      <c r="H25" s="3182" t="s">
        <v>3448</v>
      </c>
    </row>
    <row r="26" spans="1:15">
      <c r="H26" s="3182" t="s">
        <v>3449</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34" sqref="L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v>37499.699999999997</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37499.69</v>
      </c>
      <c r="F6" s="26" t="s">
        <v>1</v>
      </c>
      <c r="G6" s="26" t="s">
        <v>2</v>
      </c>
      <c r="H6" s="32">
        <f>SUMIF(I$12:AB$12,"总值",I6:AB6)</f>
        <v>36446.630000000005</v>
      </c>
      <c r="I6" s="26">
        <f t="shared" ref="I6:AB6" si="2">ROUND($A$3*I5/$B$3,2)</f>
        <v>27738.959999999999</v>
      </c>
      <c r="J6" s="26">
        <f t="shared" si="2"/>
        <v>0</v>
      </c>
      <c r="K6" s="26">
        <f t="shared" si="2"/>
        <v>5699.69</v>
      </c>
      <c r="L6" s="26">
        <f t="shared" si="2"/>
        <v>0</v>
      </c>
      <c r="M6" s="26">
        <f t="shared" si="2"/>
        <v>3007.98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1053.06</v>
      </c>
      <c r="AD6" s="26">
        <f t="shared" ref="AD6:AS6" si="3">ROUND($A$3*AD5/$B$3,2)</f>
        <v>569.29999999999995</v>
      </c>
      <c r="AE6" s="26">
        <f t="shared" si="3"/>
        <v>0</v>
      </c>
      <c r="AF6" s="26">
        <f t="shared" si="3"/>
        <v>0</v>
      </c>
      <c r="AG6" s="26">
        <f t="shared" si="3"/>
        <v>0</v>
      </c>
      <c r="AH6" s="26">
        <f t="shared" si="3"/>
        <v>277.45999999999998</v>
      </c>
      <c r="AI6" s="26">
        <f t="shared" si="3"/>
        <v>0</v>
      </c>
      <c r="AJ6" s="26">
        <f t="shared" si="3"/>
        <v>0</v>
      </c>
      <c r="AK6" s="26">
        <f t="shared" si="3"/>
        <v>0</v>
      </c>
      <c r="AL6" s="26">
        <f t="shared" si="3"/>
        <v>206.3</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37499.699999999997</v>
      </c>
      <c r="AZ6" s="26" t="s">
        <v>3</v>
      </c>
      <c r="BA6" s="26">
        <f>ROUND($AY$6*BA5/$AZ$5,2)</f>
        <v>36446.629999999997</v>
      </c>
      <c r="BB6" s="26">
        <f>ROUND($AY$6*BB5/$AZ$5,2)</f>
        <v>27738.959999999999</v>
      </c>
      <c r="BC6" s="26">
        <f t="shared" ref="BC6:BH6" si="4">ROUND($AY$6*BC5/$AZ$5,2)</f>
        <v>5699.69</v>
      </c>
      <c r="BD6" s="26">
        <f t="shared" si="4"/>
        <v>3007.98</v>
      </c>
      <c r="BE6" s="26">
        <f t="shared" si="4"/>
        <v>0</v>
      </c>
      <c r="BF6" s="26">
        <f t="shared" si="4"/>
        <v>0</v>
      </c>
      <c r="BG6" s="26">
        <f t="shared" si="4"/>
        <v>0</v>
      </c>
      <c r="BH6" s="26">
        <f t="shared" si="4"/>
        <v>0</v>
      </c>
      <c r="BI6" s="26">
        <f t="shared" ref="BI6:BT6" si="5">ROUND($AY$6*BI5/$AZ$5,2)</f>
        <v>0</v>
      </c>
      <c r="BJ6" s="26">
        <f t="shared" si="5"/>
        <v>0</v>
      </c>
      <c r="BK6" s="26">
        <f t="shared" si="5"/>
        <v>0</v>
      </c>
      <c r="BL6" s="26">
        <f t="shared" si="5"/>
        <v>1053.07</v>
      </c>
      <c r="BM6" s="26">
        <f t="shared" si="5"/>
        <v>569.29999999999995</v>
      </c>
      <c r="BN6" s="26">
        <f t="shared" si="5"/>
        <v>0</v>
      </c>
      <c r="BO6" s="26">
        <f t="shared" si="5"/>
        <v>277.45999999999998</v>
      </c>
      <c r="BP6" s="26">
        <f t="shared" si="5"/>
        <v>0</v>
      </c>
      <c r="BQ6" s="26">
        <f t="shared" si="5"/>
        <v>206.3</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3390</v>
      </c>
      <c r="J11" s="70"/>
      <c r="K11" s="3040" t="s">
        <v>3391</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3382</v>
      </c>
      <c r="C13" s="3207" t="s">
        <v>3348</v>
      </c>
      <c r="D13" s="3037" t="s">
        <v>3364</v>
      </c>
      <c r="E13" s="26">
        <f t="shared" ref="E13:E20" si="6">IF($C$3="是",ROUND($A$3*G13/$B$3,2),ROUND($A$3*(G13-AT13)/$B$3,2))</f>
        <v>5706.31</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5706.31</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3382</v>
      </c>
      <c r="C14" s="3207" t="s">
        <v>3349</v>
      </c>
      <c r="D14" s="3037" t="s">
        <v>3364</v>
      </c>
      <c r="E14" s="26">
        <f t="shared" si="6"/>
        <v>5593.55</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5593.55</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3382</v>
      </c>
      <c r="C15" s="3207" t="s">
        <v>3350</v>
      </c>
      <c r="D15" s="3037" t="s">
        <v>3364</v>
      </c>
      <c r="E15" s="26">
        <f t="shared" si="6"/>
        <v>5514.35</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5514.35</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3382</v>
      </c>
      <c r="C16" s="3207" t="s">
        <v>3351</v>
      </c>
      <c r="D16" s="3037" t="s">
        <v>3364</v>
      </c>
      <c r="E16" s="26">
        <f t="shared" si="6"/>
        <v>5941.5</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5941.5</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3382</v>
      </c>
      <c r="C17" s="3207" t="s">
        <v>3352</v>
      </c>
      <c r="D17" s="3037" t="s">
        <v>3364</v>
      </c>
      <c r="E17" s="26">
        <f t="shared" si="6"/>
        <v>5940.72</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5940.72</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3380</v>
      </c>
      <c r="C18" s="3211" t="s">
        <v>3376</v>
      </c>
      <c r="D18" s="3037" t="s">
        <v>3364</v>
      </c>
      <c r="E18" s="86">
        <f t="shared" si="6"/>
        <v>62.14</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62.14</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3380</v>
      </c>
      <c r="C19" s="3211" t="s">
        <v>3377</v>
      </c>
      <c r="D19" s="3037" t="s">
        <v>3364</v>
      </c>
      <c r="E19" s="86">
        <f t="shared" si="6"/>
        <v>62.3</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62.3</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3380</v>
      </c>
      <c r="C20" s="3211" t="s">
        <v>3378</v>
      </c>
      <c r="D20" s="3037" t="s">
        <v>3364</v>
      </c>
      <c r="E20" s="86">
        <f t="shared" si="6"/>
        <v>81.87</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81.87</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3381</v>
      </c>
      <c r="C21" s="3211" t="s">
        <v>3379</v>
      </c>
      <c r="D21" s="3037" t="s">
        <v>3364</v>
      </c>
      <c r="E21" s="86">
        <f t="shared" ref="E21:E112" si="33">IF($C$3="是",ROUND($A$3*G21/$B$3,2),ROUND($A$3*(G21-AT21)/$B$3,2))</f>
        <v>569.29999999999995</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569.29999999999995</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3384</v>
      </c>
      <c r="C22" s="3207" t="s">
        <v>3353</v>
      </c>
      <c r="D22" s="3037" t="s">
        <v>3364</v>
      </c>
      <c r="E22" s="86">
        <f t="shared" si="33"/>
        <v>499.29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499.29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3384</v>
      </c>
      <c r="C23" s="3207" t="s">
        <v>3354</v>
      </c>
      <c r="D23" s="3037" t="s">
        <v>3364</v>
      </c>
      <c r="E23" s="86">
        <f t="shared" si="33"/>
        <v>602.85</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602.85</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3384</v>
      </c>
      <c r="C24" s="3207" t="s">
        <v>3355</v>
      </c>
      <c r="D24" s="3037" t="s">
        <v>3364</v>
      </c>
      <c r="E24" s="86">
        <f t="shared" si="33"/>
        <v>500.7</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500.7</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3384</v>
      </c>
      <c r="C25" s="3207" t="s">
        <v>3356</v>
      </c>
      <c r="D25" s="3037" t="s">
        <v>3364</v>
      </c>
      <c r="E25" s="86">
        <f t="shared" si="33"/>
        <v>601.66</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601.66</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3384</v>
      </c>
      <c r="C26" s="3207" t="s">
        <v>3357</v>
      </c>
      <c r="D26" s="3037" t="s">
        <v>3364</v>
      </c>
      <c r="E26" s="86">
        <f t="shared" si="33"/>
        <v>594.75</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594.75</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3384</v>
      </c>
      <c r="C27" s="3207" t="s">
        <v>3358</v>
      </c>
      <c r="D27" s="3037" t="s">
        <v>3364</v>
      </c>
      <c r="E27" s="86">
        <f t="shared" si="33"/>
        <v>601.66</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601.66</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3384</v>
      </c>
      <c r="C28" s="3207" t="s">
        <v>3359</v>
      </c>
      <c r="D28" s="3037" t="s">
        <v>3364</v>
      </c>
      <c r="E28" s="86">
        <f t="shared" si="33"/>
        <v>500.7</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500.7</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3384</v>
      </c>
      <c r="C29" s="3207" t="s">
        <v>3360</v>
      </c>
      <c r="D29" s="3213" t="s">
        <v>3385</v>
      </c>
      <c r="E29" s="86">
        <f t="shared" si="33"/>
        <v>601.66</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601.66</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3384</v>
      </c>
      <c r="C30" s="3207" t="s">
        <v>3361</v>
      </c>
      <c r="D30" s="3213" t="s">
        <v>3385</v>
      </c>
      <c r="E30" s="86">
        <f t="shared" si="33"/>
        <v>594.75</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594.75</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3384</v>
      </c>
      <c r="C31" s="3207" t="s">
        <v>3362</v>
      </c>
      <c r="D31" s="3213" t="s">
        <v>3385</v>
      </c>
      <c r="E31" s="86">
        <f t="shared" si="33"/>
        <v>601.66</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601.66</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3363</v>
      </c>
      <c r="D32" s="3213" t="s">
        <v>3385</v>
      </c>
      <c r="E32" s="86">
        <f t="shared" si="33"/>
        <v>2327.9699999999998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2327.9699999999998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22" t="s">
        <v>203</v>
      </c>
      <c r="B2" s="3322"/>
      <c r="C2" s="3322"/>
      <c r="D2" s="1974" t="s">
        <v>204</v>
      </c>
      <c r="E2" s="105" t="s">
        <v>205</v>
      </c>
      <c r="F2" s="1983"/>
      <c r="G2" s="1197"/>
      <c r="H2" s="1198"/>
      <c r="I2" s="1199" t="s">
        <v>857</v>
      </c>
      <c r="J2" s="1983"/>
      <c r="K2" s="1983"/>
      <c r="L2" s="1983"/>
    </row>
    <row r="3" spans="1:16" ht="15.75" thickBot="1">
      <c r="A3" s="3323" t="s">
        <v>206</v>
      </c>
      <c r="B3" s="3323"/>
      <c r="C3" s="3323"/>
      <c r="D3" s="106">
        <f>'数据-基础表'!AY6</f>
        <v>37499.699999999997</v>
      </c>
      <c r="E3" s="106">
        <f>'数据-基础表'!AZ5</f>
        <v>118587.47999999997</v>
      </c>
      <c r="F3" s="1983"/>
      <c r="G3" s="279" t="s">
        <v>858</v>
      </c>
      <c r="H3" s="274" t="s">
        <v>859</v>
      </c>
      <c r="I3" s="1975">
        <f>ROUND('数据-基础表'!B3/'数据-基础表'!A3,2)</f>
        <v>3.16</v>
      </c>
      <c r="J3" s="1983"/>
      <c r="K3" s="1983"/>
      <c r="L3" s="1983"/>
    </row>
    <row r="4" spans="1:16" ht="15">
      <c r="A4" s="3324"/>
      <c r="B4" s="3325"/>
      <c r="C4" s="3326"/>
      <c r="D4" s="107" t="s">
        <v>204</v>
      </c>
      <c r="E4" s="108" t="s">
        <v>205</v>
      </c>
      <c r="F4" s="1983"/>
      <c r="G4" s="1200"/>
      <c r="H4" s="274" t="s">
        <v>860</v>
      </c>
      <c r="I4" s="1975">
        <f>ROUND(SUMIF('数据-基础表'!I9:AS9,"地上",'数据-基础表'!I5:AS5)/'数据-基础表'!A3,2)</f>
        <v>2.91</v>
      </c>
      <c r="J4" s="1983"/>
      <c r="K4" s="1983"/>
      <c r="L4" s="1983"/>
    </row>
    <row r="5" spans="1:16">
      <c r="A5" s="109" t="s">
        <v>207</v>
      </c>
      <c r="B5" s="3327" t="s">
        <v>230</v>
      </c>
      <c r="C5" s="3327"/>
      <c r="D5" s="110">
        <f>ROUND($D$3*E5/$E$3,2)</f>
        <v>33438.660000000003</v>
      </c>
      <c r="E5" s="111">
        <f>SUMIF('数据-基础表'!$11:$11,"住宅",'数据-基础表'!$5:$5)</f>
        <v>105745.01</v>
      </c>
      <c r="F5" s="1983"/>
      <c r="G5" s="279" t="s">
        <v>861</v>
      </c>
      <c r="H5" s="274" t="s">
        <v>859</v>
      </c>
      <c r="I5" s="1975">
        <f>ROUND(E31/D31,2)</f>
        <v>3.16</v>
      </c>
      <c r="J5" s="1983"/>
      <c r="K5" s="1983"/>
      <c r="L5" s="1983"/>
    </row>
    <row r="6" spans="1:16" ht="15" thickBot="1">
      <c r="A6" s="112"/>
      <c r="B6" s="3327" t="s">
        <v>208</v>
      </c>
      <c r="C6" s="3327"/>
      <c r="D6" s="110">
        <f>ROUND($D$3*E6/$E$3,2)</f>
        <v>4061.04</v>
      </c>
      <c r="E6" s="111">
        <f>E3-E5</f>
        <v>12842.469999999972</v>
      </c>
      <c r="F6" s="1983"/>
      <c r="G6" s="1200"/>
      <c r="H6" s="274" t="s">
        <v>860</v>
      </c>
      <c r="I6" s="1975">
        <f>ROUND(F31/D31,2)</f>
        <v>2.91</v>
      </c>
      <c r="J6" s="1983"/>
      <c r="K6" s="1983"/>
      <c r="L6" s="1983"/>
    </row>
    <row r="7" spans="1:16" ht="15">
      <c r="A7" s="3319"/>
      <c r="B7" s="3320"/>
      <c r="C7" s="3321"/>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33438.660000000003</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3007.98</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36446.640000000007</v>
      </c>
      <c r="E16" s="119">
        <f>SUM(E8:E15)</f>
        <v>115257.31</v>
      </c>
      <c r="F16" s="1983"/>
      <c r="G16" s="1985"/>
      <c r="H16" s="967" t="s">
        <v>219</v>
      </c>
      <c r="I16" s="968"/>
      <c r="J16" s="1983"/>
      <c r="K16" s="3313" t="s">
        <v>2566</v>
      </c>
      <c r="L16" s="3314"/>
      <c r="M16" s="3314"/>
      <c r="N16" s="3314"/>
      <c r="O16" s="3314"/>
      <c r="P16" s="3315"/>
    </row>
    <row r="17" spans="1:19" ht="15">
      <c r="A17" s="120" t="s">
        <v>216</v>
      </c>
      <c r="B17" s="121" t="s">
        <v>217</v>
      </c>
      <c r="C17" s="2297" t="s">
        <v>2313</v>
      </c>
      <c r="D17" s="107" t="s">
        <v>204</v>
      </c>
      <c r="E17" s="123" t="s">
        <v>205</v>
      </c>
      <c r="F17" s="124"/>
      <c r="G17" s="1365"/>
      <c r="H17" s="969" t="s">
        <v>218</v>
      </c>
      <c r="I17" s="970" t="s">
        <v>2312</v>
      </c>
      <c r="J17" s="1983"/>
      <c r="K17" s="3316" t="s">
        <v>2567</v>
      </c>
      <c r="L17" s="3317"/>
      <c r="M17" s="3318"/>
      <c r="N17" s="3316" t="s">
        <v>2568</v>
      </c>
      <c r="O17" s="3317"/>
      <c r="P17" s="3318"/>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3373</v>
      </c>
      <c r="D19" s="110">
        <f t="shared" ref="D19:D26" si="1">ROUND($D$3*E19/$E$3,2)</f>
        <v>27738.959999999999</v>
      </c>
      <c r="E19" s="133">
        <f t="shared" ref="E19:E26" si="2">SUM(F19:G19)</f>
        <v>87720.54</v>
      </c>
      <c r="F19" s="134">
        <f>'数据-基础表'!I5</f>
        <v>87720.54</v>
      </c>
      <c r="G19" s="1367"/>
      <c r="H19" s="973">
        <f>ROUND($D$3*I19/$E$3,2)</f>
        <v>1003.78</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28742.739999999998</v>
      </c>
      <c r="S19" s="2300">
        <f t="shared" si="5"/>
        <v>90894.84</v>
      </c>
    </row>
    <row r="20" spans="1:19">
      <c r="A20" s="137"/>
      <c r="B20" s="114" t="s">
        <v>226</v>
      </c>
      <c r="C20" s="3045" t="s">
        <v>3392</v>
      </c>
      <c r="D20" s="110">
        <f t="shared" si="1"/>
        <v>5699.69</v>
      </c>
      <c r="E20" s="133">
        <f t="shared" si="2"/>
        <v>18024.469999999998</v>
      </c>
      <c r="F20" s="134">
        <f>'数据-基础表'!K5</f>
        <v>18024.469999999998</v>
      </c>
      <c r="G20" s="1367"/>
      <c r="H20" s="973">
        <f t="shared" ref="H20:H26" si="6">ROUND($D$3*I20/$E$3,2)</f>
        <v>32.26</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5731.95</v>
      </c>
      <c r="S20" s="2300">
        <f t="shared" si="5"/>
        <v>18126.499999999996</v>
      </c>
    </row>
    <row r="21" spans="1:19">
      <c r="A21" s="137"/>
      <c r="B21" s="114" t="s">
        <v>226</v>
      </c>
      <c r="C21" s="3045" t="s">
        <v>3393</v>
      </c>
      <c r="D21" s="110">
        <f t="shared" si="1"/>
        <v>3007.98</v>
      </c>
      <c r="E21" s="133">
        <f t="shared" si="2"/>
        <v>9512.2999999999993</v>
      </c>
      <c r="F21" s="134"/>
      <c r="G21" s="1367">
        <f>'数据-基础表'!M5</f>
        <v>9512.2999999999993</v>
      </c>
      <c r="H21" s="973">
        <f t="shared" si="6"/>
        <v>17.03</v>
      </c>
      <c r="I21" s="115">
        <f t="shared" si="7"/>
        <v>53.84</v>
      </c>
      <c r="J21" s="1983"/>
      <c r="K21" s="2631">
        <f t="shared" si="3"/>
        <v>53.84</v>
      </c>
      <c r="L21" s="274">
        <f t="shared" si="4"/>
        <v>0</v>
      </c>
      <c r="M21" s="2632">
        <f t="shared" si="8"/>
        <v>53.84</v>
      </c>
      <c r="N21" s="2633"/>
      <c r="O21" s="2634"/>
      <c r="P21" s="2635">
        <f t="shared" si="9"/>
        <v>0</v>
      </c>
      <c r="R21" s="274">
        <f t="shared" si="5"/>
        <v>3025.01</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36446.630000000005</v>
      </c>
      <c r="E27" s="142">
        <f>IF(SUM(E19:E26)='数据-基础表'!BA5,SUM(E19:E26),IF(F27="地上面积有误","面积有误","地下面积有误"))</f>
        <v>115257.31</v>
      </c>
      <c r="F27" s="133">
        <f>IF(SUM(F19:F26)=E8,SUM(F19:F26),"地上面积有误")</f>
        <v>105745.01</v>
      </c>
      <c r="G27" s="111">
        <f>SUM(G19:G26)</f>
        <v>9512.2999999999993</v>
      </c>
      <c r="H27" s="974">
        <f>SUM(H19:H26)</f>
        <v>1053.07</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f>IF(SUM(R19:R26)=$D$3,SUM(R19:R26),SUM(R19:R26)&amp;"误差"&amp;ROUND(SUM(R19:R26)-$D$3,2))</f>
        <v>37499.699999999997</v>
      </c>
      <c r="S27" s="274">
        <f>IF(SUM(S19:S26)=$E$3,SUM(S19:S26),SUM(S19:S26)&amp;"误差"&amp;ROUND(SUM(S19:S26)-E3,2))</f>
        <v>118587.48</v>
      </c>
    </row>
    <row r="28" spans="1:19">
      <c r="A28" s="137"/>
      <c r="B28" s="114" t="s">
        <v>227</v>
      </c>
      <c r="C28" s="135" t="s">
        <v>228</v>
      </c>
      <c r="D28" s="110">
        <f>ROUND($D$3*E28/$E$3,2)</f>
        <v>206.3</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846.76</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1053.06</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37499.69</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C28" sqref="C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3200</v>
      </c>
      <c r="M6" s="176">
        <f t="shared" ref="M6:M14" si="0">ROUND(K6*L6/10000,0)</f>
        <v>28071</v>
      </c>
      <c r="N6" s="3048">
        <v>0</v>
      </c>
      <c r="O6" s="176">
        <f>IF($N$5="成新度","——",ROUND(M6*N6,0))</f>
        <v>0</v>
      </c>
      <c r="P6" s="177">
        <f>IF($N$5="成新度","——",M6-O6)</f>
        <v>28071</v>
      </c>
      <c r="Q6" s="3225">
        <v>0.15</v>
      </c>
      <c r="R6" s="178">
        <f>SUMIF('数据-汇总表'!C$19:C$33,A6,'数据-汇总表'!R$19:R$33)</f>
        <v>28742.739999999998</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2500</v>
      </c>
      <c r="M7" s="176">
        <f t="shared" si="0"/>
        <v>4506</v>
      </c>
      <c r="N7" s="3048">
        <v>0</v>
      </c>
      <c r="O7" s="176">
        <f t="shared" ref="O7:O14" si="3">IF($N$5="成新度","——",ROUND(M7*N7,0))</f>
        <v>0</v>
      </c>
      <c r="P7" s="177">
        <f t="shared" ref="P7:P14" si="4">IF($N$5="成新度","——",M7-O7)</f>
        <v>4506</v>
      </c>
      <c r="Q7" s="3225">
        <v>0.15</v>
      </c>
      <c r="R7" s="178">
        <f>SUMIF('数据-汇总表'!C$19:C$33,A7,'数据-汇总表'!R$19:R$33)</f>
        <v>5731.95</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0.05</v>
      </c>
      <c r="R8" s="178">
        <f>SUMIF('数据-汇总表'!C$19:C$33,A8,'数据-汇总表'!R$19:R$33)</f>
        <v>3025.01</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3438</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2968</v>
      </c>
      <c r="M16" s="205">
        <f>SUM(M6:M14)</f>
        <v>34406</v>
      </c>
      <c r="N16" s="206">
        <f>ROUND(SUMPRODUCT(M6:M14,N6:N14)/M16,3)</f>
        <v>0</v>
      </c>
      <c r="O16" s="205">
        <f>SUM(O6:O14)</f>
        <v>0</v>
      </c>
      <c r="P16" s="205">
        <f>SUM(P6:P14)</f>
        <v>34406</v>
      </c>
      <c r="Q16" s="207">
        <f>ROUND(SUMPRODUCT(Q6:Q13,K6:K13)/SUMPRODUCT((Q6:Q13&gt;0)*(K6:K13)),2)</f>
        <v>0.14000000000000001</v>
      </c>
      <c r="R16" s="2310">
        <f>SUM(R6:R13)</f>
        <v>37499.699999999997</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3375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150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3374</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8" t="s">
        <v>1664</v>
      </c>
      <c r="B1" s="3329"/>
      <c r="C1" s="3329"/>
      <c r="D1" s="3329"/>
      <c r="E1" s="3329"/>
      <c r="F1" s="3329"/>
      <c r="G1" s="3329"/>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3337</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3338</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3339</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3340</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3341</v>
      </c>
      <c r="D8" s="2009"/>
      <c r="E8" s="2009"/>
      <c r="F8" s="1552"/>
      <c r="G8" s="1552"/>
      <c r="H8" s="2007"/>
      <c r="I8" s="2007"/>
      <c r="J8" s="2007"/>
      <c r="K8" s="2007"/>
      <c r="L8" s="2007"/>
      <c r="M8" s="2007"/>
      <c r="N8" s="2007"/>
      <c r="O8" s="2007"/>
      <c r="P8" s="2007"/>
      <c r="Q8" s="2007"/>
      <c r="R8" s="2007"/>
    </row>
    <row r="9" spans="1:18" ht="40.5">
      <c r="A9" s="1228"/>
      <c r="B9" s="1230" t="s">
        <v>1657</v>
      </c>
      <c r="C9" s="3201" t="s">
        <v>3342</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3345</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3344</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3343</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37499.699999999997</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256375</v>
      </c>
      <c r="C5" s="3066">
        <f ca="1">ROUND(B5*10000/$B$1,0)</f>
        <v>21619</v>
      </c>
      <c r="D5" s="3066">
        <f ca="1">ROUND(B5*10000/$B$2,0)</f>
        <v>68367</v>
      </c>
      <c r="E5" s="3067"/>
      <c r="F5" s="3067"/>
    </row>
    <row r="6" spans="1:9" ht="16.5">
      <c r="A6" s="3066" t="s">
        <v>2851</v>
      </c>
      <c r="B6" s="3066">
        <f ca="1">SUM(G14:G23)</f>
        <v>256375</v>
      </c>
      <c r="C6" s="3066">
        <f t="shared" ref="C6:C8" ca="1" si="0">ROUND(B6*10000/$B$1,0)</f>
        <v>21619</v>
      </c>
      <c r="D6" s="3066">
        <f t="shared" ref="D6:D8" ca="1" si="1">ROUND(B6*10000/$B$2,0)</f>
        <v>68367</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37499.699999999997</v>
      </c>
      <c r="D14" s="3070">
        <f ca="1">结果表!C42</f>
        <v>256375</v>
      </c>
      <c r="E14" s="3070">
        <f ca="1">ROUND(D14*10000/B14,0)</f>
        <v>21619</v>
      </c>
      <c r="F14" s="3070">
        <f ca="1">ROUND(D14*10000/C14,0)</f>
        <v>68367</v>
      </c>
      <c r="G14" s="3070">
        <f ca="1">结果表!C44</f>
        <v>256375</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F26" sqref="F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3386</v>
      </c>
      <c r="E1" s="1804" t="s">
        <v>2057</v>
      </c>
      <c r="F1" s="1806" t="s">
        <v>3387</v>
      </c>
      <c r="G1" s="310"/>
      <c r="H1" s="310"/>
      <c r="I1" s="310"/>
      <c r="J1" s="2028"/>
      <c r="K1" s="2028"/>
      <c r="L1" s="2028"/>
      <c r="M1" s="2028"/>
      <c r="N1" s="2028"/>
      <c r="O1" s="2028"/>
      <c r="P1" s="2028"/>
      <c r="Q1" s="2028"/>
      <c r="R1" s="2028"/>
      <c r="S1" s="2028"/>
      <c r="T1" s="2028"/>
      <c r="U1" s="2028"/>
      <c r="V1" s="2028"/>
    </row>
    <row r="2" spans="1:22" ht="21.75" customHeight="1" thickBot="1">
      <c r="A2" s="3366" t="str">
        <f>项目基本情况!K2</f>
        <v>江苏省苏州市吴中区木渎镇竹园路北侧、金枫路西侧（苏地2016-WG-6）地块出让国有建设用地使用权</v>
      </c>
      <c r="B2" s="3367"/>
      <c r="C2" s="3368"/>
      <c r="D2" s="3368"/>
      <c r="E2" s="3368"/>
      <c r="F2" s="3368"/>
      <c r="G2" s="3367"/>
      <c r="H2" s="3367"/>
      <c r="I2" s="3369"/>
      <c r="J2" s="2029"/>
      <c r="K2" s="2028"/>
      <c r="L2" s="2028"/>
      <c r="M2" s="2028"/>
      <c r="N2" s="2028"/>
      <c r="O2" s="2028"/>
      <c r="P2" s="2028"/>
      <c r="Q2" s="2028"/>
      <c r="R2" s="2028"/>
      <c r="S2" s="2028"/>
      <c r="T2" s="2028"/>
      <c r="U2" s="2028"/>
      <c r="V2" s="2028"/>
    </row>
    <row r="3" spans="1:22" ht="14.25">
      <c r="A3" s="3359" t="s">
        <v>298</v>
      </c>
      <c r="B3" s="3360"/>
      <c r="C3" s="3360"/>
      <c r="D3" s="3360"/>
      <c r="E3" s="3360"/>
      <c r="F3" s="3360"/>
      <c r="G3" s="3360"/>
      <c r="H3" s="3360"/>
      <c r="I3" s="3360"/>
      <c r="J3" s="2029"/>
      <c r="K3" s="2028"/>
      <c r="L3" s="2028"/>
      <c r="M3" s="2028"/>
      <c r="N3" s="2028"/>
      <c r="O3" s="2028"/>
      <c r="P3" s="2028"/>
      <c r="Q3" s="2028"/>
      <c r="R3" s="2028"/>
      <c r="S3" s="2028"/>
      <c r="T3" s="2028"/>
      <c r="U3" s="2028"/>
      <c r="V3" s="2028"/>
    </row>
    <row r="4" spans="1:22" ht="14.25">
      <c r="A4" s="257" t="s">
        <v>299</v>
      </c>
      <c r="B4" s="258" t="s">
        <v>300</v>
      </c>
      <c r="C4" s="259" t="s">
        <v>3388</v>
      </c>
      <c r="D4" s="259" t="s">
        <v>3389</v>
      </c>
      <c r="E4" s="3331" t="s">
        <v>301</v>
      </c>
      <c r="F4" s="3332"/>
      <c r="G4" s="3332"/>
      <c r="H4" s="3332"/>
      <c r="I4" s="336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0" t="s">
        <v>302</v>
      </c>
      <c r="B5" s="3356">
        <v>25</v>
      </c>
      <c r="C5" s="3354"/>
      <c r="D5" s="3358"/>
      <c r="E5" s="260" t="s">
        <v>303</v>
      </c>
      <c r="F5" s="261"/>
      <c r="G5" s="261"/>
      <c r="H5" s="261"/>
      <c r="I5" s="262"/>
      <c r="J5" s="2029"/>
      <c r="K5" s="2028"/>
      <c r="L5" s="2028"/>
      <c r="M5" s="2028"/>
      <c r="N5" s="2028"/>
      <c r="O5" s="2028"/>
      <c r="P5" s="2028"/>
      <c r="Q5" s="2028"/>
      <c r="R5" s="2028"/>
      <c r="S5" s="2028"/>
      <c r="T5" s="2028"/>
      <c r="U5" s="2028"/>
      <c r="V5" s="2028"/>
    </row>
    <row r="6" spans="1:22" ht="14.25">
      <c r="A6" s="3330"/>
      <c r="B6" s="3356"/>
      <c r="C6" s="3357"/>
      <c r="D6" s="3358"/>
      <c r="E6" s="260" t="s">
        <v>304</v>
      </c>
      <c r="F6" s="261"/>
      <c r="G6" s="261"/>
      <c r="H6" s="261"/>
      <c r="I6" s="262"/>
      <c r="J6" s="2029"/>
      <c r="K6" s="2028"/>
      <c r="L6" s="2028"/>
      <c r="M6" s="2028"/>
      <c r="N6" s="2028"/>
      <c r="O6" s="2028"/>
      <c r="P6" s="2028"/>
      <c r="Q6" s="2028"/>
      <c r="R6" s="2028"/>
      <c r="S6" s="2028"/>
      <c r="T6" s="2028"/>
      <c r="U6" s="2028"/>
      <c r="V6" s="2028"/>
    </row>
    <row r="7" spans="1:22" ht="14.25">
      <c r="A7" s="3330"/>
      <c r="B7" s="3356"/>
      <c r="C7" s="3355"/>
      <c r="D7" s="3358"/>
      <c r="E7" s="260" t="s">
        <v>305</v>
      </c>
      <c r="F7" s="261"/>
      <c r="G7" s="261"/>
      <c r="H7" s="261"/>
      <c r="I7" s="262"/>
      <c r="J7" s="2029"/>
      <c r="K7" s="2028"/>
      <c r="L7" s="2028"/>
      <c r="M7" s="2028"/>
      <c r="N7" s="2028"/>
      <c r="O7" s="2028"/>
      <c r="P7" s="2028"/>
      <c r="Q7" s="2028"/>
      <c r="R7" s="2028"/>
      <c r="S7" s="2028"/>
      <c r="T7" s="2028"/>
      <c r="U7" s="2028"/>
      <c r="V7" s="2028"/>
    </row>
    <row r="8" spans="1:22" ht="14.25">
      <c r="A8" s="3330" t="s">
        <v>306</v>
      </c>
      <c r="B8" s="3356">
        <v>15</v>
      </c>
      <c r="C8" s="3354"/>
      <c r="D8" s="3358"/>
      <c r="E8" s="260" t="s">
        <v>307</v>
      </c>
      <c r="F8" s="261"/>
      <c r="G8" s="261"/>
      <c r="H8" s="261"/>
      <c r="I8" s="262"/>
      <c r="J8" s="2029"/>
      <c r="K8" s="2028"/>
      <c r="L8" s="2028"/>
      <c r="M8" s="2028"/>
      <c r="N8" s="2028"/>
      <c r="O8" s="2028"/>
      <c r="P8" s="2028"/>
      <c r="Q8" s="2028"/>
      <c r="R8" s="2028"/>
      <c r="S8" s="2028"/>
      <c r="T8" s="2028"/>
      <c r="U8" s="2028"/>
      <c r="V8" s="2028"/>
    </row>
    <row r="9" spans="1:22" ht="14.25">
      <c r="A9" s="3330"/>
      <c r="B9" s="3356"/>
      <c r="C9" s="3355"/>
      <c r="D9" s="3358"/>
      <c r="E9" s="260" t="s">
        <v>308</v>
      </c>
      <c r="F9" s="261"/>
      <c r="G9" s="261"/>
      <c r="H9" s="261"/>
      <c r="I9" s="262"/>
      <c r="J9" s="2029"/>
      <c r="K9" s="2028"/>
      <c r="L9" s="2028"/>
      <c r="M9" s="2028"/>
      <c r="N9" s="2028"/>
      <c r="O9" s="2028"/>
      <c r="P9" s="2028"/>
      <c r="Q9" s="2028"/>
      <c r="R9" s="2028"/>
      <c r="S9" s="2028"/>
      <c r="T9" s="2028"/>
      <c r="U9" s="2028"/>
      <c r="V9" s="2028"/>
    </row>
    <row r="10" spans="1:22" ht="14.25">
      <c r="A10" s="3330" t="s">
        <v>309</v>
      </c>
      <c r="B10" s="3356">
        <v>15</v>
      </c>
      <c r="C10" s="3354"/>
      <c r="D10" s="335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30"/>
      <c r="B11" s="3356"/>
      <c r="C11" s="3355"/>
      <c r="D11" s="335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30" t="s">
        <v>312</v>
      </c>
      <c r="B12" s="3356">
        <v>15</v>
      </c>
      <c r="C12" s="3354"/>
      <c r="D12" s="335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30"/>
      <c r="B13" s="3356"/>
      <c r="C13" s="3355"/>
      <c r="D13" s="335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30" t="s">
        <v>315</v>
      </c>
      <c r="B14" s="3356">
        <v>30</v>
      </c>
      <c r="C14" s="3354">
        <v>0.5</v>
      </c>
      <c r="D14" s="3358">
        <f>1-C14</f>
        <v>0.5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30"/>
      <c r="B15" s="3356"/>
      <c r="C15" s="3357"/>
      <c r="D15" s="335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30"/>
      <c r="B16" s="3356"/>
      <c r="C16" s="3355"/>
      <c r="D16" s="335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v>
      </c>
      <c r="D17" s="264">
        <f>SUM(D5:D16)</f>
        <v>0.5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293876</v>
      </c>
      <c r="D19" s="270">
        <f ca="1">SUMIF(INDIRECT("'"&amp;D4&amp;"'"&amp;"!A:A"),结果表!B19,INDIRECT("'"&amp;D4&amp;"'"&amp;"!B:B"))</f>
        <v>218874</v>
      </c>
      <c r="E19" s="267" t="s">
        <v>323</v>
      </c>
      <c r="F19" s="268" t="s">
        <v>322</v>
      </c>
      <c r="G19" s="271">
        <f ca="1">ROUND(C19*$C$18+D19*$D$18,0)</f>
        <v>256375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24781</v>
      </c>
      <c r="D20" s="276">
        <f ca="1">SUMIF(INDIRECT("'"&amp;D4&amp;"'"&amp;"!A:A"),结果表!B20,INDIRECT("'"&amp;D4&amp;"'"&amp;"!B:B"))</f>
        <v>18457</v>
      </c>
      <c r="E20" s="273"/>
      <c r="F20" s="274" t="s">
        <v>325</v>
      </c>
      <c r="G20" s="277">
        <f ca="1">ROUND(C20*$C$18+D20*$D$18,0)</f>
        <v>21619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78368</v>
      </c>
      <c r="D21" s="150">
        <f ca="1">SUMIF(INDIRECT("'"&amp;D4&amp;"'"&amp;"!A:A"),结果表!B21,INDIRECT("'"&amp;D4&amp;"'"&amp;"!B:B"))</f>
        <v>58367</v>
      </c>
      <c r="E21" s="273"/>
      <c r="F21" s="279" t="s">
        <v>327</v>
      </c>
      <c r="G21" s="281">
        <f ca="1">ROUND(C21*$C$18+D21*$D$18,0)</f>
        <v>68368</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0.34267203962096904</v>
      </c>
      <c r="E22" s="283"/>
      <c r="F22" s="284"/>
      <c r="G22" s="285">
        <f ca="1">ROUND(G19/('数据-汇总表'!D3/666.67),0)</f>
        <v>4558</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36"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37"/>
      <c r="B25" s="1320" t="s">
        <v>331</v>
      </c>
      <c r="C25" s="289">
        <f>IF(B30=0,0,C30)</f>
        <v>0</v>
      </c>
      <c r="D25" s="290"/>
      <c r="E25" s="310"/>
      <c r="F25" s="310"/>
      <c r="G25" s="310"/>
      <c r="H25" s="310"/>
      <c r="I25" s="310"/>
      <c r="J25" s="2028"/>
      <c r="K25" s="1254" t="str">
        <f ca="1">项目基本情况!B16&amp;"国有建设用地使用权价格："&amp;O38&amp;"万元"</f>
        <v>出让国有建设用地使用权价格：256375万元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大写金额：人民币贰拾伍亿陆仟叁佰柒拾伍万元整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23504.43061382067</v>
      </c>
      <c r="E27" s="310"/>
      <c r="F27" s="310"/>
      <c r="G27" s="310"/>
      <c r="H27" s="310"/>
      <c r="I27" s="310"/>
      <c r="J27" s="2028"/>
      <c r="K27" s="1257" t="str">
        <f ca="1">"单位面积地价："&amp;M38&amp;"元/平方米"</f>
        <v>单位面积地价：68367元/平方米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21619.061303942035</v>
      </c>
      <c r="E28" s="310"/>
      <c r="F28" s="310"/>
      <c r="G28" s="310"/>
      <c r="H28" s="310"/>
      <c r="I28" s="310"/>
      <c r="J28" s="2028"/>
      <c r="K28" s="1257" t="str">
        <f ca="1">"楼面地价："&amp;N38&amp;"元/平方米"</f>
        <v>楼面地价：21619元/平方米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抵押价格：256375万元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大写金额：人民币贰拾伍亿陆仟叁佰柒拾伍万元整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256375</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21619</v>
      </c>
      <c r="D33" s="1385" t="s">
        <v>1691</v>
      </c>
      <c r="E33" s="3336"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68367</v>
      </c>
      <c r="D34" s="1387" t="s">
        <v>1691</v>
      </c>
      <c r="E34" s="3377"/>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4558</v>
      </c>
      <c r="D35" s="1390" t="s">
        <v>1693</v>
      </c>
      <c r="E35" s="3378"/>
      <c r="F35" s="300" t="s">
        <v>342</v>
      </c>
      <c r="G35" s="981"/>
      <c r="H35" s="980" t="s">
        <v>343</v>
      </c>
      <c r="I35" s="310"/>
      <c r="J35" s="2028"/>
      <c r="K35" s="3351" t="s">
        <v>350</v>
      </c>
      <c r="L35" s="3351" t="s">
        <v>351</v>
      </c>
      <c r="M35" s="1263" t="s">
        <v>352</v>
      </c>
      <c r="N35" s="3351" t="s">
        <v>353</v>
      </c>
      <c r="O35" s="3351" t="s">
        <v>354</v>
      </c>
      <c r="P35" s="2028"/>
      <c r="V35" s="2028"/>
    </row>
    <row r="36" spans="1:26" ht="16.5" customHeight="1">
      <c r="A36" s="302" t="s">
        <v>344</v>
      </c>
      <c r="B36" s="303" t="s">
        <v>333</v>
      </c>
      <c r="C36" s="304" t="s">
        <v>345</v>
      </c>
      <c r="D36" s="304" t="s">
        <v>346</v>
      </c>
      <c r="E36" s="305" t="s">
        <v>347</v>
      </c>
      <c r="F36" s="310"/>
      <c r="G36" s="310"/>
      <c r="H36" s="310"/>
      <c r="I36" s="310"/>
      <c r="J36" s="2030"/>
      <c r="K36" s="3352"/>
      <c r="L36" s="3352"/>
      <c r="M36" s="1265" t="s">
        <v>355</v>
      </c>
      <c r="N36" s="3352"/>
      <c r="O36" s="3352"/>
      <c r="P36" s="2028"/>
      <c r="V36" s="2028"/>
    </row>
    <row r="37" spans="1:26" ht="16.5" customHeight="1" thickBot="1">
      <c r="A37" s="1259" t="s">
        <v>348</v>
      </c>
      <c r="B37" s="306"/>
      <c r="C37" s="293"/>
      <c r="D37" s="293"/>
      <c r="E37" s="294"/>
      <c r="F37" s="310"/>
      <c r="G37" s="310"/>
      <c r="H37" s="310"/>
      <c r="I37" s="310"/>
      <c r="J37" s="2030"/>
      <c r="K37" s="3353"/>
      <c r="L37" s="3353"/>
      <c r="M37" s="1266"/>
      <c r="N37" s="3353"/>
      <c r="O37" s="3353"/>
      <c r="P37" s="2028"/>
      <c r="V37" s="2028"/>
    </row>
    <row r="38" spans="1:26" ht="16.5" customHeight="1" thickBot="1">
      <c r="A38" s="1259" t="s">
        <v>349</v>
      </c>
      <c r="B38" s="306"/>
      <c r="C38" s="293"/>
      <c r="D38" s="293"/>
      <c r="E38" s="294"/>
      <c r="F38" s="310"/>
      <c r="G38" s="310"/>
      <c r="H38" s="310"/>
      <c r="I38" s="310"/>
      <c r="J38" s="2030"/>
      <c r="K38" s="1267">
        <f>'数据-汇总表'!D3</f>
        <v>37499.699999999997</v>
      </c>
      <c r="L38" s="1268">
        <f>'数据-汇总表'!E3</f>
        <v>118587.47999999997</v>
      </c>
      <c r="M38" s="1268">
        <f ca="1">C34</f>
        <v>68367</v>
      </c>
      <c r="N38" s="1268">
        <f ca="1">C33</f>
        <v>21619</v>
      </c>
      <c r="O38" s="1269">
        <f ca="1">C32</f>
        <v>256375</v>
      </c>
      <c r="P38" s="2028"/>
      <c r="V38" s="2028"/>
    </row>
    <row r="39" spans="1:26" ht="16.5" customHeight="1" thickBot="1">
      <c r="A39" s="1264"/>
      <c r="B39" s="307"/>
      <c r="C39" s="308"/>
      <c r="D39" s="308"/>
      <c r="E39" s="309"/>
      <c r="F39" s="310"/>
      <c r="G39" s="310"/>
      <c r="H39" s="310"/>
      <c r="I39" s="310"/>
      <c r="J39" s="2030"/>
      <c r="K39" s="3396" t="str">
        <f>MID(A44,3,LEN(A44)-2)</f>
        <v>抵押价格</v>
      </c>
      <c r="L39" s="3397"/>
      <c r="M39" s="3397"/>
      <c r="N39" s="3398"/>
      <c r="O39" s="1392">
        <f ca="1">C44</f>
        <v>256375</v>
      </c>
      <c r="P39" s="2028"/>
      <c r="V39" s="2028"/>
    </row>
    <row r="40" spans="1:26" ht="19.5" thickBot="1">
      <c r="A40" s="103" t="s">
        <v>873</v>
      </c>
      <c r="B40" s="310"/>
      <c r="C40" s="310"/>
      <c r="D40" s="310"/>
      <c r="E40" s="310"/>
      <c r="F40" s="310"/>
      <c r="G40" s="310"/>
      <c r="H40" s="310"/>
      <c r="I40" s="310"/>
      <c r="J40" s="2030"/>
      <c r="K40" s="3396" t="str">
        <f t="shared" ref="K40:K41" si="0">MID(A45,3,LEN(A45)-2)</f>
        <v/>
      </c>
      <c r="L40" s="3397"/>
      <c r="M40" s="3397"/>
      <c r="N40" s="3398"/>
      <c r="O40" s="1392" t="str">
        <f>C45</f>
        <v>——</v>
      </c>
      <c r="P40" s="2028"/>
      <c r="V40" s="2028"/>
    </row>
    <row r="41" spans="1:26" ht="16.5" thickBot="1">
      <c r="A41" s="311" t="s">
        <v>356</v>
      </c>
      <c r="B41" s="312"/>
      <c r="C41" s="313" t="s">
        <v>357</v>
      </c>
      <c r="D41" s="314" t="s">
        <v>358</v>
      </c>
      <c r="E41" s="314" t="s">
        <v>359</v>
      </c>
      <c r="F41" s="315" t="s">
        <v>360</v>
      </c>
      <c r="G41" s="310"/>
      <c r="H41" s="310"/>
      <c r="I41" s="310"/>
      <c r="J41" s="2030"/>
      <c r="K41" s="3396" t="str">
        <f t="shared" si="0"/>
        <v/>
      </c>
      <c r="L41" s="3397"/>
      <c r="M41" s="3397"/>
      <c r="N41" s="3398"/>
      <c r="O41" s="1392" t="str">
        <f>C46</f>
        <v>——</v>
      </c>
      <c r="P41" s="2028"/>
      <c r="V41" s="2028"/>
    </row>
    <row r="42" spans="1:26" ht="29.25">
      <c r="A42" s="3338" t="s">
        <v>2067</v>
      </c>
      <c r="B42" s="3339"/>
      <c r="C42" s="263">
        <f ca="1">C32</f>
        <v>256375</v>
      </c>
      <c r="D42" s="316">
        <f ca="1">C33</f>
        <v>21619</v>
      </c>
      <c r="E42" s="316">
        <f ca="1">C34</f>
        <v>68367</v>
      </c>
      <c r="F42" s="317">
        <f ca="1">C35</f>
        <v>4558</v>
      </c>
      <c r="G42" s="310"/>
      <c r="H42" s="310"/>
      <c r="I42" s="318"/>
      <c r="J42" s="2030"/>
      <c r="K42" s="1270" t="s">
        <v>361</v>
      </c>
      <c r="L42" s="2047" t="s">
        <v>362</v>
      </c>
      <c r="M42" s="1271" t="s">
        <v>363</v>
      </c>
      <c r="N42" s="2048" t="s">
        <v>364</v>
      </c>
      <c r="O42" s="2049" t="s">
        <v>365</v>
      </c>
      <c r="P42" s="2028"/>
      <c r="V42" s="2028"/>
    </row>
    <row r="43" spans="1:26" ht="30">
      <c r="A43" s="3349" t="s">
        <v>2729</v>
      </c>
      <c r="B43" s="3350"/>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293876</v>
      </c>
      <c r="M43" s="1274">
        <f>C18</f>
        <v>0.5</v>
      </c>
      <c r="N43" s="1275">
        <f ca="1">IF(N42="测算结果/万元",G19,G20)</f>
        <v>256375</v>
      </c>
      <c r="O43" s="1276">
        <f ca="1">IF(O42="最终结果/万元",C32,C33)</f>
        <v>256375</v>
      </c>
      <c r="P43" s="2028"/>
      <c r="V43" s="2028"/>
    </row>
    <row r="44" spans="1:26" ht="30.75" thickBot="1">
      <c r="A44" s="3338" t="str">
        <f>IF(OR(项目基本情况!E8="抵押价格",项目基本情况!E8="已注销及未注销"),"3.抵押价格","——")</f>
        <v>3.抵押价格</v>
      </c>
      <c r="B44" s="3339"/>
      <c r="C44" s="263">
        <f ca="1">IF(A44="——","——",C42-C43)</f>
        <v>256375</v>
      </c>
      <c r="D44" s="316">
        <f ca="1">ROUND(C44*10000/'数据-汇总表'!E3,0)</f>
        <v>21619</v>
      </c>
      <c r="E44" s="316">
        <f ca="1">ROUND(C44*10000/'数据-汇总表'!D3,0)</f>
        <v>68367</v>
      </c>
      <c r="F44" s="317">
        <f ca="1">ROUND(C44/('数据-汇总表'!D3/666.67),0)</f>
        <v>4558</v>
      </c>
      <c r="G44" s="310"/>
      <c r="H44" s="310"/>
      <c r="I44" s="318"/>
      <c r="J44" s="2030"/>
      <c r="K44" s="1277" t="str">
        <f>D4</f>
        <v>剩余法-待开发</v>
      </c>
      <c r="L44" s="1278">
        <f ca="1">IF(L42="估价结果/万元",D19,D20)</f>
        <v>218874</v>
      </c>
      <c r="M44" s="1279">
        <f>D18</f>
        <v>0.5</v>
      </c>
      <c r="N44" s="1280"/>
      <c r="O44" s="1281"/>
      <c r="P44" s="2028"/>
      <c r="V44" s="2028"/>
    </row>
    <row r="45" spans="1:26" ht="15">
      <c r="A45" s="3344" t="str">
        <f>IF(项目基本情况!E8="已注销及未注销","4.抵押担保权已注销时的抵押价格",IF(项目基本情况!E8="已注销","3.抵押担保权已注销时的抵押价格","——"))</f>
        <v>——</v>
      </c>
      <c r="B45" s="3345"/>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40" t="str">
        <f>IF(项目基本情况!E9="抵押净值",IF(A45="——","4.抵押净值","5.抵押净值"),"——")</f>
        <v>——</v>
      </c>
      <c r="B46" s="3341"/>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85" t="s">
        <v>374</v>
      </c>
      <c r="B63" s="3386"/>
      <c r="C63" s="3387"/>
      <c r="D63" s="340">
        <f ca="1">ROUND(C42*F63,0)</f>
        <v>153825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46" t="s">
        <v>378</v>
      </c>
      <c r="B64" s="3347"/>
      <c r="C64" s="3347"/>
      <c r="D64" s="3347"/>
      <c r="E64" s="3347"/>
      <c r="F64" s="3347"/>
      <c r="G64" s="3348"/>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42" t="s">
        <v>386</v>
      </c>
      <c r="B66" s="3343"/>
      <c r="C66" s="3343"/>
      <c r="D66" s="260">
        <f ca="1">IF(H66="情况1",0,IF(H66="情况2",D70,IF(H66="情况3",D71,IF(H66="情况4",D72))))</f>
        <v>8204</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400" t="s">
        <v>385</v>
      </c>
      <c r="M66" s="3401"/>
      <c r="N66" s="2482"/>
      <c r="O66" s="2483"/>
      <c r="P66" s="2484"/>
      <c r="Q66" s="2028"/>
      <c r="R66" s="2028"/>
      <c r="S66" s="2028"/>
      <c r="T66" s="2028"/>
      <c r="U66" s="2028"/>
      <c r="V66" s="2028"/>
    </row>
    <row r="67" spans="1:22" ht="25.5" customHeight="1">
      <c r="A67" s="351" t="s">
        <v>390</v>
      </c>
      <c r="B67" s="3333" t="s">
        <v>391</v>
      </c>
      <c r="C67" s="3333"/>
      <c r="D67" s="352">
        <v>0</v>
      </c>
      <c r="E67" s="40" t="s">
        <v>392</v>
      </c>
      <c r="F67" s="61" t="s">
        <v>21</v>
      </c>
      <c r="G67" s="3388"/>
      <c r="H67" s="310"/>
      <c r="I67" s="1291"/>
      <c r="J67" s="2035"/>
      <c r="K67" s="1976">
        <v>2</v>
      </c>
      <c r="L67" s="3399" t="s">
        <v>389</v>
      </c>
      <c r="M67" s="3399"/>
      <c r="N67" s="1324">
        <f>'数据-取费表'!B2</f>
        <v>43228</v>
      </c>
      <c r="O67" s="1324"/>
      <c r="P67" s="1324"/>
      <c r="Q67" s="2028"/>
      <c r="R67" s="2028"/>
      <c r="S67" s="2028"/>
      <c r="T67" s="2028"/>
      <c r="U67" s="2028"/>
      <c r="V67" s="2028"/>
    </row>
    <row r="68" spans="1:22" ht="25.5" customHeight="1">
      <c r="A68" s="353"/>
      <c r="B68" s="3333" t="s">
        <v>394</v>
      </c>
      <c r="C68" s="3333"/>
      <c r="D68" s="354"/>
      <c r="E68" s="76"/>
      <c r="F68" s="355"/>
      <c r="G68" s="3389"/>
      <c r="H68" s="310"/>
      <c r="I68" s="1291"/>
      <c r="J68" s="2035"/>
      <c r="K68" s="1976">
        <v>3</v>
      </c>
      <c r="L68" s="3399" t="s">
        <v>393</v>
      </c>
      <c r="M68" s="3399"/>
      <c r="N68" s="1292">
        <f ca="1">C42</f>
        <v>256375</v>
      </c>
      <c r="O68" s="1292"/>
      <c r="P68" s="1292"/>
      <c r="Q68" s="2028"/>
      <c r="R68" s="2028"/>
      <c r="S68" s="2028"/>
      <c r="T68" s="2028"/>
      <c r="U68" s="2028"/>
      <c r="V68" s="2028"/>
    </row>
    <row r="69" spans="1:22" ht="12" customHeight="1">
      <c r="A69" s="356"/>
      <c r="B69" s="3333" t="s">
        <v>395</v>
      </c>
      <c r="C69" s="3333"/>
      <c r="D69" s="357"/>
      <c r="E69" s="72"/>
      <c r="F69" s="355"/>
      <c r="G69" s="3390"/>
      <c r="H69" s="310"/>
      <c r="I69" s="1291"/>
      <c r="J69" s="2035"/>
      <c r="K69" s="1293">
        <v>4</v>
      </c>
      <c r="L69" s="3404" t="s">
        <v>2882</v>
      </c>
      <c r="M69" s="3405"/>
      <c r="N69" s="1294">
        <f ca="1">C44</f>
        <v>256375</v>
      </c>
      <c r="O69" s="1294"/>
      <c r="P69" s="1294"/>
      <c r="Q69" s="2028"/>
      <c r="R69" s="2028"/>
      <c r="S69" s="2028"/>
      <c r="T69" s="2028"/>
      <c r="U69" s="2028"/>
      <c r="V69" s="2028"/>
    </row>
    <row r="70" spans="1:22" ht="24" customHeight="1">
      <c r="A70" s="358" t="s">
        <v>396</v>
      </c>
      <c r="B70" s="3333" t="s">
        <v>397</v>
      </c>
      <c r="C70" s="3333"/>
      <c r="D70" s="357">
        <f ca="1">ROUND(D63*'数据-取费表'!B41/(1+'数据-取费表'!C42),0)</f>
        <v>8204</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34" t="s">
        <v>405</v>
      </c>
      <c r="C71" s="3335"/>
      <c r="D71" s="357">
        <f ca="1">ROUND(D63*'数据-取费表'!B41/(1+'数据-取费表'!C42),0)</f>
        <v>8204</v>
      </c>
      <c r="E71" s="17" t="s">
        <v>398</v>
      </c>
      <c r="F71" s="359">
        <f>'数据-取费表'!B41</f>
        <v>5.6000000000000001E-2</v>
      </c>
      <c r="G71" s="360"/>
      <c r="H71" s="310"/>
      <c r="I71" s="1291"/>
      <c r="J71" s="2035"/>
      <c r="K71" s="3082" t="s">
        <v>399</v>
      </c>
      <c r="L71" s="3406" t="s">
        <v>400</v>
      </c>
      <c r="M71" s="3406"/>
      <c r="N71" s="3082" t="s">
        <v>401</v>
      </c>
      <c r="O71" s="3082" t="s">
        <v>402</v>
      </c>
      <c r="P71" s="3082" t="s">
        <v>403</v>
      </c>
      <c r="Q71" s="2028"/>
      <c r="R71" s="2028"/>
      <c r="S71" s="2028"/>
      <c r="T71" s="2028"/>
      <c r="U71" s="2028"/>
      <c r="V71" s="2028"/>
    </row>
    <row r="72" spans="1:22" ht="12" customHeight="1">
      <c r="A72" s="358" t="s">
        <v>407</v>
      </c>
      <c r="B72" s="3334" t="s">
        <v>408</v>
      </c>
      <c r="C72" s="3335"/>
      <c r="D72" s="357">
        <f ca="1">C86</f>
        <v>8092</v>
      </c>
      <c r="E72" s="72" t="s">
        <v>409</v>
      </c>
      <c r="F72" s="359">
        <f>'数据-取费表'!B41</f>
        <v>5.6000000000000001E-2</v>
      </c>
      <c r="G72" s="360"/>
      <c r="H72" s="1297"/>
      <c r="I72" s="1291"/>
      <c r="J72" s="2035"/>
      <c r="K72" s="1976">
        <v>1</v>
      </c>
      <c r="L72" s="3381" t="s">
        <v>406</v>
      </c>
      <c r="M72" s="3381"/>
      <c r="N72" s="1295">
        <f ca="1">D66</f>
        <v>8204</v>
      </c>
      <c r="O72" s="1859" t="str">
        <f>E66</f>
        <v>销售额×税（费）率</v>
      </c>
      <c r="P72" s="1296">
        <f>F66</f>
        <v>5.6000000000000001E-2</v>
      </c>
      <c r="Q72" s="2028"/>
      <c r="R72" s="2028"/>
      <c r="S72" s="2028"/>
      <c r="T72" s="2028"/>
      <c r="U72" s="2028"/>
      <c r="V72" s="2028"/>
    </row>
    <row r="73" spans="1:22" ht="24" customHeight="1">
      <c r="A73" s="3375" t="s">
        <v>411</v>
      </c>
      <c r="B73" s="3343"/>
      <c r="C73" s="3343"/>
      <c r="D73" s="361">
        <f>IF(H73="个人住宅",0,ROUND(D63*I73,0))</f>
        <v>0</v>
      </c>
      <c r="E73" s="17" t="s">
        <v>412</v>
      </c>
      <c r="F73" s="359" t="str">
        <f>IF(H73="正常",I73,"免征")</f>
        <v>免征</v>
      </c>
      <c r="G73" s="360"/>
      <c r="H73" s="190" t="s">
        <v>2455</v>
      </c>
      <c r="I73" s="359">
        <f>'数据-取费表'!B49</f>
        <v>5.0000000000000001E-4</v>
      </c>
      <c r="J73" s="2035"/>
      <c r="K73" s="1976">
        <v>2</v>
      </c>
      <c r="L73" s="3381" t="s">
        <v>410</v>
      </c>
      <c r="M73" s="3381"/>
      <c r="N73" s="1295">
        <f t="shared" ref="N73:P74" si="1">D73</f>
        <v>0</v>
      </c>
      <c r="O73" s="1859" t="str">
        <f t="shared" si="1"/>
        <v>销售额×税（费）率</v>
      </c>
      <c r="P73" s="1296" t="str">
        <f t="shared" si="1"/>
        <v>免征</v>
      </c>
      <c r="Q73" s="2028"/>
      <c r="R73" s="2028"/>
      <c r="S73" s="2028"/>
      <c r="T73" s="2028"/>
      <c r="U73" s="2028"/>
      <c r="V73" s="2028"/>
    </row>
    <row r="74" spans="1:22" ht="24.75">
      <c r="A74" s="3375" t="s">
        <v>415</v>
      </c>
      <c r="B74" s="3343"/>
      <c r="C74" s="3343"/>
      <c r="D74" s="361">
        <f ca="1">IF(H74="个人住宅",D75,D76)</f>
        <v>86409</v>
      </c>
      <c r="E74" s="17" t="s">
        <v>416</v>
      </c>
      <c r="F74" s="359" t="str">
        <f>IF(H74="正常",F76,"免征")</f>
        <v>——</v>
      </c>
      <c r="G74" s="982" t="s">
        <v>417</v>
      </c>
      <c r="H74" s="362" t="s">
        <v>413</v>
      </c>
      <c r="I74" s="41"/>
      <c r="J74" s="2035"/>
      <c r="K74" s="1976">
        <v>3</v>
      </c>
      <c r="L74" s="3381" t="s">
        <v>414</v>
      </c>
      <c r="M74" s="3381"/>
      <c r="N74" s="1295">
        <f t="shared" ca="1" si="1"/>
        <v>86409</v>
      </c>
      <c r="O74" s="1859" t="str">
        <f t="shared" si="1"/>
        <v>增值额×税（费）率</v>
      </c>
      <c r="P74" s="1298" t="str">
        <f t="shared" si="1"/>
        <v>——</v>
      </c>
      <c r="Q74" s="2028"/>
      <c r="R74" s="2028"/>
      <c r="S74" s="2028"/>
      <c r="T74" s="2028"/>
      <c r="U74" s="2028"/>
      <c r="V74" s="2028"/>
    </row>
    <row r="75" spans="1:22" ht="24">
      <c r="A75" s="358" t="s">
        <v>418</v>
      </c>
      <c r="B75" s="3331" t="s">
        <v>419</v>
      </c>
      <c r="C75" s="3361"/>
      <c r="D75" s="363">
        <v>0</v>
      </c>
      <c r="E75" s="40" t="s">
        <v>420</v>
      </c>
      <c r="F75" s="364"/>
      <c r="G75" s="360"/>
      <c r="H75" s="41"/>
      <c r="I75" s="41"/>
      <c r="J75" s="2035"/>
      <c r="K75" s="3075">
        <f>IF(H77="非个人房产","",4)</f>
        <v>4</v>
      </c>
      <c r="L75" s="3381" t="str">
        <f>IF(H77="非个人房产","——","个人所得税")</f>
        <v>个人所得税</v>
      </c>
      <c r="M75" s="3381"/>
      <c r="N75" s="1299">
        <f ca="1">D77</f>
        <v>1538</v>
      </c>
      <c r="O75" s="1872" t="str">
        <f>E77</f>
        <v>销售额×税（费）率</v>
      </c>
      <c r="P75" s="1300">
        <f>F77</f>
        <v>0.01</v>
      </c>
      <c r="Q75" s="2028"/>
      <c r="R75" s="2028"/>
      <c r="S75" s="2028"/>
      <c r="T75" s="2028"/>
      <c r="U75" s="2028"/>
      <c r="V75" s="2028"/>
    </row>
    <row r="76" spans="1:22" ht="24.75">
      <c r="A76" s="358" t="s">
        <v>396</v>
      </c>
      <c r="B76" s="3331" t="s">
        <v>422</v>
      </c>
      <c r="C76" s="3332"/>
      <c r="D76" s="361">
        <f ca="1">IF(H76="转让取得",C99,C115)</f>
        <v>86409</v>
      </c>
      <c r="E76" s="17" t="s">
        <v>423</v>
      </c>
      <c r="F76" s="52" t="s">
        <v>21</v>
      </c>
      <c r="G76" s="360"/>
      <c r="H76" s="362" t="s">
        <v>424</v>
      </c>
      <c r="I76" s="41"/>
      <c r="J76" s="2035"/>
      <c r="K76" s="3075" t="str">
        <f>IF(项目基本情况!K6="上海银行",IF(K75="",4,K75+1),"")</f>
        <v/>
      </c>
      <c r="L76" s="3392" t="str">
        <f>IF(项目基本情况!K6="上海银行","其他处置费用","")</f>
        <v/>
      </c>
      <c r="M76" s="3393"/>
      <c r="N76" s="1295" t="str">
        <f>IF(项目基本情况!K6="上海银行",N89,"")</f>
        <v/>
      </c>
      <c r="O76" s="3394" t="str">
        <f>IF(项目基本情况!K6="上海银行","包含处置中涉及的律师、诉讼、拍卖、评估等费用","")</f>
        <v/>
      </c>
      <c r="P76" s="3395"/>
      <c r="Q76" s="2028"/>
      <c r="R76" s="2028"/>
      <c r="S76" s="2028"/>
      <c r="T76" s="2028"/>
      <c r="U76" s="2028"/>
      <c r="V76" s="2028"/>
    </row>
    <row r="77" spans="1:22" ht="26.25" thickBot="1">
      <c r="A77" s="3383" t="s">
        <v>426</v>
      </c>
      <c r="B77" s="3384"/>
      <c r="C77" s="3384"/>
      <c r="D77" s="365">
        <f ca="1">IF(H77="非个人房产","——",IF(H77="个人住宅",0,ROUND(D63*I77,0)))</f>
        <v>1538</v>
      </c>
      <c r="E77" s="366" t="str">
        <f>IF(H77="非个人房产","——","销售额×税（费）率")</f>
        <v>销售额×税（费）率</v>
      </c>
      <c r="F77" s="367">
        <f>IF(H77="非个人房产","——",IF(H77="个人住宅","免征",I77))</f>
        <v>0.01</v>
      </c>
      <c r="G77" s="983" t="s">
        <v>417</v>
      </c>
      <c r="H77" s="362" t="s">
        <v>2883</v>
      </c>
      <c r="I77" s="368">
        <v>0.01</v>
      </c>
      <c r="J77" s="2035"/>
      <c r="K77" s="3382">
        <f>IF(AND(K75="",K76=""),4,IF(项目基本情况!K6="上海银行",K76+1,K75+1))</f>
        <v>5</v>
      </c>
      <c r="L77" s="3381" t="s">
        <v>2884</v>
      </c>
      <c r="M77" s="3081" t="s">
        <v>421</v>
      </c>
      <c r="N77" s="1301"/>
      <c r="O77" s="1302">
        <f ca="1">SUMIF(N72:N76,"&lt;9e307")</f>
        <v>96151</v>
      </c>
      <c r="P77" s="1303"/>
      <c r="Q77" s="3079">
        <f ca="1">O77/N69</f>
        <v>0.37504046806435887</v>
      </c>
      <c r="R77" s="2028"/>
      <c r="S77" s="2028"/>
      <c r="T77" s="2028"/>
      <c r="U77" s="2028"/>
      <c r="V77" s="2028"/>
    </row>
    <row r="78" spans="1:22" ht="12" customHeight="1">
      <c r="A78" s="1304"/>
      <c r="B78" s="310"/>
      <c r="C78" s="310"/>
      <c r="D78" s="310"/>
      <c r="E78" s="41"/>
      <c r="F78" s="41"/>
      <c r="G78" s="41"/>
      <c r="H78" s="1002"/>
      <c r="I78" s="310"/>
      <c r="J78" s="2035"/>
      <c r="K78" s="3382"/>
      <c r="L78" s="3381"/>
      <c r="M78" s="3081" t="s">
        <v>425</v>
      </c>
      <c r="N78" s="1301"/>
      <c r="O78" s="1302" t="str">
        <f ca="1">NUMBERSTRING(INT(O77*10000),2)&amp;"元整"</f>
        <v>玖亿陆仟壹佰伍拾壹万元整</v>
      </c>
      <c r="P78" s="1303"/>
      <c r="Q78" s="2028"/>
      <c r="R78" s="2028"/>
      <c r="S78" s="2028"/>
      <c r="T78" s="2028"/>
      <c r="U78" s="2028"/>
      <c r="V78" s="2028"/>
    </row>
    <row r="79" spans="1:22" ht="13.5" thickBot="1">
      <c r="A79" s="3376" t="s">
        <v>427</v>
      </c>
      <c r="B79" s="3376"/>
      <c r="C79" s="3376"/>
      <c r="D79" s="3376"/>
      <c r="E79" s="3376"/>
      <c r="F79" s="41"/>
      <c r="G79" s="41"/>
      <c r="H79" s="1002"/>
      <c r="I79" s="310"/>
      <c r="J79" s="2035"/>
      <c r="K79" s="3402">
        <f>K77+1</f>
        <v>6</v>
      </c>
      <c r="L79" s="3381" t="s">
        <v>2885</v>
      </c>
      <c r="M79" s="3081" t="s">
        <v>421</v>
      </c>
      <c r="N79" s="1301"/>
      <c r="O79" s="1302">
        <f ca="1">N69-O77</f>
        <v>160224</v>
      </c>
      <c r="P79" s="1303"/>
      <c r="Q79" s="2028"/>
      <c r="R79" s="2028"/>
      <c r="S79" s="2028"/>
      <c r="T79" s="2028"/>
      <c r="U79" s="2028"/>
      <c r="V79" s="2028"/>
    </row>
    <row r="80" spans="1:22" ht="25.5">
      <c r="A80" s="3371" t="s">
        <v>428</v>
      </c>
      <c r="B80" s="3372"/>
      <c r="C80" s="993"/>
      <c r="D80" s="993" t="s">
        <v>429</v>
      </c>
      <c r="E80" s="369" t="s">
        <v>430</v>
      </c>
      <c r="F80" s="41"/>
      <c r="G80" s="41"/>
      <c r="H80" s="1002"/>
      <c r="I80" s="310"/>
      <c r="J80" s="2028"/>
      <c r="K80" s="3403"/>
      <c r="L80" s="3381"/>
      <c r="M80" s="3081" t="s">
        <v>425</v>
      </c>
      <c r="N80" s="1301"/>
      <c r="O80" s="1302" t="str">
        <f ca="1">NUMBERSTRING(INT(O79*10000),2)&amp;"元整"</f>
        <v>壹拾陆亿零贰佰贰拾肆万元整</v>
      </c>
      <c r="P80" s="1303"/>
      <c r="Q80" s="2028"/>
      <c r="R80" s="2028"/>
      <c r="S80" s="2028"/>
      <c r="T80" s="2028"/>
      <c r="U80" s="2028"/>
      <c r="V80" s="2028"/>
    </row>
    <row r="81" spans="1:26" ht="13.5" thickBot="1">
      <c r="A81" s="380" t="s">
        <v>1823</v>
      </c>
      <c r="B81" s="370" t="s">
        <v>431</v>
      </c>
      <c r="C81" s="371">
        <f ca="1">ROUND((C82+C83)/(1+'数据-取费表'!C42),0)</f>
        <v>146500</v>
      </c>
      <c r="D81" s="372"/>
      <c r="E81" s="373"/>
      <c r="F81" s="41"/>
      <c r="G81" s="41"/>
      <c r="H81" s="1002"/>
      <c r="I81" s="310"/>
      <c r="J81" s="2028"/>
      <c r="K81" s="3075">
        <f>K79+1</f>
        <v>7</v>
      </c>
      <c r="L81" s="3379" t="s">
        <v>2886</v>
      </c>
      <c r="M81" s="3380"/>
      <c r="N81" s="1305"/>
      <c r="O81" s="1306">
        <f ca="1">ROUND(O79*10000/'数据-汇总表'!E3,0)</f>
        <v>13511</v>
      </c>
      <c r="P81" s="1307"/>
      <c r="Q81" s="2028"/>
      <c r="R81" s="2028"/>
      <c r="S81" s="2028"/>
      <c r="T81" s="2028"/>
      <c r="U81" s="2028"/>
      <c r="V81" s="2028"/>
    </row>
    <row r="82" spans="1:26" ht="13.5" thickTop="1">
      <c r="A82" s="374" t="s">
        <v>1824</v>
      </c>
      <c r="B82" s="375" t="s">
        <v>432</v>
      </c>
      <c r="C82" s="376">
        <f ca="1">D63</f>
        <v>153825</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91" t="s">
        <v>2873</v>
      </c>
      <c r="L83" s="3087" t="s">
        <v>2874</v>
      </c>
      <c r="M83" s="3077">
        <f ca="1">IF(N69&gt;10000,N69*0.5%,IF(AND(N69&gt;1000,N69&lt;=10000),N69*1%,IF(AND(N69&gt;100,N69&lt;=1000),N69*3%,IF(AND(N69&gt;10,N69&lt;=100),N69*5%,N69*8%))))</f>
        <v>1281.875</v>
      </c>
      <c r="N83" s="52">
        <f ca="1">ROUND(M83,1)</f>
        <v>1281.9000000000001</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91"/>
      <c r="L84" s="3087" t="s">
        <v>2875</v>
      </c>
      <c r="M84" s="3077">
        <f ca="1">IF(N69&gt;2000,N69*0.5%,IF(AND(N69&gt;1000,N69&lt;=2000),N69*0.6%,IF(AND(N69&gt;500,N69&lt;=1000),N69*0.7%,IF(AND(N69&gt;200,N69&lt;=500),N69*0.8%,IF(AND(N69&gt;100,N69&lt;=200),N69*0.9%,IF(AND(N69&gt;50,N69&lt;=100),N69*1%,IF(AND(N69&gt;20,N69&lt;=50),N69*1.5%,IF(AND(N69&gt;10,N69&lt;=20),N69*2%,IF(AND(N69&gt;1,N69&lt;=10),N69*2.5%)))))))))</f>
        <v>1281.875</v>
      </c>
      <c r="N84" s="52">
        <f t="shared" ref="N84:N85" ca="1" si="2">ROUND(M84,1)</f>
        <v>1281.9000000000001</v>
      </c>
      <c r="O84" s="2028" t="s">
        <v>2876</v>
      </c>
      <c r="P84" s="2028"/>
      <c r="Q84" s="2028"/>
      <c r="R84" s="2028"/>
      <c r="S84" s="2028"/>
      <c r="T84" s="2028"/>
      <c r="U84" s="2028"/>
      <c r="V84" s="2028"/>
    </row>
    <row r="85" spans="1:26" ht="12.75">
      <c r="A85" s="380" t="s">
        <v>1827</v>
      </c>
      <c r="B85" s="381" t="s">
        <v>435</v>
      </c>
      <c r="C85" s="384">
        <f ca="1">C81-C84</f>
        <v>144500</v>
      </c>
      <c r="D85" s="377" t="s">
        <v>19</v>
      </c>
      <c r="E85" s="378"/>
      <c r="F85" s="41"/>
      <c r="G85" s="41"/>
      <c r="H85" s="1002"/>
      <c r="I85" s="310"/>
      <c r="J85" s="2028"/>
      <c r="K85" s="3391"/>
      <c r="L85" s="3087" t="s">
        <v>2877</v>
      </c>
      <c r="M85" s="3077">
        <f ca="1">IF(N69&gt;1000,N69*0.1%,IF(AND(N69&gt;500,N69&lt;=1000),N69*0.5%,IF(AND(N69&gt;50,N69&lt;=500),N69*1%,IF(AND(N69&gt;1,N69&lt;=50),N69*1.5%))))</f>
        <v>256.375</v>
      </c>
      <c r="N85" s="52">
        <f t="shared" ca="1" si="2"/>
        <v>256.39999999999998</v>
      </c>
      <c r="O85" s="2028" t="s">
        <v>2876</v>
      </c>
      <c r="P85" s="2028"/>
      <c r="Q85" s="2028"/>
      <c r="R85" s="2028"/>
      <c r="S85" s="2028"/>
      <c r="T85" s="2028"/>
      <c r="U85" s="2028"/>
      <c r="V85" s="2028"/>
    </row>
    <row r="86" spans="1:26" ht="13.5" thickBot="1">
      <c r="A86" s="385" t="s">
        <v>1828</v>
      </c>
      <c r="B86" s="386" t="s">
        <v>436</v>
      </c>
      <c r="C86" s="387">
        <f ca="1">IF(C85&lt;=0,0,ROUND(C85*D86,0))</f>
        <v>8092</v>
      </c>
      <c r="D86" s="388">
        <f>'数据-取费表'!B41</f>
        <v>5.6000000000000001E-2</v>
      </c>
      <c r="E86" s="389"/>
      <c r="F86" s="41"/>
      <c r="G86" s="41"/>
      <c r="H86" s="1002"/>
      <c r="I86" s="310"/>
      <c r="J86" s="2028"/>
      <c r="K86" s="3391"/>
      <c r="L86" s="3087" t="s">
        <v>2878</v>
      </c>
      <c r="M86" s="3077">
        <f ca="1">N69*0.5%</f>
        <v>1281.875</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91"/>
      <c r="L87" s="3087" t="s">
        <v>2880</v>
      </c>
      <c r="M87" s="3077">
        <f ca="1">IF(N69&gt;=10000,(8.25+(N69-10000)*0.01%),IF(AND(N69&gt;=8000,N69&lt;10000),(7.85+(N69-8000)*0.02%),IF(AND(N69&gt;=5000,N69&lt;8000),(6.65+(N69-5000)*0.04%),IF(AND(N69&gt;=2000,N69&lt;5000),(4.25+(PN69-2000)*0.08%),IF(AND(N69&gt;=1000,N69&lt;2000),(2.75+(N69-1000)*0.15%),IF(AND(N69&gt;=100,N69&lt;1000),(0.5+(N69-100)*0.25%),IF(AND(N69&gt;0,N69&lt;100),N69*0.5%)))))))</f>
        <v>32.887500000000003</v>
      </c>
      <c r="N87" s="52">
        <f ca="1">ROUND(M87*0.9,1)</f>
        <v>29.6</v>
      </c>
      <c r="O87" s="3080"/>
      <c r="P87" s="310"/>
      <c r="Q87" s="2028"/>
      <c r="R87" s="2028"/>
      <c r="S87" s="2028"/>
      <c r="T87" s="2028"/>
      <c r="U87" s="2028"/>
      <c r="V87" s="2028"/>
      <c r="W87" s="291"/>
      <c r="X87" s="291"/>
      <c r="Y87" s="291"/>
      <c r="Z87" s="291"/>
    </row>
    <row r="88" spans="1:26" s="1313" customFormat="1" ht="15" thickBot="1">
      <c r="A88" s="3373" t="s">
        <v>437</v>
      </c>
      <c r="B88" s="3374"/>
      <c r="C88" s="3374"/>
      <c r="D88" s="3374"/>
      <c r="E88" s="3374"/>
      <c r="F88" s="3374"/>
      <c r="G88" s="3374"/>
      <c r="H88" s="3374"/>
      <c r="I88" s="1314"/>
      <c r="J88" s="2036"/>
      <c r="K88" s="3391"/>
      <c r="L88" s="3087" t="s">
        <v>2881</v>
      </c>
      <c r="M88" s="3077">
        <f ca="1">IF(N69&gt;10000,N69*0.5%,IF(AND(N69&gt;5000,N69&lt;=10000),N69*1%,IF(AND(N69&gt;1000,N69&lt;=5000),N69*2%,IF(AND(N69&gt;200,N69&lt;=1000),N69*3%,N69*5%))))</f>
        <v>1281.875</v>
      </c>
      <c r="N88" s="52">
        <f ca="1">ROUND(M88,1)</f>
        <v>1281.9000000000001</v>
      </c>
      <c r="O88" s="3080"/>
      <c r="P88" s="11"/>
      <c r="Q88" s="2033"/>
      <c r="R88" s="2033"/>
      <c r="S88" s="2033"/>
      <c r="T88" s="2033"/>
      <c r="U88" s="2033"/>
      <c r="V88" s="2033"/>
      <c r="W88" s="2037"/>
      <c r="X88" s="2037"/>
      <c r="Y88" s="2037"/>
      <c r="Z88" s="2037"/>
    </row>
    <row r="89" spans="1:26" s="1313" customFormat="1" ht="14.25">
      <c r="A89" s="3371" t="s">
        <v>428</v>
      </c>
      <c r="B89" s="3372"/>
      <c r="C89" s="993"/>
      <c r="D89" s="993" t="s">
        <v>429</v>
      </c>
      <c r="E89" s="390" t="s">
        <v>438</v>
      </c>
      <c r="F89" s="391"/>
      <c r="G89" s="391"/>
      <c r="H89" s="392"/>
      <c r="I89" s="1315"/>
      <c r="J89" s="2038"/>
      <c r="K89" s="3391"/>
      <c r="L89" s="3087" t="s">
        <v>27</v>
      </c>
      <c r="M89" s="3078"/>
      <c r="N89" s="52">
        <f ca="1">ROUND(SUM(N83:N88),0)</f>
        <v>4132</v>
      </c>
      <c r="O89" s="3088">
        <f ca="1">N89/N69</f>
        <v>1.6117016089712336E-2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146500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3440</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34" t="s">
        <v>447</v>
      </c>
      <c r="F94" s="3333"/>
      <c r="G94" s="3333"/>
      <c r="H94" s="337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879</v>
      </c>
      <c r="D96" s="405">
        <f>'数据-取费表'!B43</f>
        <v>6.000000000000001E-3</v>
      </c>
      <c r="E96" s="3362" t="s">
        <v>2428</v>
      </c>
      <c r="F96" s="3363"/>
      <c r="G96" s="3363"/>
      <c r="H96" s="336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143060</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41.587209302325583</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84632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3" t="s">
        <v>454</v>
      </c>
      <c r="B101" s="3374"/>
      <c r="C101" s="3374"/>
      <c r="D101" s="3374"/>
      <c r="E101" s="3374"/>
      <c r="F101" s="3374"/>
      <c r="G101" s="3374"/>
      <c r="H101" s="337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71" t="s">
        <v>428</v>
      </c>
      <c r="B102" s="3372"/>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146500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1569</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65" t="s">
        <v>462</v>
      </c>
      <c r="F109" s="3363"/>
      <c r="G109" s="3363"/>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65" t="s">
        <v>464</v>
      </c>
      <c r="F110" s="3363"/>
      <c r="G110" s="3363"/>
      <c r="H110" s="336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879</v>
      </c>
      <c r="D111" s="405">
        <f>'数据-取费表'!B43</f>
        <v>6.000000000000001E-3</v>
      </c>
      <c r="E111" s="3362" t="s">
        <v>2428</v>
      </c>
      <c r="F111" s="3363"/>
      <c r="G111" s="3363"/>
      <c r="H111" s="336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65" t="s">
        <v>2453</v>
      </c>
      <c r="F112" s="3363"/>
      <c r="G112" s="3363"/>
      <c r="H112" s="336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144931</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92.371574251115362</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86409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3429</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4" t="str">
        <f>项目基本情况!B1</f>
        <v>江苏省苏州市吴中区木渎镇竹园路北侧、金枫路西侧（苏地2016-WG-6）地块出让国有建设用地使用权抵押价格预评估</v>
      </c>
      <c r="C37" s="3234"/>
      <c r="D37" s="3234"/>
      <c r="E37" s="3234"/>
      <c r="F37" s="3234"/>
      <c r="G37" s="3234"/>
      <c r="H37" s="3234"/>
      <c r="I37" s="3234"/>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J65" sqref="J65"/>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293876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24781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78368</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5225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16" t="s">
        <v>522</v>
      </c>
      <c r="D6" s="3417"/>
      <c r="E6" s="3416" t="s">
        <v>523</v>
      </c>
      <c r="F6" s="3417"/>
      <c r="G6" s="3416" t="s">
        <v>524</v>
      </c>
      <c r="H6" s="3417"/>
      <c r="I6" s="3416" t="s">
        <v>525</v>
      </c>
      <c r="J6" s="3417"/>
      <c r="K6" s="513" t="s">
        <v>526</v>
      </c>
      <c r="L6" s="2133"/>
      <c r="M6" s="2132"/>
      <c r="N6" s="2132"/>
      <c r="O6" s="2134"/>
      <c r="P6" s="3418" t="s">
        <v>527</v>
      </c>
      <c r="Q6" s="3419"/>
      <c r="R6" s="3424" t="s">
        <v>523</v>
      </c>
      <c r="S6" s="3425"/>
      <c r="T6" s="3424" t="s">
        <v>524</v>
      </c>
      <c r="U6" s="3425"/>
      <c r="V6" s="3411" t="s">
        <v>525</v>
      </c>
      <c r="W6" s="3411"/>
      <c r="X6" s="1566"/>
      <c r="Y6" s="3424" t="s">
        <v>527</v>
      </c>
      <c r="Z6" s="3425"/>
      <c r="AA6" s="3413" t="s">
        <v>523</v>
      </c>
      <c r="AB6" s="3414" t="s">
        <v>524</v>
      </c>
      <c r="AC6" s="3413" t="s">
        <v>525</v>
      </c>
    </row>
    <row r="7" spans="1:30" ht="36" customHeight="1">
      <c r="A7" s="514"/>
      <c r="B7" s="515"/>
      <c r="C7" s="3432" t="s">
        <v>2923</v>
      </c>
      <c r="D7" s="3433"/>
      <c r="E7" s="3432" t="str">
        <f>土地案例!A63</f>
        <v>吴中区高新区迎春路东侧、吴中东路南侧</v>
      </c>
      <c r="F7" s="3433"/>
      <c r="G7" s="3432" t="str">
        <f>土地案例!A71</f>
        <v>吴中区木渎镇金长路北侧、金枫路东侧</v>
      </c>
      <c r="H7" s="3433"/>
      <c r="I7" s="3432" t="str">
        <f>土地案例!A86</f>
        <v>吴中区木渎镇花苑东路两侧、长石路西侧</v>
      </c>
      <c r="J7" s="3433"/>
      <c r="K7" s="513"/>
      <c r="L7" s="2133"/>
      <c r="M7" s="2132"/>
      <c r="N7" s="2132"/>
      <c r="O7" s="2134"/>
      <c r="P7" s="3420"/>
      <c r="Q7" s="3421"/>
      <c r="R7" s="3426"/>
      <c r="S7" s="3427"/>
      <c r="T7" s="3426"/>
      <c r="U7" s="3427"/>
      <c r="V7" s="3411"/>
      <c r="W7" s="3411"/>
      <c r="X7" s="1566"/>
      <c r="Y7" s="3426"/>
      <c r="Z7" s="3427"/>
      <c r="AA7" s="3414"/>
      <c r="AB7" s="3414"/>
      <c r="AC7" s="3414"/>
    </row>
    <row r="8" spans="1:30" ht="21" thickBot="1">
      <c r="A8" s="514"/>
      <c r="B8" s="515"/>
      <c r="C8" s="3434" t="s">
        <v>2927</v>
      </c>
      <c r="D8" s="3435"/>
      <c r="E8" s="3434" t="s">
        <v>2927</v>
      </c>
      <c r="F8" s="3435"/>
      <c r="G8" s="3430" t="s">
        <v>2927</v>
      </c>
      <c r="H8" s="3431"/>
      <c r="I8" s="3430" t="s">
        <v>2927</v>
      </c>
      <c r="J8" s="3431"/>
      <c r="K8" s="513" t="s">
        <v>528</v>
      </c>
      <c r="L8" s="2133"/>
      <c r="M8" s="2132"/>
      <c r="N8" s="2132"/>
      <c r="O8" s="2134"/>
      <c r="P8" s="3422"/>
      <c r="Q8" s="3423"/>
      <c r="R8" s="3426"/>
      <c r="S8" s="3427"/>
      <c r="T8" s="3428"/>
      <c r="U8" s="3429"/>
      <c r="V8" s="3411"/>
      <c r="W8" s="3411"/>
      <c r="X8" s="1566"/>
      <c r="Y8" s="3428"/>
      <c r="Z8" s="3429"/>
      <c r="AA8" s="3415"/>
      <c r="AB8" s="3415"/>
      <c r="AC8" s="3415"/>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土地案例!H86</f>
        <v>2016-09-22</v>
      </c>
      <c r="J9" s="519">
        <f>SUMIF(72:72,YEAR(I9)&amp;"-"&amp;INT((MONTH(I9)+2)/3),73:73)</f>
        <v>93</v>
      </c>
      <c r="K9" s="523"/>
      <c r="L9" s="2135"/>
      <c r="M9" s="2132"/>
      <c r="N9" s="2132"/>
      <c r="O9" s="2136"/>
      <c r="P9" s="3441" t="s">
        <v>530</v>
      </c>
      <c r="Q9" s="3443"/>
      <c r="R9" s="1567" t="s">
        <v>8</v>
      </c>
      <c r="S9" s="1568">
        <f t="shared" ref="S9:S17" si="0">F9</f>
        <v>97</v>
      </c>
      <c r="T9" s="1567" t="s">
        <v>8</v>
      </c>
      <c r="U9" s="1568">
        <f t="shared" ref="U9:U17" si="1">H9</f>
        <v>96</v>
      </c>
      <c r="V9" s="1567" t="s">
        <v>8</v>
      </c>
      <c r="W9" s="1568">
        <f t="shared" ref="W9:W17" si="2">J9</f>
        <v>93</v>
      </c>
      <c r="X9" s="1569"/>
      <c r="Y9" s="3441" t="s">
        <v>530</v>
      </c>
      <c r="Z9" s="3442"/>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3316</v>
      </c>
      <c r="F10" s="521">
        <f>SUMIF(75:75,E10,76:76)-SUMIF(75:75,C10,76:76)+100</f>
        <v>100</v>
      </c>
      <c r="G10" s="524" t="s">
        <v>3316</v>
      </c>
      <c r="H10" s="519">
        <f>SUMIF(75:75,G10,76:76)-SUMIF(75:75,C10,76:76)+100</f>
        <v>100</v>
      </c>
      <c r="I10" s="524" t="s">
        <v>3316</v>
      </c>
      <c r="J10" s="519">
        <f>SUMIF(75:75,I10,76:76)-SUMIF(75:75,C10,76:76)+100</f>
        <v>100</v>
      </c>
      <c r="K10" s="523"/>
      <c r="L10" s="2135"/>
      <c r="M10" s="2132"/>
      <c r="N10" s="2132"/>
      <c r="O10" s="2136"/>
      <c r="P10" s="3441" t="s">
        <v>533</v>
      </c>
      <c r="Q10" s="3442"/>
      <c r="R10" s="1567" t="s">
        <v>8</v>
      </c>
      <c r="S10" s="1568">
        <f t="shared" si="0"/>
        <v>100</v>
      </c>
      <c r="T10" s="1567" t="s">
        <v>8</v>
      </c>
      <c r="U10" s="1568">
        <f t="shared" si="1"/>
        <v>100</v>
      </c>
      <c r="V10" s="1567" t="s">
        <v>8</v>
      </c>
      <c r="W10" s="1568">
        <f t="shared" si="2"/>
        <v>100</v>
      </c>
      <c r="X10" s="1569"/>
      <c r="Y10" s="3441" t="s">
        <v>533</v>
      </c>
      <c r="Z10" s="3442"/>
      <c r="AA10" s="1570">
        <f t="shared" ref="AA10:AA47" si="3">D10/F10</f>
        <v>1</v>
      </c>
      <c r="AB10" s="1570">
        <f t="shared" ref="AB10:AB47" si="4">D10/H10</f>
        <v>1</v>
      </c>
      <c r="AC10" s="1570">
        <f t="shared" ref="AC10:AC47" si="5">D10/J10</f>
        <v>1</v>
      </c>
    </row>
    <row r="11" spans="1:30" s="1219" customFormat="1" ht="20.25">
      <c r="A11" s="2937"/>
      <c r="B11" s="2944" t="s">
        <v>2755</v>
      </c>
      <c r="C11" s="3195" t="s">
        <v>3317</v>
      </c>
      <c r="D11" s="253">
        <v>100</v>
      </c>
      <c r="E11" s="3196" t="s">
        <v>3318</v>
      </c>
      <c r="F11" s="253">
        <f>SUMIF(77:77,E11,78:78)-SUMIF(77:77,C11,78:78)+100</f>
        <v>100</v>
      </c>
      <c r="G11" s="3196" t="s">
        <v>3318</v>
      </c>
      <c r="H11" s="253">
        <f>SUMIF(77:77,G11,78:78)-SUMIF(77:77,C11,78:78)+100</f>
        <v>100</v>
      </c>
      <c r="I11" s="3196" t="s">
        <v>3318</v>
      </c>
      <c r="J11" s="253">
        <f>SUMIF(77:77,I11,78:78)-SUMIF(77:77,C11,78:78)+100</f>
        <v>100</v>
      </c>
      <c r="K11" s="523"/>
      <c r="L11" s="2135"/>
      <c r="M11" s="2132"/>
      <c r="N11" s="2132"/>
      <c r="O11" s="2137"/>
      <c r="P11" s="3410" t="s">
        <v>535</v>
      </c>
      <c r="Q11" s="1150" t="str">
        <f t="shared" ref="Q11:Q17" si="6">B11</f>
        <v>用途</v>
      </c>
      <c r="R11" s="1567" t="s">
        <v>8</v>
      </c>
      <c r="S11" s="1568">
        <f t="shared" si="0"/>
        <v>100</v>
      </c>
      <c r="T11" s="1567" t="s">
        <v>8</v>
      </c>
      <c r="U11" s="1568">
        <f t="shared" si="1"/>
        <v>100</v>
      </c>
      <c r="V11" s="1567" t="s">
        <v>8</v>
      </c>
      <c r="W11" s="1568">
        <f t="shared" si="2"/>
        <v>100</v>
      </c>
      <c r="X11" s="1569"/>
      <c r="Y11" s="3356"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10"/>
      <c r="Q12" s="1150" t="str">
        <f t="shared" si="6"/>
        <v>土地使用年限（年）</v>
      </c>
      <c r="R12" s="1567" t="s">
        <v>8</v>
      </c>
      <c r="S12" s="1568">
        <f t="shared" si="0"/>
        <v>100</v>
      </c>
      <c r="T12" s="1567" t="s">
        <v>8</v>
      </c>
      <c r="U12" s="1568">
        <f t="shared" si="1"/>
        <v>100</v>
      </c>
      <c r="V12" s="1567" t="s">
        <v>8</v>
      </c>
      <c r="W12" s="1568">
        <f t="shared" si="2"/>
        <v>100</v>
      </c>
      <c r="X12" s="1569"/>
      <c r="Y12" s="3356"/>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102</v>
      </c>
      <c r="G13" s="533">
        <v>2.2000000000000002</v>
      </c>
      <c r="H13" s="254">
        <f>LOOKUP(G13,82:82,83:83)-LOOKUP(C13,82:82,83:83)+100</f>
        <v>100</v>
      </c>
      <c r="I13" s="532">
        <v>1.8</v>
      </c>
      <c r="J13" s="254">
        <f>LOOKUP(I13,82:82,83:83)-LOOKUP(C13,82:82,83:83)+100</f>
        <v>102</v>
      </c>
      <c r="K13" s="534">
        <v>2</v>
      </c>
      <c r="L13" s="2140"/>
      <c r="M13" s="2132"/>
      <c r="N13" s="2132"/>
      <c r="O13" s="2141"/>
      <c r="P13" s="3410"/>
      <c r="Q13" s="1150" t="str">
        <f t="shared" si="6"/>
        <v>容积率</v>
      </c>
      <c r="R13" s="1567" t="s">
        <v>8</v>
      </c>
      <c r="S13" s="1568">
        <f t="shared" si="0"/>
        <v>102</v>
      </c>
      <c r="T13" s="1567" t="s">
        <v>8</v>
      </c>
      <c r="U13" s="1568">
        <f t="shared" si="1"/>
        <v>100</v>
      </c>
      <c r="V13" s="1567" t="s">
        <v>8</v>
      </c>
      <c r="W13" s="1568">
        <f t="shared" si="2"/>
        <v>102</v>
      </c>
      <c r="X13" s="1569"/>
      <c r="Y13" s="3356"/>
      <c r="Z13" s="1149" t="str">
        <f t="shared" si="7"/>
        <v>容积率</v>
      </c>
      <c r="AA13" s="1570">
        <f t="shared" si="3"/>
        <v>0.98039215686274506</v>
      </c>
      <c r="AB13" s="1570">
        <f t="shared" si="4"/>
        <v>1</v>
      </c>
      <c r="AC13" s="1570">
        <f t="shared" si="5"/>
        <v>0.98039215686274506</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10"/>
      <c r="Q14" s="1150" t="str">
        <f t="shared" si="6"/>
        <v>配建</v>
      </c>
      <c r="R14" s="1567" t="s">
        <v>8</v>
      </c>
      <c r="S14" s="1568">
        <f t="shared" si="0"/>
        <v>100</v>
      </c>
      <c r="T14" s="1567" t="s">
        <v>8</v>
      </c>
      <c r="U14" s="1568">
        <f t="shared" si="1"/>
        <v>100</v>
      </c>
      <c r="V14" s="1567" t="s">
        <v>8</v>
      </c>
      <c r="W14" s="1568">
        <f t="shared" si="2"/>
        <v>100</v>
      </c>
      <c r="X14" s="1569"/>
      <c r="Y14" s="3356"/>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10"/>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10"/>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44" t="s">
        <v>540</v>
      </c>
      <c r="Q17" s="1571" t="str">
        <f t="shared" si="6"/>
        <v>居住社区成熟度</v>
      </c>
      <c r="R17" s="1572" t="s">
        <v>8</v>
      </c>
      <c r="S17" s="1573">
        <f t="shared" si="0"/>
        <v>100</v>
      </c>
      <c r="T17" s="1572" t="s">
        <v>8</v>
      </c>
      <c r="U17" s="1573">
        <f t="shared" si="1"/>
        <v>100</v>
      </c>
      <c r="V17" s="1572" t="s">
        <v>8</v>
      </c>
      <c r="W17" s="1573">
        <f t="shared" si="2"/>
        <v>100</v>
      </c>
      <c r="X17" s="1566"/>
      <c r="Y17" s="3444" t="s">
        <v>540</v>
      </c>
      <c r="Z17" s="1574" t="str">
        <f t="shared" si="7"/>
        <v>居住社区成熟度</v>
      </c>
      <c r="AA17" s="1575">
        <f t="shared" si="3"/>
        <v>1</v>
      </c>
      <c r="AB17" s="1575">
        <f t="shared" si="4"/>
        <v>1</v>
      </c>
      <c r="AC17" s="1575">
        <f t="shared" si="5"/>
        <v>1</v>
      </c>
    </row>
    <row r="18" spans="1:29" ht="20.25">
      <c r="A18" s="531"/>
      <c r="B18" s="552"/>
      <c r="C18" s="553" t="s">
        <v>3335</v>
      </c>
      <c r="D18" s="556"/>
      <c r="E18" s="557" t="s">
        <v>3335</v>
      </c>
      <c r="F18" s="554"/>
      <c r="G18" s="555" t="s">
        <v>3335</v>
      </c>
      <c r="H18" s="558"/>
      <c r="I18" s="557" t="s">
        <v>3335</v>
      </c>
      <c r="J18" s="554"/>
      <c r="K18" s="530"/>
      <c r="L18" s="2142"/>
      <c r="M18" s="2132"/>
      <c r="N18" s="2132"/>
      <c r="O18" s="2141"/>
      <c r="P18" s="3445"/>
      <c r="Q18" s="1571"/>
      <c r="R18" s="1572"/>
      <c r="S18" s="1573"/>
      <c r="T18" s="1572"/>
      <c r="U18" s="1573"/>
      <c r="V18" s="1572"/>
      <c r="W18" s="1573"/>
      <c r="X18" s="1566"/>
      <c r="Y18" s="3445"/>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45"/>
      <c r="Q19" s="1571" t="str">
        <f>B19</f>
        <v>商业繁华度</v>
      </c>
      <c r="R19" s="1572" t="s">
        <v>8</v>
      </c>
      <c r="S19" s="1573">
        <f>F19</f>
        <v>100</v>
      </c>
      <c r="T19" s="1572" t="s">
        <v>8</v>
      </c>
      <c r="U19" s="1573">
        <f>H19</f>
        <v>100</v>
      </c>
      <c r="V19" s="1572" t="s">
        <v>8</v>
      </c>
      <c r="W19" s="1573">
        <f>J19</f>
        <v>100</v>
      </c>
      <c r="X19" s="1566"/>
      <c r="Y19" s="3445"/>
      <c r="Z19" s="1574" t="str">
        <f>Q19</f>
        <v>商业繁华度</v>
      </c>
      <c r="AA19" s="1575">
        <f t="shared" si="3"/>
        <v>1</v>
      </c>
      <c r="AB19" s="1575">
        <f t="shared" si="4"/>
        <v>1</v>
      </c>
      <c r="AC19" s="1575">
        <f t="shared" si="5"/>
        <v>1</v>
      </c>
    </row>
    <row r="20" spans="1:29" ht="20.25" hidden="1">
      <c r="A20" s="531"/>
      <c r="B20" s="565"/>
      <c r="C20" s="566" t="s">
        <v>3335</v>
      </c>
      <c r="D20" s="562"/>
      <c r="E20" s="568" t="s">
        <v>3335</v>
      </c>
      <c r="F20" s="558"/>
      <c r="G20" s="567" t="s">
        <v>3335</v>
      </c>
      <c r="H20" s="554"/>
      <c r="I20" s="568" t="s">
        <v>3335</v>
      </c>
      <c r="J20" s="554"/>
      <c r="K20" s="530"/>
      <c r="L20" s="2142"/>
      <c r="M20" s="2132"/>
      <c r="N20" s="2132"/>
      <c r="O20" s="2141"/>
      <c r="P20" s="3445"/>
      <c r="Q20" s="1571"/>
      <c r="R20" s="1572"/>
      <c r="S20" s="1573"/>
      <c r="T20" s="1572"/>
      <c r="U20" s="1573"/>
      <c r="V20" s="1572"/>
      <c r="W20" s="1573"/>
      <c r="X20" s="1566"/>
      <c r="Y20" s="3445"/>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45"/>
      <c r="Q21" s="1571" t="str">
        <f>B21</f>
        <v>办公集聚程度</v>
      </c>
      <c r="R21" s="1572" t="s">
        <v>8</v>
      </c>
      <c r="S21" s="1573">
        <f>F21</f>
        <v>100</v>
      </c>
      <c r="T21" s="1572" t="s">
        <v>8</v>
      </c>
      <c r="U21" s="1573">
        <f>H21</f>
        <v>100</v>
      </c>
      <c r="V21" s="1572" t="s">
        <v>8</v>
      </c>
      <c r="W21" s="1573">
        <f>J21</f>
        <v>100</v>
      </c>
      <c r="X21" s="1566"/>
      <c r="Y21" s="3445"/>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45"/>
      <c r="Q22" s="1571"/>
      <c r="R22" s="1572"/>
      <c r="S22" s="1573"/>
      <c r="T22" s="1572"/>
      <c r="U22" s="1573"/>
      <c r="V22" s="1572"/>
      <c r="W22" s="1573"/>
      <c r="X22" s="1566"/>
      <c r="Y22" s="3445"/>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98</v>
      </c>
      <c r="I23" s="563"/>
      <c r="J23" s="558">
        <f>SUMIF(96:96,I24,97:97)-SUMIF(96:96,C24,97:97)+100</f>
        <v>98</v>
      </c>
      <c r="K23" s="534">
        <v>2</v>
      </c>
      <c r="L23" s="2142"/>
      <c r="M23" s="2132"/>
      <c r="N23" s="2132"/>
      <c r="O23" s="2141"/>
      <c r="P23" s="3445"/>
      <c r="Q23" s="1571" t="str">
        <f>B23</f>
        <v>交通便捷度</v>
      </c>
      <c r="R23" s="1572" t="s">
        <v>8</v>
      </c>
      <c r="S23" s="1573">
        <f>F23</f>
        <v>100</v>
      </c>
      <c r="T23" s="1572" t="s">
        <v>8</v>
      </c>
      <c r="U23" s="1573">
        <f>H23</f>
        <v>98</v>
      </c>
      <c r="V23" s="1572" t="s">
        <v>8</v>
      </c>
      <c r="W23" s="1573">
        <f>J23</f>
        <v>98</v>
      </c>
      <c r="X23" s="1566"/>
      <c r="Y23" s="3445"/>
      <c r="Z23" s="1574" t="str">
        <f>Q23</f>
        <v>交通便捷度</v>
      </c>
      <c r="AA23" s="1575">
        <f t="shared" si="3"/>
        <v>1</v>
      </c>
      <c r="AB23" s="1575">
        <f t="shared" si="4"/>
        <v>1.0204081632653061</v>
      </c>
      <c r="AC23" s="1575">
        <f t="shared" si="5"/>
        <v>1.0204081632653061</v>
      </c>
    </row>
    <row r="24" spans="1:29" ht="20.25">
      <c r="A24" s="531"/>
      <c r="B24" s="577"/>
      <c r="C24" s="553" t="s">
        <v>3335</v>
      </c>
      <c r="D24" s="556"/>
      <c r="E24" s="557" t="s">
        <v>3335</v>
      </c>
      <c r="F24" s="554"/>
      <c r="G24" s="555" t="s">
        <v>3370</v>
      </c>
      <c r="H24" s="554"/>
      <c r="I24" s="557" t="s">
        <v>3370</v>
      </c>
      <c r="J24" s="554"/>
      <c r="K24" s="530"/>
      <c r="L24" s="2142"/>
      <c r="M24" s="2132"/>
      <c r="N24" s="2132"/>
      <c r="O24" s="2141"/>
      <c r="P24" s="3445"/>
      <c r="Q24" s="1571"/>
      <c r="R24" s="1572"/>
      <c r="S24" s="1573"/>
      <c r="T24" s="1572"/>
      <c r="U24" s="1573"/>
      <c r="V24" s="1572"/>
      <c r="W24" s="1573"/>
      <c r="X24" s="1566"/>
      <c r="Y24" s="3445"/>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45"/>
      <c r="Q25" s="1571" t="str">
        <f t="shared" ref="Q25:Q39" si="8">B25</f>
        <v>区域土地利用方向</v>
      </c>
      <c r="R25" s="1572" t="s">
        <v>8</v>
      </c>
      <c r="S25" s="1573">
        <f>F25</f>
        <v>100</v>
      </c>
      <c r="T25" s="1572" t="s">
        <v>8</v>
      </c>
      <c r="U25" s="1573">
        <f>H25</f>
        <v>100</v>
      </c>
      <c r="V25" s="1572" t="s">
        <v>8</v>
      </c>
      <c r="W25" s="1573">
        <f>J25</f>
        <v>100</v>
      </c>
      <c r="X25" s="1566"/>
      <c r="Y25" s="3445"/>
      <c r="Z25" s="1574" t="str">
        <f>Q25</f>
        <v>区域土地利用方向</v>
      </c>
      <c r="AA25" s="1575">
        <f t="shared" si="3"/>
        <v>1</v>
      </c>
      <c r="AB25" s="1575">
        <f t="shared" si="4"/>
        <v>1</v>
      </c>
      <c r="AC25" s="1575">
        <f t="shared" si="5"/>
        <v>1</v>
      </c>
    </row>
    <row r="26" spans="1:29" ht="20.25">
      <c r="A26" s="514"/>
      <c r="B26" s="1006"/>
      <c r="C26" s="553" t="s">
        <v>3335</v>
      </c>
      <c r="D26" s="556"/>
      <c r="E26" s="557" t="s">
        <v>3335</v>
      </c>
      <c r="F26" s="554"/>
      <c r="G26" s="555" t="s">
        <v>3335</v>
      </c>
      <c r="H26" s="554"/>
      <c r="I26" s="557" t="s">
        <v>3335</v>
      </c>
      <c r="J26" s="554"/>
      <c r="K26" s="530"/>
      <c r="L26" s="2142"/>
      <c r="M26" s="2132"/>
      <c r="N26" s="2132"/>
      <c r="O26" s="2141"/>
      <c r="P26" s="3445"/>
      <c r="Q26" s="1571"/>
      <c r="R26" s="1572"/>
      <c r="S26" s="1573"/>
      <c r="T26" s="1572"/>
      <c r="U26" s="1573"/>
      <c r="V26" s="1572"/>
      <c r="W26" s="1573"/>
      <c r="X26" s="1566"/>
      <c r="Y26" s="3445"/>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45"/>
      <c r="Q27" s="1571" t="str">
        <f t="shared" si="8"/>
        <v>自然及人文环境状况</v>
      </c>
      <c r="R27" s="1572" t="s">
        <v>8</v>
      </c>
      <c r="S27" s="1573">
        <f>F27</f>
        <v>100</v>
      </c>
      <c r="T27" s="1572" t="s">
        <v>8</v>
      </c>
      <c r="U27" s="1573">
        <f>H27</f>
        <v>100</v>
      </c>
      <c r="V27" s="1572" t="s">
        <v>8</v>
      </c>
      <c r="W27" s="1573">
        <f>J27</f>
        <v>100</v>
      </c>
      <c r="X27" s="1566"/>
      <c r="Y27" s="3445"/>
      <c r="Z27" s="1574" t="str">
        <f>Q27</f>
        <v>自然及人文环境状况</v>
      </c>
      <c r="AA27" s="1575">
        <f t="shared" si="3"/>
        <v>1</v>
      </c>
      <c r="AB27" s="1575">
        <f t="shared" si="4"/>
        <v>1</v>
      </c>
      <c r="AC27" s="1575">
        <f t="shared" si="5"/>
        <v>1</v>
      </c>
    </row>
    <row r="28" spans="1:29" ht="20.25">
      <c r="A28" s="514"/>
      <c r="B28" s="565"/>
      <c r="C28" s="553" t="s">
        <v>3335</v>
      </c>
      <c r="D28" s="556"/>
      <c r="E28" s="575" t="s">
        <v>3335</v>
      </c>
      <c r="F28" s="554"/>
      <c r="G28" s="553" t="s">
        <v>3335</v>
      </c>
      <c r="H28" s="554"/>
      <c r="I28" s="575" t="s">
        <v>3335</v>
      </c>
      <c r="J28" s="554"/>
      <c r="K28" s="530"/>
      <c r="L28" s="2142"/>
      <c r="M28" s="2132"/>
      <c r="N28" s="2132"/>
      <c r="O28" s="2141"/>
      <c r="P28" s="3445"/>
      <c r="Q28" s="1571"/>
      <c r="R28" s="1572"/>
      <c r="S28" s="1573"/>
      <c r="T28" s="1572"/>
      <c r="U28" s="1573"/>
      <c r="V28" s="1572"/>
      <c r="W28" s="1573"/>
      <c r="X28" s="1566"/>
      <c r="Y28" s="3445"/>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445"/>
      <c r="Q29" s="1150" t="str">
        <f t="shared" si="8"/>
        <v>公共配套设施</v>
      </c>
      <c r="R29" s="1567" t="s">
        <v>8</v>
      </c>
      <c r="S29" s="1568">
        <f>F29</f>
        <v>100</v>
      </c>
      <c r="T29" s="1567" t="s">
        <v>8</v>
      </c>
      <c r="U29" s="1568">
        <f>H29</f>
        <v>100</v>
      </c>
      <c r="V29" s="1567" t="s">
        <v>8</v>
      </c>
      <c r="W29" s="1568">
        <f>J29</f>
        <v>100</v>
      </c>
      <c r="X29" s="1569"/>
      <c r="Y29" s="3445"/>
      <c r="Z29" s="1149" t="str">
        <f>Q29</f>
        <v>公共配套设施</v>
      </c>
      <c r="AA29" s="1575">
        <f>D29/F29</f>
        <v>1</v>
      </c>
      <c r="AB29" s="1575">
        <f>D29/H29</f>
        <v>1</v>
      </c>
      <c r="AC29" s="1575">
        <f>D29/J29</f>
        <v>1</v>
      </c>
    </row>
    <row r="30" spans="1:29" s="1219" customFormat="1" ht="20.25">
      <c r="A30" s="576"/>
      <c r="B30" s="565"/>
      <c r="C30" s="578" t="s">
        <v>3335</v>
      </c>
      <c r="D30" s="556"/>
      <c r="E30" s="575" t="s">
        <v>3335</v>
      </c>
      <c r="F30" s="554"/>
      <c r="G30" s="553" t="s">
        <v>3335</v>
      </c>
      <c r="H30" s="554"/>
      <c r="I30" s="575" t="s">
        <v>3335</v>
      </c>
      <c r="J30" s="554"/>
      <c r="K30" s="530"/>
      <c r="L30" s="2135"/>
      <c r="M30" s="2132"/>
      <c r="N30" s="2132"/>
      <c r="O30" s="2137"/>
      <c r="P30" s="3445"/>
      <c r="Q30" s="1150"/>
      <c r="R30" s="1567"/>
      <c r="S30" s="1568"/>
      <c r="T30" s="1567"/>
      <c r="U30" s="1568"/>
      <c r="V30" s="1567"/>
      <c r="W30" s="1568"/>
      <c r="X30" s="1569"/>
      <c r="Y30" s="3445"/>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45"/>
      <c r="Q31" s="2602" t="str">
        <f t="shared" ref="Q31" si="9">B31</f>
        <v>基础设施水平</v>
      </c>
      <c r="R31" s="1567" t="s">
        <v>8</v>
      </c>
      <c r="S31" s="1568">
        <f>F31</f>
        <v>100</v>
      </c>
      <c r="T31" s="1567" t="s">
        <v>8</v>
      </c>
      <c r="U31" s="1568">
        <f>H31</f>
        <v>100</v>
      </c>
      <c r="V31" s="1567" t="s">
        <v>8</v>
      </c>
      <c r="W31" s="1568">
        <f>J31</f>
        <v>100</v>
      </c>
      <c r="X31" s="1569"/>
      <c r="Y31" s="3445"/>
      <c r="Z31" s="2599" t="str">
        <f>Q31</f>
        <v>基础设施水平</v>
      </c>
      <c r="AA31" s="1575">
        <f>D31/F31</f>
        <v>1</v>
      </c>
      <c r="AB31" s="1575">
        <f>D31/H31</f>
        <v>1</v>
      </c>
      <c r="AC31" s="1575">
        <f>D31/J31</f>
        <v>1</v>
      </c>
    </row>
    <row r="32" spans="1:29" s="1219" customFormat="1" ht="20.25">
      <c r="A32" s="576"/>
      <c r="B32" s="565"/>
      <c r="C32" s="578" t="s">
        <v>3330</v>
      </c>
      <c r="D32" s="556"/>
      <c r="E32" s="2616" t="s">
        <v>3330</v>
      </c>
      <c r="F32" s="554"/>
      <c r="G32" s="578" t="s">
        <v>3330</v>
      </c>
      <c r="H32" s="554"/>
      <c r="I32" s="578" t="s">
        <v>3330</v>
      </c>
      <c r="J32" s="554"/>
      <c r="K32" s="530"/>
      <c r="L32" s="2135"/>
      <c r="M32" s="2132"/>
      <c r="N32" s="2132"/>
      <c r="O32" s="2137"/>
      <c r="P32" s="3445"/>
      <c r="Q32" s="2602"/>
      <c r="R32" s="1567"/>
      <c r="S32" s="1568"/>
      <c r="T32" s="1567"/>
      <c r="U32" s="1568"/>
      <c r="V32" s="1567"/>
      <c r="W32" s="1568"/>
      <c r="X32" s="1569"/>
      <c r="Y32" s="3445"/>
      <c r="Z32" s="2599"/>
      <c r="AA32" s="1575">
        <v>1</v>
      </c>
      <c r="AB32" s="1575">
        <v>1</v>
      </c>
      <c r="AC32" s="1575">
        <v>1</v>
      </c>
    </row>
    <row r="33" spans="1:29" ht="20.25">
      <c r="A33" s="531"/>
      <c r="B33" s="565" t="s">
        <v>547</v>
      </c>
      <c r="C33" s="579" t="s">
        <v>3343</v>
      </c>
      <c r="D33" s="574">
        <v>100</v>
      </c>
      <c r="E33" s="582" t="s">
        <v>3343</v>
      </c>
      <c r="F33" s="539">
        <f>SUMIF(106:106,E33,107:107)-SUMIF(106:106,C33,107:107)+100</f>
        <v>100</v>
      </c>
      <c r="G33" s="579" t="s">
        <v>3343</v>
      </c>
      <c r="H33" s="539">
        <f>SUMIF(106:106,G33,107:107)-SUMIF(106:106,C33,107:107)+100</f>
        <v>100</v>
      </c>
      <c r="I33" s="579" t="s">
        <v>3343</v>
      </c>
      <c r="J33" s="539">
        <f>SUMIF(106:106,I33,107:107)-SUMIF(106:106,C33,107:107)+100</f>
        <v>100</v>
      </c>
      <c r="K33" s="534">
        <v>2</v>
      </c>
      <c r="L33" s="2142"/>
      <c r="M33" s="2132"/>
      <c r="N33" s="2132"/>
      <c r="O33" s="2141"/>
      <c r="P33" s="344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5"/>
      <c r="Z33" s="1574" t="str">
        <f t="shared" ref="Z33:Z47" si="13">Q33</f>
        <v>临街状况</v>
      </c>
      <c r="AA33" s="1575">
        <f t="shared" si="3"/>
        <v>1</v>
      </c>
      <c r="AB33" s="1575">
        <f t="shared" si="4"/>
        <v>1</v>
      </c>
      <c r="AC33" s="1575">
        <f t="shared" si="5"/>
        <v>1</v>
      </c>
    </row>
    <row r="34" spans="1:29" ht="27">
      <c r="A34" s="531"/>
      <c r="B34" s="577" t="s">
        <v>548</v>
      </c>
      <c r="C34" s="3205" t="s">
        <v>3346</v>
      </c>
      <c r="D34" s="562">
        <v>100</v>
      </c>
      <c r="E34" s="3210" t="s">
        <v>3453</v>
      </c>
      <c r="F34" s="558">
        <f>SUMIF(108:108,E35,109:109)-SUMIF(108:108,C35,109:109)+100</f>
        <v>99</v>
      </c>
      <c r="G34" s="3205" t="s">
        <v>3454</v>
      </c>
      <c r="H34" s="558">
        <f>SUMIF(108:108,G35,109:109)-SUMIF(108:108,C35,109:109)+100</f>
        <v>98</v>
      </c>
      <c r="I34" s="3205" t="s">
        <v>3455</v>
      </c>
      <c r="J34" s="558">
        <f>SUMIF(108:108,I35,109:109)-SUMIF(108:108,C35,109:109)+100</f>
        <v>98</v>
      </c>
      <c r="K34" s="534">
        <v>1</v>
      </c>
      <c r="L34" s="2142"/>
      <c r="M34" s="2132"/>
      <c r="N34" s="2132"/>
      <c r="O34" s="2141"/>
      <c r="P34" s="3445"/>
      <c r="Q34" s="1571" t="str">
        <f t="shared" si="8"/>
        <v>毗邻道路的类型与等级</v>
      </c>
      <c r="R34" s="1572" t="s">
        <v>8</v>
      </c>
      <c r="S34" s="1573">
        <f t="shared" si="10"/>
        <v>99</v>
      </c>
      <c r="T34" s="1572" t="s">
        <v>8</v>
      </c>
      <c r="U34" s="1573">
        <f t="shared" si="11"/>
        <v>98</v>
      </c>
      <c r="V34" s="1572" t="s">
        <v>8</v>
      </c>
      <c r="W34" s="1573">
        <f t="shared" si="12"/>
        <v>98</v>
      </c>
      <c r="X34" s="1566"/>
      <c r="Y34" s="3445"/>
      <c r="Z34" s="1574" t="str">
        <f t="shared" si="13"/>
        <v>毗邻道路的类型与等级</v>
      </c>
      <c r="AA34" s="1575">
        <f t="shared" si="3"/>
        <v>1.0101010101010102</v>
      </c>
      <c r="AB34" s="1575">
        <f t="shared" si="4"/>
        <v>1.0204081632653061</v>
      </c>
      <c r="AC34" s="1575">
        <f t="shared" si="5"/>
        <v>1.0204081632653061</v>
      </c>
    </row>
    <row r="35" spans="1:29" ht="21" thickBot="1">
      <c r="A35" s="531"/>
      <c r="B35" s="565"/>
      <c r="C35" s="553" t="s">
        <v>3320</v>
      </c>
      <c r="D35" s="556"/>
      <c r="E35" s="575" t="s">
        <v>3323</v>
      </c>
      <c r="F35" s="554"/>
      <c r="G35" s="553" t="s">
        <v>3325</v>
      </c>
      <c r="H35" s="554"/>
      <c r="I35" s="575" t="s">
        <v>3325</v>
      </c>
      <c r="J35" s="554"/>
      <c r="K35" s="580"/>
      <c r="L35" s="2142"/>
      <c r="M35" s="2132"/>
      <c r="N35" s="2132"/>
      <c r="O35" s="2141"/>
      <c r="P35" s="3445"/>
      <c r="Q35" s="1571"/>
      <c r="R35" s="1572"/>
      <c r="S35" s="1573"/>
      <c r="T35" s="1572"/>
      <c r="U35" s="1573"/>
      <c r="V35" s="1572"/>
      <c r="W35" s="1573"/>
      <c r="X35" s="1566"/>
      <c r="Y35" s="3445"/>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45"/>
      <c r="Q36" s="1571" t="str">
        <f t="shared" si="8"/>
        <v>土地级别</v>
      </c>
      <c r="R36" s="1572" t="s">
        <v>8</v>
      </c>
      <c r="S36" s="1573">
        <f t="shared" si="10"/>
        <v>100</v>
      </c>
      <c r="T36" s="1572" t="s">
        <v>8</v>
      </c>
      <c r="U36" s="1573">
        <f t="shared" si="11"/>
        <v>100</v>
      </c>
      <c r="V36" s="1572" t="s">
        <v>8</v>
      </c>
      <c r="W36" s="1573">
        <f t="shared" si="12"/>
        <v>100</v>
      </c>
      <c r="X36" s="1566"/>
      <c r="Y36" s="3445"/>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45"/>
      <c r="Q37" s="1571">
        <f t="shared" si="8"/>
        <v>111</v>
      </c>
      <c r="R37" s="1572" t="s">
        <v>8</v>
      </c>
      <c r="S37" s="1573">
        <f t="shared" si="10"/>
        <v>100</v>
      </c>
      <c r="T37" s="1572" t="s">
        <v>8</v>
      </c>
      <c r="U37" s="1573">
        <f t="shared" si="11"/>
        <v>100</v>
      </c>
      <c r="V37" s="1572" t="s">
        <v>8</v>
      </c>
      <c r="W37" s="1573">
        <f t="shared" si="12"/>
        <v>100</v>
      </c>
      <c r="X37" s="1566"/>
      <c r="Y37" s="3445"/>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46" t="s">
        <v>550</v>
      </c>
      <c r="Q38" s="1571">
        <f t="shared" si="8"/>
        <v>111</v>
      </c>
      <c r="R38" s="1572" t="s">
        <v>8</v>
      </c>
      <c r="S38" s="1573">
        <f t="shared" si="10"/>
        <v>100</v>
      </c>
      <c r="T38" s="1572" t="s">
        <v>8</v>
      </c>
      <c r="U38" s="1573">
        <f t="shared" si="11"/>
        <v>100</v>
      </c>
      <c r="V38" s="1572" t="s">
        <v>8</v>
      </c>
      <c r="W38" s="1573">
        <f t="shared" si="12"/>
        <v>100</v>
      </c>
      <c r="X38" s="1566"/>
      <c r="Y38" s="3447"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47"/>
      <c r="Q39" s="1571">
        <f t="shared" si="8"/>
        <v>111</v>
      </c>
      <c r="R39" s="1576" t="s">
        <v>8</v>
      </c>
      <c r="S39" s="1577">
        <f t="shared" si="10"/>
        <v>100</v>
      </c>
      <c r="T39" s="1576" t="s">
        <v>8</v>
      </c>
      <c r="U39" s="1577">
        <f t="shared" si="11"/>
        <v>100</v>
      </c>
      <c r="V39" s="1576" t="s">
        <v>8</v>
      </c>
      <c r="W39" s="1577">
        <f t="shared" si="12"/>
        <v>100</v>
      </c>
      <c r="X39" s="1578"/>
      <c r="Y39" s="3447"/>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98</v>
      </c>
      <c r="G40" s="595">
        <f>土地案例!D71</f>
        <v>40816.9</v>
      </c>
      <c r="H40" s="596">
        <f>LOOKUP(G40,119:119,120:120)-LOOKUP(C40,119:119,120:120)+100</f>
        <v>99</v>
      </c>
      <c r="I40" s="597">
        <f>土地案例!D86</f>
        <v>49189.2</v>
      </c>
      <c r="J40" s="596">
        <f>LOOKUP(I40,119:119,120:120)-LOOKUP(C40,119:119,120:120)+100</f>
        <v>99</v>
      </c>
      <c r="K40" s="580"/>
      <c r="L40" s="2142"/>
      <c r="M40" s="2132"/>
      <c r="N40" s="2132"/>
      <c r="O40" s="2141"/>
      <c r="P40" s="3447"/>
      <c r="Q40" s="1571" t="str">
        <f>B40</f>
        <v>宗地面积</v>
      </c>
      <c r="R40" s="1572" t="s">
        <v>8</v>
      </c>
      <c r="S40" s="1573">
        <f t="shared" si="10"/>
        <v>98</v>
      </c>
      <c r="T40" s="1572" t="s">
        <v>8</v>
      </c>
      <c r="U40" s="1573">
        <f t="shared" si="11"/>
        <v>99</v>
      </c>
      <c r="V40" s="1572" t="s">
        <v>8</v>
      </c>
      <c r="W40" s="1573">
        <f t="shared" si="12"/>
        <v>99</v>
      </c>
      <c r="X40" s="1566"/>
      <c r="Y40" s="3447"/>
      <c r="Z40" s="1574" t="str">
        <f t="shared" si="13"/>
        <v>宗地面积</v>
      </c>
      <c r="AA40" s="1575">
        <f t="shared" si="3"/>
        <v>1.0204081632653061</v>
      </c>
      <c r="AB40" s="1575">
        <f t="shared" si="4"/>
        <v>1.0101010101010102</v>
      </c>
      <c r="AC40" s="1575">
        <f t="shared" si="5"/>
        <v>1.0101010101010102</v>
      </c>
    </row>
    <row r="41" spans="1:29" ht="20.25">
      <c r="A41" s="593"/>
      <c r="B41" s="526" t="s">
        <v>553</v>
      </c>
      <c r="C41" s="598" t="s">
        <v>3327</v>
      </c>
      <c r="D41" s="539">
        <v>100</v>
      </c>
      <c r="E41" s="598" t="s">
        <v>3327</v>
      </c>
      <c r="F41" s="539">
        <f>SUMIF(121:121,E41,122:122)-SUMIF(121:121,C41,122:122)+100</f>
        <v>100</v>
      </c>
      <c r="G41" s="598" t="s">
        <v>3327</v>
      </c>
      <c r="H41" s="539">
        <f>SUMIF(121:121,G41,122:122)-SUMIF(121:121,C41,122:122)+100</f>
        <v>100</v>
      </c>
      <c r="I41" s="598" t="s">
        <v>3327</v>
      </c>
      <c r="J41" s="539">
        <f>SUMIF(121:121,I41,122:122)-SUMIF(121:121,C41,122:122)+100</f>
        <v>100</v>
      </c>
      <c r="K41" s="583">
        <v>2</v>
      </c>
      <c r="L41" s="2142"/>
      <c r="M41" s="2132"/>
      <c r="N41" s="2132"/>
      <c r="O41" s="2141"/>
      <c r="P41" s="3447"/>
      <c r="Q41" s="1571" t="str">
        <f t="shared" ref="Q41:Q47" si="14">B41</f>
        <v>宗地形状</v>
      </c>
      <c r="R41" s="1572" t="s">
        <v>8</v>
      </c>
      <c r="S41" s="1573">
        <f t="shared" si="10"/>
        <v>100</v>
      </c>
      <c r="T41" s="1572" t="s">
        <v>8</v>
      </c>
      <c r="U41" s="1573">
        <f t="shared" si="11"/>
        <v>100</v>
      </c>
      <c r="V41" s="1572" t="s">
        <v>8</v>
      </c>
      <c r="W41" s="1573">
        <f t="shared" si="12"/>
        <v>100</v>
      </c>
      <c r="X41" s="1566"/>
      <c r="Y41" s="3447"/>
      <c r="Z41" s="1574" t="str">
        <f t="shared" si="13"/>
        <v>宗地形状</v>
      </c>
      <c r="AA41" s="1575">
        <f t="shared" si="3"/>
        <v>1</v>
      </c>
      <c r="AB41" s="1575">
        <f t="shared" si="4"/>
        <v>1</v>
      </c>
      <c r="AC41" s="1575">
        <f t="shared" si="5"/>
        <v>1</v>
      </c>
    </row>
    <row r="42" spans="1:29" ht="20.25">
      <c r="A42" s="593"/>
      <c r="B42" s="526" t="s">
        <v>554</v>
      </c>
      <c r="C42" s="598" t="s">
        <v>3371</v>
      </c>
      <c r="D42" s="539">
        <v>100</v>
      </c>
      <c r="E42" s="598" t="s">
        <v>3371</v>
      </c>
      <c r="F42" s="539">
        <f>SUMIF(123:123,E42,124:124)-SUMIF(123:123,C42,124:124)+100</f>
        <v>100</v>
      </c>
      <c r="G42" s="598" t="s">
        <v>3371</v>
      </c>
      <c r="H42" s="539">
        <f>SUMIF(123:123,G42,124:124)-SUMIF(123:123,C42,124:124)+100</f>
        <v>100</v>
      </c>
      <c r="I42" s="598" t="s">
        <v>3371</v>
      </c>
      <c r="J42" s="539">
        <f>SUMIF(123:123,I42,124:124)-SUMIF(123:123,C42,124:124)+100</f>
        <v>100</v>
      </c>
      <c r="K42" s="583">
        <v>1</v>
      </c>
      <c r="L42" s="2142"/>
      <c r="M42" s="2132"/>
      <c r="N42" s="2132"/>
      <c r="O42" s="2141"/>
      <c r="P42" s="3447"/>
      <c r="Q42" s="1571" t="str">
        <f t="shared" si="14"/>
        <v>临街宽度及深度</v>
      </c>
      <c r="R42" s="1572" t="s">
        <v>8</v>
      </c>
      <c r="S42" s="1573">
        <f t="shared" si="10"/>
        <v>100</v>
      </c>
      <c r="T42" s="1572" t="s">
        <v>8</v>
      </c>
      <c r="U42" s="1573">
        <f t="shared" si="11"/>
        <v>100</v>
      </c>
      <c r="V42" s="1572" t="s">
        <v>8</v>
      </c>
      <c r="W42" s="1573">
        <f t="shared" si="12"/>
        <v>100</v>
      </c>
      <c r="X42" s="1566"/>
      <c r="Y42" s="3447"/>
      <c r="Z42" s="1574" t="str">
        <f t="shared" si="13"/>
        <v>临街宽度及深度</v>
      </c>
      <c r="AA42" s="1575">
        <f t="shared" si="3"/>
        <v>1</v>
      </c>
      <c r="AB42" s="1575">
        <f t="shared" si="4"/>
        <v>1</v>
      </c>
      <c r="AC42" s="1575">
        <f t="shared" si="5"/>
        <v>1</v>
      </c>
    </row>
    <row r="43" spans="1:29" s="1219" customFormat="1" ht="20.25">
      <c r="A43" s="599"/>
      <c r="B43" s="1895" t="s">
        <v>2424</v>
      </c>
      <c r="C43" s="600" t="s">
        <v>3330</v>
      </c>
      <c r="D43" s="254">
        <v>100</v>
      </c>
      <c r="E43" s="600" t="s">
        <v>3330</v>
      </c>
      <c r="F43" s="539">
        <f>SUMIF(125:125,E43,126:126)-SUMIF(125:125,C43,126:126)+100</f>
        <v>100</v>
      </c>
      <c r="G43" s="600" t="s">
        <v>3330</v>
      </c>
      <c r="H43" s="539">
        <f>SUMIF(125:125,G43,126:126)-SUMIF(125:125,C43,126:126)+100</f>
        <v>100</v>
      </c>
      <c r="I43" s="600" t="s">
        <v>3330</v>
      </c>
      <c r="J43" s="539">
        <f>SUMIF(125:125,I43,126:126)-SUMIF(125:125,C43,126:126)+100</f>
        <v>100</v>
      </c>
      <c r="K43" s="583">
        <v>1</v>
      </c>
      <c r="L43" s="2135"/>
      <c r="M43" s="2132"/>
      <c r="N43" s="2132"/>
      <c r="O43" s="2137"/>
      <c r="P43" s="3447"/>
      <c r="Q43" s="1571" t="str">
        <f t="shared" si="14"/>
        <v>宗地开发程度</v>
      </c>
      <c r="R43" s="1567" t="s">
        <v>8</v>
      </c>
      <c r="S43" s="1568">
        <f t="shared" si="10"/>
        <v>100</v>
      </c>
      <c r="T43" s="1567" t="s">
        <v>8</v>
      </c>
      <c r="U43" s="1568">
        <f t="shared" si="11"/>
        <v>100</v>
      </c>
      <c r="V43" s="1567" t="s">
        <v>8</v>
      </c>
      <c r="W43" s="1568">
        <f t="shared" si="12"/>
        <v>100</v>
      </c>
      <c r="X43" s="1569"/>
      <c r="Y43" s="3447"/>
      <c r="Z43" s="1149" t="str">
        <f t="shared" si="13"/>
        <v>宗地开发程度</v>
      </c>
      <c r="AA43" s="1570">
        <f t="shared" si="3"/>
        <v>1</v>
      </c>
      <c r="AB43" s="1570">
        <f t="shared" si="4"/>
        <v>1</v>
      </c>
      <c r="AC43" s="1570">
        <f t="shared" si="5"/>
        <v>1</v>
      </c>
    </row>
    <row r="44" spans="1:29" ht="21" thickBot="1">
      <c r="A44" s="593"/>
      <c r="B44" s="526" t="s">
        <v>555</v>
      </c>
      <c r="C44" s="598" t="s">
        <v>3335</v>
      </c>
      <c r="D44" s="539">
        <v>100</v>
      </c>
      <c r="E44" s="598" t="s">
        <v>3335</v>
      </c>
      <c r="F44" s="539">
        <f>SUMIF(127:127,E44,128:128)-SUMIF(127:127,C44,128:128)+100</f>
        <v>100</v>
      </c>
      <c r="G44" s="598" t="s">
        <v>3335</v>
      </c>
      <c r="H44" s="539">
        <f>SUMIF(127:127,G44,128:128)-SUMIF(127:127,C44,128:128)+100</f>
        <v>100</v>
      </c>
      <c r="I44" s="598" t="s">
        <v>3335</v>
      </c>
      <c r="J44" s="539">
        <f>SUMIF(127:127,I44,128:128)-SUMIF(127:127,C44,128:128)+100</f>
        <v>100</v>
      </c>
      <c r="K44" s="583">
        <v>2</v>
      </c>
      <c r="L44" s="2142"/>
      <c r="M44" s="2132"/>
      <c r="N44" s="2132"/>
      <c r="O44" s="2141"/>
      <c r="P44" s="3447" t="s">
        <v>550</v>
      </c>
      <c r="Q44" s="1571" t="str">
        <f t="shared" si="14"/>
        <v>工程地质条件</v>
      </c>
      <c r="R44" s="1572" t="s">
        <v>8</v>
      </c>
      <c r="S44" s="1573">
        <f t="shared" si="10"/>
        <v>100</v>
      </c>
      <c r="T44" s="1572" t="s">
        <v>8</v>
      </c>
      <c r="U44" s="1573">
        <f t="shared" si="11"/>
        <v>100</v>
      </c>
      <c r="V44" s="1572" t="s">
        <v>8</v>
      </c>
      <c r="W44" s="1573">
        <f t="shared" si="12"/>
        <v>100</v>
      </c>
      <c r="X44" s="1566"/>
      <c r="Y44" s="3447"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47"/>
      <c r="Q45" s="1571">
        <f t="shared" si="14"/>
        <v>111</v>
      </c>
      <c r="R45" s="1572" t="s">
        <v>8</v>
      </c>
      <c r="S45" s="1573">
        <f t="shared" si="10"/>
        <v>100</v>
      </c>
      <c r="T45" s="1572" t="s">
        <v>8</v>
      </c>
      <c r="U45" s="1573">
        <f t="shared" si="11"/>
        <v>100</v>
      </c>
      <c r="V45" s="1572" t="s">
        <v>8</v>
      </c>
      <c r="W45" s="1573">
        <f t="shared" si="12"/>
        <v>100</v>
      </c>
      <c r="X45" s="1566"/>
      <c r="Y45" s="3447"/>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47"/>
      <c r="Q46" s="1571">
        <f t="shared" si="14"/>
        <v>111</v>
      </c>
      <c r="R46" s="1572" t="s">
        <v>8</v>
      </c>
      <c r="S46" s="1573">
        <f t="shared" si="10"/>
        <v>100</v>
      </c>
      <c r="T46" s="1572" t="s">
        <v>8</v>
      </c>
      <c r="U46" s="1573">
        <f t="shared" si="11"/>
        <v>100</v>
      </c>
      <c r="V46" s="1572" t="s">
        <v>8</v>
      </c>
      <c r="W46" s="1573">
        <f t="shared" si="12"/>
        <v>100</v>
      </c>
      <c r="X46" s="1566"/>
      <c r="Y46" s="3447"/>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47"/>
      <c r="Q47" s="1571">
        <f t="shared" si="14"/>
        <v>111</v>
      </c>
      <c r="R47" s="1576" t="s">
        <v>8</v>
      </c>
      <c r="S47" s="1577">
        <f t="shared" si="10"/>
        <v>100</v>
      </c>
      <c r="T47" s="1576" t="s">
        <v>8</v>
      </c>
      <c r="U47" s="1577">
        <f t="shared" si="11"/>
        <v>100</v>
      </c>
      <c r="V47" s="1576" t="s">
        <v>8</v>
      </c>
      <c r="W47" s="1577">
        <f t="shared" si="12"/>
        <v>100</v>
      </c>
      <c r="X47" s="1578"/>
      <c r="Y47" s="3447"/>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v>25750</v>
      </c>
      <c r="J48" s="613"/>
      <c r="K48" s="1339"/>
      <c r="L48" s="2144"/>
      <c r="M48" s="2132"/>
      <c r="N48" s="2132"/>
      <c r="O48" s="2145"/>
      <c r="P48" s="3410" t="str">
        <f>A48</f>
        <v>成交单价</v>
      </c>
      <c r="Q48" s="3410"/>
      <c r="R48" s="3411">
        <f>E48</f>
        <v>26901</v>
      </c>
      <c r="S48" s="3411"/>
      <c r="T48" s="3411">
        <f>G48</f>
        <v>24462</v>
      </c>
      <c r="U48" s="3411"/>
      <c r="V48" s="3411">
        <f>I48</f>
        <v>25750</v>
      </c>
      <c r="W48" s="3411"/>
      <c r="X48" s="1558"/>
      <c r="Y48" s="1580"/>
      <c r="Z48" s="1558"/>
      <c r="AA48" s="1558"/>
      <c r="AB48" s="1558"/>
      <c r="AC48" s="1558"/>
    </row>
    <row r="49" spans="1:29" ht="21" thickBot="1">
      <c r="A49" s="614" t="s">
        <v>2692</v>
      </c>
      <c r="B49" s="615"/>
      <c r="C49" s="616">
        <f>R50</f>
        <v>27791</v>
      </c>
      <c r="D49" s="617"/>
      <c r="E49" s="616">
        <f>R49</f>
        <v>28024</v>
      </c>
      <c r="F49" s="618"/>
      <c r="G49" s="619">
        <f>T49</f>
        <v>26800</v>
      </c>
      <c r="H49" s="617"/>
      <c r="I49" s="616">
        <f>V49</f>
        <v>28550</v>
      </c>
      <c r="J49" s="617"/>
      <c r="K49" s="1340"/>
      <c r="L49" s="2144"/>
      <c r="M49" s="2132"/>
      <c r="N49" s="2132"/>
      <c r="O49" s="2145"/>
      <c r="P49" s="3410" t="str">
        <f>A49</f>
        <v>比较价格（元/平方米）</v>
      </c>
      <c r="Q49" s="3410"/>
      <c r="R49" s="3412">
        <f>ROUND(PRODUCT(R48,AA9:AA47),0)</f>
        <v>28024</v>
      </c>
      <c r="S49" s="3412"/>
      <c r="T49" s="3412">
        <f>ROUND(PRODUCT(T48,AB9:AB47),0)</f>
        <v>26800</v>
      </c>
      <c r="U49" s="3412"/>
      <c r="V49" s="3412">
        <f>ROUND(PRODUCT(V48,AC9:AC47),0)</f>
        <v>28550</v>
      </c>
      <c r="W49" s="3412"/>
      <c r="X49" s="1558"/>
      <c r="Y49" s="1558"/>
      <c r="Z49" s="1558"/>
      <c r="AA49" s="1558"/>
      <c r="AB49" s="1558"/>
      <c r="AC49" s="1558"/>
    </row>
    <row r="50" spans="1:29" ht="21" thickBot="1">
      <c r="A50" s="620" t="s">
        <v>2929</v>
      </c>
      <c r="B50" s="621"/>
      <c r="C50" s="622">
        <f>R50</f>
        <v>27791</v>
      </c>
      <c r="D50" s="622"/>
      <c r="E50" s="622"/>
      <c r="F50" s="622"/>
      <c r="G50" s="622"/>
      <c r="H50" s="622"/>
      <c r="I50" s="622"/>
      <c r="J50" s="622"/>
      <c r="K50" s="1341"/>
      <c r="L50" s="2144"/>
      <c r="M50" s="2132"/>
      <c r="N50" s="2132"/>
      <c r="O50" s="2145"/>
      <c r="P50" s="3407" t="str">
        <f>A50</f>
        <v>估价对象XX用房的比较价格（楼面单价，元/平方米）</v>
      </c>
      <c r="Q50" s="3408"/>
      <c r="R50" s="3409">
        <f>ROUND(AVERAGE(R49:V49),0)</f>
        <v>27791</v>
      </c>
      <c r="S50" s="3409"/>
      <c r="T50" s="3409"/>
      <c r="U50" s="3409"/>
      <c r="V50" s="3409"/>
      <c r="W50" s="340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4.1745660012638908E-2</v>
      </c>
      <c r="F53" s="626" t="str">
        <f>IF(OR(E53&gt;=0.3,E53&lt;=-0.3),"超过30%","")</f>
        <v/>
      </c>
      <c r="G53" s="625">
        <f>IF(G48&lt;G49,G49/G48-1,G48/G49-1)</f>
        <v>9.5576813016106543E-2</v>
      </c>
      <c r="H53" s="626" t="str">
        <f>IF(OR(G53&gt;=0.3,G53&lt;=-0.3),"超过30%","")</f>
        <v/>
      </c>
      <c r="I53" s="625">
        <f>IF(I48&lt;I49,I49/I48-1,I48/I49-1)</f>
        <v>0.10873786407766994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4.567164179104477E-2</v>
      </c>
      <c r="F54" s="626" t="str">
        <f>IF(OR(E54&gt;=0.2,E54&lt;=-0.2),"超过20%","")</f>
        <v/>
      </c>
      <c r="G54" s="625">
        <f>IF(G49&lt;I49,I49/G49-1,G49/I49-1)</f>
        <v>6.5298507462686617E-2</v>
      </c>
      <c r="H54" s="626" t="str">
        <f>IF(OR(G54&gt;=0.2,G54&lt;=-0.2),"超过20%","")</f>
        <v/>
      </c>
      <c r="I54" s="625">
        <f>IF(I49&lt;E49,E49/I49-1,I49/E49-1)</f>
        <v>1.8769626034827347E-2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5.2653094595699557E-2</v>
      </c>
      <c r="H55" s="626" t="str">
        <f>IF(OR(G55&gt;=0.3,G55&lt;=-0.3),"超过30%","")</f>
        <v/>
      </c>
      <c r="I55" s="625">
        <f>IF(I48&lt;E48,E48/I48-1,I48/E48-1)</f>
        <v>4.4699029126213485E-2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3347</v>
      </c>
      <c r="D57" s="2227" t="s">
        <v>2293</v>
      </c>
      <c r="E57" s="630" t="s">
        <v>562</v>
      </c>
      <c r="F57" s="631" t="s">
        <v>563</v>
      </c>
      <c r="G57" s="3436" t="s">
        <v>2281</v>
      </c>
      <c r="H57" s="3437"/>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27791</v>
      </c>
      <c r="C58" s="634">
        <v>1</v>
      </c>
      <c r="D58" s="2228">
        <v>1</v>
      </c>
      <c r="E58" s="634">
        <f>'数据-汇总表'!E8+'数据-汇总表'!E9</f>
        <v>105745.01</v>
      </c>
      <c r="F58" s="635">
        <f t="shared" ref="F58:F67" si="15">ROUND(B58*E58/10000,0)</f>
        <v>293876</v>
      </c>
      <c r="G58" s="3438"/>
      <c r="H58" s="343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4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4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4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4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293876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3318</v>
      </c>
      <c r="D77" s="3197" t="s">
        <v>3319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3322</v>
      </c>
      <c r="D108" s="3198" t="s">
        <v>3321</v>
      </c>
      <c r="E108" s="3198" t="s">
        <v>3324</v>
      </c>
      <c r="F108" s="3198" t="s">
        <v>3326</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3328</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3372</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3329</v>
      </c>
      <c r="D125" s="1375" t="s">
        <v>3331</v>
      </c>
      <c r="E125" s="1375" t="s">
        <v>3332</v>
      </c>
      <c r="F125" s="1375" t="s">
        <v>3333</v>
      </c>
      <c r="G125" s="1375" t="s">
        <v>3334</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3336</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9" sqref="C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9</v>
      </c>
    </row>
    <row r="2" spans="1:31" s="2041" customFormat="1" ht="18" customHeight="1">
      <c r="A2" s="2101" t="s">
        <v>467</v>
      </c>
      <c r="B2" s="2105">
        <f ca="1">C36</f>
        <v>218874</v>
      </c>
      <c r="C2" s="2104"/>
      <c r="D2" s="2104"/>
      <c r="E2" s="2104"/>
      <c r="F2" s="2104"/>
      <c r="G2" s="2104"/>
      <c r="H2" s="2104"/>
      <c r="I2" s="2104"/>
      <c r="J2" s="2104"/>
      <c r="K2" s="2104"/>
    </row>
    <row r="3" spans="1:31" s="2041" customFormat="1" ht="18" customHeight="1">
      <c r="A3" s="2106" t="s">
        <v>1684</v>
      </c>
      <c r="B3" s="2107">
        <f ca="1">ROUND(B2*10000/IF(B1="",'数据-汇总表'!E3,INDIRECT("'数据-取费表'!K"&amp;$K$1)),0)</f>
        <v>18457</v>
      </c>
      <c r="C3" s="2104"/>
      <c r="D3" s="2104"/>
      <c r="E3" s="2104"/>
      <c r="F3" s="2104"/>
      <c r="G3" s="2104"/>
      <c r="H3" s="2104"/>
      <c r="I3" s="2104"/>
      <c r="J3" s="2104"/>
      <c r="K3" s="2104"/>
    </row>
    <row r="4" spans="1:31" s="2041" customFormat="1" ht="18" customHeight="1">
      <c r="A4" s="425" t="s">
        <v>468</v>
      </c>
      <c r="B4" s="426">
        <f ca="1">ROUND(B2*10000/IF(B1="",'数据-汇总表'!D3,INDIRECT("'数据-取费表'!R"&amp;$K$1)),0)</f>
        <v>58367</v>
      </c>
      <c r="C4" s="427"/>
      <c r="D4" s="421"/>
      <c r="E4" s="421"/>
      <c r="F4" s="421"/>
      <c r="G4" s="421"/>
      <c r="H4" s="421"/>
      <c r="I4" s="421"/>
      <c r="J4" s="421"/>
      <c r="K4" s="421"/>
    </row>
    <row r="5" spans="1:31" s="2041" customFormat="1" ht="18" customHeight="1" thickBot="1">
      <c r="A5" s="428"/>
      <c r="B5" s="429">
        <f ca="1">ROUND(B2/(IF(B1="",'数据-汇总表'!D3,INDIRECT("'数据-取费表'!R"&amp;$K$1))/666.67),0)</f>
        <v>3891</v>
      </c>
      <c r="C5" s="430" t="s">
        <v>469</v>
      </c>
      <c r="D5" s="421"/>
      <c r="E5" s="421"/>
      <c r="F5" s="421"/>
      <c r="G5" s="421"/>
      <c r="H5" s="421"/>
      <c r="I5" s="421"/>
      <c r="J5" s="421"/>
      <c r="K5" s="421"/>
    </row>
    <row r="6" spans="1:31" s="2111" customFormat="1" ht="16.5" customHeight="1">
      <c r="A6" s="2852" t="s">
        <v>1842</v>
      </c>
      <c r="B6" s="2853"/>
      <c r="C6" s="2854">
        <f ca="1">SUM(C10:K10)</f>
        <v>353956</v>
      </c>
      <c r="D6" s="2853"/>
      <c r="E6" s="2853"/>
      <c r="F6" s="2853"/>
      <c r="G6" s="2853"/>
      <c r="H6" s="2853"/>
      <c r="I6" s="2853"/>
      <c r="J6" s="2853"/>
      <c r="K6" s="2855"/>
    </row>
    <row r="7" spans="1:31" s="2113" customFormat="1" ht="15">
      <c r="A7" s="2856" t="s">
        <v>470</v>
      </c>
      <c r="B7" s="2857" t="s">
        <v>471</v>
      </c>
      <c r="C7" s="435" t="s">
        <v>923</v>
      </c>
      <c r="D7" s="435" t="s">
        <v>3383</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32378</v>
      </c>
      <c r="D8" s="2858">
        <f>'不动产比较法-别墅'!C49</f>
        <v>36078</v>
      </c>
      <c r="E8" s="2858">
        <f ca="1">不动产收益法!C43</f>
        <v>5156</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284022</v>
      </c>
      <c r="D10" s="3050">
        <f>ROUND(D8*D9/10000,0)</f>
        <v>65029</v>
      </c>
      <c r="E10" s="3050">
        <f ca="1">ROUND(E8*E9/10000,0)</f>
        <v>4905</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34406</v>
      </c>
      <c r="D13" s="2868"/>
      <c r="E13" s="2869"/>
      <c r="F13" s="2870"/>
      <c r="G13" s="2836"/>
      <c r="H13" s="2837"/>
      <c r="I13" s="2837"/>
      <c r="J13" s="2837"/>
      <c r="K13" s="2838"/>
    </row>
    <row r="14" spans="1:31" s="2116" customFormat="1" ht="13.5" customHeight="1">
      <c r="A14" s="2866" t="s">
        <v>1849</v>
      </c>
      <c r="B14" s="2867" t="s">
        <v>480</v>
      </c>
      <c r="C14" s="52">
        <f ca="1">ROUND(C13*F14,0)</f>
        <v>1032</v>
      </c>
      <c r="D14" s="2868"/>
      <c r="E14" s="2869"/>
      <c r="F14" s="2871">
        <f>'数据-取费表'!B33</f>
        <v>0.03</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652</v>
      </c>
      <c r="D15" s="2868"/>
      <c r="E15" s="2869"/>
      <c r="F15" s="2871">
        <f>'数据-取费表'!B34</f>
        <v>0.02</v>
      </c>
      <c r="G15" s="2836" t="s">
        <v>483</v>
      </c>
      <c r="H15" s="2837"/>
      <c r="I15" s="2837"/>
      <c r="J15" s="2837"/>
      <c r="K15" s="2838"/>
    </row>
    <row r="16" spans="1:31" s="2117" customFormat="1" ht="13.5" customHeight="1">
      <c r="A16" s="2866" t="s">
        <v>1851</v>
      </c>
      <c r="B16" s="2867" t="s">
        <v>484</v>
      </c>
      <c r="C16" s="52">
        <f ca="1">ROUND(D16*E16/10000,0)</f>
        <v>1779</v>
      </c>
      <c r="D16" s="2868">
        <f ca="1">IF(B1="",'数据-汇总表'!E3,INDIRECT("'数据-取费表'!K"&amp;$K$1)+INDIRECT("'数据-取费表'!S"&amp;$K$1))</f>
        <v>118587.47999999997</v>
      </c>
      <c r="E16" s="52">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516</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38385</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118587.47999999997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1245</v>
      </c>
      <c r="D20" s="2878"/>
      <c r="E20" s="2832"/>
      <c r="F20" s="2879"/>
      <c r="G20" s="3108"/>
      <c r="H20" s="2834"/>
      <c r="I20" s="2835" t="s">
        <v>2650</v>
      </c>
      <c r="J20" s="2841"/>
      <c r="K20" s="2842"/>
    </row>
    <row r="21" spans="1:14" s="2116" customFormat="1" ht="13.5" customHeight="1">
      <c r="A21" s="2866" t="s">
        <v>1856</v>
      </c>
      <c r="B21" s="2867" t="s">
        <v>491</v>
      </c>
      <c r="C21" s="52">
        <f ca="1">ROUND(D21*E21/10000,0)</f>
        <v>1110</v>
      </c>
      <c r="D21" s="2868">
        <f ca="1">IF(B1="",'数据-汇总表'!E5,IF(INDIRECT("'数据-取费表'!c"&amp;$K$1)="住宅",INDIRECT("'数据-取费表'!k"&amp;$K$1),0))</f>
        <v>105745.01</v>
      </c>
      <c r="E21" s="52">
        <f>'数据-取费表'!B27</f>
        <v>105</v>
      </c>
      <c r="F21" s="2871"/>
      <c r="G21" s="25"/>
      <c r="H21" s="50"/>
      <c r="I21" s="50"/>
      <c r="J21" s="50"/>
      <c r="K21" s="2843"/>
    </row>
    <row r="22" spans="1:14" s="2116" customFormat="1" ht="13.5" customHeight="1">
      <c r="A22" s="2866" t="s">
        <v>1857</v>
      </c>
      <c r="B22" s="2867" t="s">
        <v>492</v>
      </c>
      <c r="C22" s="52">
        <f ca="1">ROUND(D22*E22/10000,0)</f>
        <v>135</v>
      </c>
      <c r="D22" s="2868">
        <f ca="1">IF(B1="",'数据-汇总表'!E6,IF(INDIRECT("'数据-取费表'!c"&amp;$K$1)="住宅",INDIRECT("'数据-取费表'!s"&amp;$K$1),INDIRECT("'数据-取费表'!k"&amp;$K$1)+INDIRECT("'数据-取费表'!s"&amp;$K$1)))</f>
        <v>12842.469999999972</v>
      </c>
      <c r="E22" s="52">
        <f>'数据-取费表'!B28</f>
        <v>105</v>
      </c>
      <c r="F22" s="2871"/>
      <c r="G22" s="25"/>
      <c r="H22" s="50"/>
      <c r="I22" s="50"/>
      <c r="J22" s="50"/>
      <c r="K22" s="2843"/>
    </row>
    <row r="23" spans="1:14" s="2116" customFormat="1" ht="13.5" customHeight="1">
      <c r="A23" s="2874" t="s">
        <v>1858</v>
      </c>
      <c r="B23" s="3056" t="s">
        <v>2833</v>
      </c>
      <c r="C23" s="2876">
        <f ca="1">ROUND((C18+C19+C20)*F23,0)</f>
        <v>793</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7079</v>
      </c>
      <c r="D24" s="474"/>
      <c r="E24" s="472"/>
      <c r="F24" s="2880">
        <f>'数据-取费表'!B38</f>
        <v>0.02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2256</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2256</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18878</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68636</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68636</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6650</v>
      </c>
      <c r="D33" s="466">
        <f ca="1">C34</f>
        <v>0.14410000000000001</v>
      </c>
      <c r="E33" s="468" t="s">
        <v>495</v>
      </c>
      <c r="F33" s="478">
        <f ca="1">IF(B1="",'数据-取费表'!Q16,INDIRECT("'数据-取费表'!q"&amp;$K$1))</f>
        <v>0.14000000000000001</v>
      </c>
      <c r="G33" s="2840"/>
      <c r="H33" s="2841"/>
      <c r="I33" s="2841"/>
      <c r="J33" s="2841"/>
      <c r="K33" s="2842"/>
    </row>
    <row r="34" spans="1:11" s="2123" customFormat="1" ht="13.5" customHeight="1">
      <c r="A34" s="374" t="s">
        <v>1856</v>
      </c>
      <c r="B34" s="2887" t="s">
        <v>501</v>
      </c>
      <c r="C34" s="471">
        <f ca="1">ROUND((1+C25)*F33,4)</f>
        <v>0.14410000000000001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6650</v>
      </c>
      <c r="D35" s="1628"/>
      <c r="E35" s="2888"/>
      <c r="F35" s="1629"/>
      <c r="G35" s="2846"/>
      <c r="H35" s="2847"/>
      <c r="I35" s="2847"/>
      <c r="J35" s="2847"/>
      <c r="K35" s="2848"/>
    </row>
    <row r="36" spans="1:11" s="2085" customFormat="1" ht="13.5" customHeight="1" thickBot="1">
      <c r="A36" s="283" t="s">
        <v>1844</v>
      </c>
      <c r="B36" s="2850"/>
      <c r="C36" s="2889">
        <f ca="1">ROUND((C6-C30-C33)/(1+D30+D33),0)</f>
        <v>218874</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34406</v>
      </c>
      <c r="D13" s="450"/>
      <c r="E13" s="364"/>
      <c r="F13" s="451"/>
      <c r="G13" s="443"/>
      <c r="H13" s="446"/>
      <c r="I13" s="446"/>
      <c r="J13" s="446"/>
      <c r="K13" s="447"/>
    </row>
    <row r="14" spans="1:41" s="2116" customFormat="1" ht="13.5" customHeight="1">
      <c r="A14" s="1632" t="s">
        <v>1849</v>
      </c>
      <c r="B14" s="448" t="s">
        <v>480</v>
      </c>
      <c r="C14" s="52">
        <f ca="1">ROUND(C13*F14,0)</f>
        <v>1032</v>
      </c>
      <c r="D14" s="450"/>
      <c r="E14" s="364"/>
      <c r="F14" s="452">
        <f>'数据-取费表'!B33</f>
        <v>0.03</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652</v>
      </c>
      <c r="D15" s="450"/>
      <c r="E15" s="364"/>
      <c r="F15" s="452">
        <f>'数据-取费表'!B34</f>
        <v>0.02</v>
      </c>
      <c r="G15" s="443" t="s">
        <v>502</v>
      </c>
      <c r="H15" s="446"/>
      <c r="I15" s="446"/>
      <c r="J15" s="446"/>
      <c r="K15" s="447"/>
    </row>
    <row r="16" spans="1:41" s="2117" customFormat="1" ht="13.5" customHeight="1">
      <c r="A16" s="1632" t="s">
        <v>1851</v>
      </c>
      <c r="B16" s="448" t="s">
        <v>484</v>
      </c>
      <c r="C16" s="52">
        <f ca="1">ROUND(D16*E16/10000,0)</f>
        <v>1779</v>
      </c>
      <c r="D16" s="450">
        <f ca="1">IF(B1="",'数据-汇总表'!E3,INDIRECT("'数据-取费表'!K"&amp;$K$1)+INDIRECT("'数据-取费表'!S"&amp;$K$1))</f>
        <v>118587.47999999997</v>
      </c>
      <c r="E16" s="52">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516</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38385</v>
      </c>
      <c r="D18" s="460"/>
      <c r="E18" s="461"/>
      <c r="F18" s="461"/>
      <c r="G18" s="1326" t="s">
        <v>2432</v>
      </c>
      <c r="H18" s="446"/>
      <c r="I18" s="446"/>
      <c r="J18" s="446"/>
      <c r="K18" s="447"/>
    </row>
    <row r="19" spans="1:14" s="2119" customFormat="1" ht="13.5" customHeight="1">
      <c r="A19" s="1633" t="s">
        <v>1854</v>
      </c>
      <c r="B19" s="458" t="s">
        <v>493</v>
      </c>
      <c r="C19" s="459">
        <f ca="1">ROUND(C18*F19,0)</f>
        <v>768</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1860</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1860</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5481</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2436</v>
      </c>
      <c r="C25" s="489">
        <f ca="1">ROUND((C18+C19)*F24,0)</f>
        <v>5481</v>
      </c>
      <c r="D25" s="471"/>
      <c r="E25" s="472"/>
      <c r="F25" s="479"/>
      <c r="G25" s="1325" t="s">
        <v>2433</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50378</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16" t="s">
        <v>522</v>
      </c>
      <c r="D6" s="3417"/>
      <c r="E6" s="3450" t="s">
        <v>523</v>
      </c>
      <c r="F6" s="3451"/>
      <c r="G6" s="3416" t="s">
        <v>524</v>
      </c>
      <c r="H6" s="3417"/>
      <c r="I6" s="3416" t="s">
        <v>525</v>
      </c>
      <c r="J6" s="3417"/>
      <c r="K6" s="513" t="s">
        <v>526</v>
      </c>
      <c r="L6" s="2133"/>
      <c r="M6" s="2134"/>
      <c r="N6" s="2134"/>
      <c r="O6" s="2134"/>
      <c r="P6" s="3418" t="s">
        <v>527</v>
      </c>
      <c r="Q6" s="3419"/>
      <c r="R6" s="3424" t="s">
        <v>523</v>
      </c>
      <c r="S6" s="3425"/>
      <c r="T6" s="3424" t="s">
        <v>524</v>
      </c>
      <c r="U6" s="3425"/>
      <c r="V6" s="3411" t="s">
        <v>525</v>
      </c>
      <c r="W6" s="3411"/>
      <c r="X6" s="1566"/>
      <c r="Y6" s="3424" t="s">
        <v>527</v>
      </c>
      <c r="Z6" s="3425"/>
      <c r="AA6" s="3413" t="s">
        <v>523</v>
      </c>
      <c r="AB6" s="3414" t="s">
        <v>524</v>
      </c>
      <c r="AC6" s="3413" t="s">
        <v>525</v>
      </c>
    </row>
    <row r="7" spans="1:29" ht="15">
      <c r="A7" s="514"/>
      <c r="B7" s="515"/>
      <c r="C7" s="3432" t="s">
        <v>2923</v>
      </c>
      <c r="D7" s="3433"/>
      <c r="E7" s="3452" t="s">
        <v>2924</v>
      </c>
      <c r="F7" s="3453"/>
      <c r="G7" s="3432" t="s">
        <v>2925</v>
      </c>
      <c r="H7" s="3433"/>
      <c r="I7" s="3432" t="s">
        <v>2926</v>
      </c>
      <c r="J7" s="3433"/>
      <c r="K7" s="513"/>
      <c r="L7" s="2133"/>
      <c r="M7" s="2134"/>
      <c r="N7" s="2134"/>
      <c r="O7" s="2134"/>
      <c r="P7" s="3420"/>
      <c r="Q7" s="3421"/>
      <c r="R7" s="3426"/>
      <c r="S7" s="3427"/>
      <c r="T7" s="3426"/>
      <c r="U7" s="3427"/>
      <c r="V7" s="3411"/>
      <c r="W7" s="3411"/>
      <c r="X7" s="1566"/>
      <c r="Y7" s="3426"/>
      <c r="Z7" s="3427"/>
      <c r="AA7" s="3414"/>
      <c r="AB7" s="3414"/>
      <c r="AC7" s="3414"/>
    </row>
    <row r="8" spans="1:29" ht="15.75" thickBot="1">
      <c r="A8" s="516"/>
      <c r="B8" s="517"/>
      <c r="C8" s="3430" t="s">
        <v>2927</v>
      </c>
      <c r="D8" s="3431"/>
      <c r="E8" s="3448" t="s">
        <v>2927</v>
      </c>
      <c r="F8" s="3449"/>
      <c r="G8" s="3430" t="s">
        <v>2927</v>
      </c>
      <c r="H8" s="3431"/>
      <c r="I8" s="3430" t="s">
        <v>2927</v>
      </c>
      <c r="J8" s="3431"/>
      <c r="K8" s="513" t="s">
        <v>528</v>
      </c>
      <c r="L8" s="2133"/>
      <c r="M8" s="2134"/>
      <c r="N8" s="2134"/>
      <c r="O8" s="2134"/>
      <c r="P8" s="3422"/>
      <c r="Q8" s="3423"/>
      <c r="R8" s="3426"/>
      <c r="S8" s="3427"/>
      <c r="T8" s="3428"/>
      <c r="U8" s="3429"/>
      <c r="V8" s="3411"/>
      <c r="W8" s="3411"/>
      <c r="X8" s="1566"/>
      <c r="Y8" s="3428"/>
      <c r="Z8" s="3429"/>
      <c r="AA8" s="3415"/>
      <c r="AB8" s="3415"/>
      <c r="AC8" s="3415"/>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41" t="s">
        <v>530</v>
      </c>
      <c r="Q9" s="3443"/>
      <c r="R9" s="1567" t="s">
        <v>8</v>
      </c>
      <c r="S9" s="1568">
        <f t="shared" ref="S9:S17" si="0">F9</f>
        <v>0</v>
      </c>
      <c r="T9" s="1567" t="s">
        <v>8</v>
      </c>
      <c r="U9" s="1568">
        <f t="shared" ref="U9:U17" si="1">H9</f>
        <v>0</v>
      </c>
      <c r="V9" s="1567" t="s">
        <v>8</v>
      </c>
      <c r="W9" s="1568">
        <f t="shared" ref="W9:W17" si="2">J9</f>
        <v>0</v>
      </c>
      <c r="X9" s="1569"/>
      <c r="Y9" s="3441" t="s">
        <v>530</v>
      </c>
      <c r="Z9" s="3442"/>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41" t="s">
        <v>533</v>
      </c>
      <c r="Q10" s="3442"/>
      <c r="R10" s="1567" t="s">
        <v>8</v>
      </c>
      <c r="S10" s="1568">
        <f t="shared" si="0"/>
        <v>0</v>
      </c>
      <c r="T10" s="1567" t="s">
        <v>8</v>
      </c>
      <c r="U10" s="1568">
        <f t="shared" si="1"/>
        <v>0</v>
      </c>
      <c r="V10" s="1567" t="s">
        <v>8</v>
      </c>
      <c r="W10" s="1568">
        <f t="shared" si="2"/>
        <v>0</v>
      </c>
      <c r="X10" s="1569"/>
      <c r="Y10" s="3441" t="s">
        <v>533</v>
      </c>
      <c r="Z10" s="3442"/>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10" t="s">
        <v>535</v>
      </c>
      <c r="Q11" s="1150" t="str">
        <f t="shared" ref="Q11:Q17" si="6">B11</f>
        <v>用途</v>
      </c>
      <c r="R11" s="1567" t="s">
        <v>8</v>
      </c>
      <c r="S11" s="1568">
        <f t="shared" si="0"/>
        <v>100</v>
      </c>
      <c r="T11" s="1567" t="s">
        <v>8</v>
      </c>
      <c r="U11" s="1568">
        <f t="shared" si="1"/>
        <v>100</v>
      </c>
      <c r="V11" s="1567" t="s">
        <v>8</v>
      </c>
      <c r="W11" s="1568">
        <f t="shared" si="2"/>
        <v>100</v>
      </c>
      <c r="X11" s="1569"/>
      <c r="Y11" s="3356"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10"/>
      <c r="Q12" s="1150" t="str">
        <f t="shared" si="6"/>
        <v>土地使用年限（年）</v>
      </c>
      <c r="R12" s="1567" t="s">
        <v>8</v>
      </c>
      <c r="S12" s="1568">
        <f t="shared" si="0"/>
        <v>100</v>
      </c>
      <c r="T12" s="1567" t="s">
        <v>8</v>
      </c>
      <c r="U12" s="1568">
        <f t="shared" si="1"/>
        <v>100</v>
      </c>
      <c r="V12" s="1567" t="s">
        <v>8</v>
      </c>
      <c r="W12" s="1568">
        <f t="shared" si="2"/>
        <v>100</v>
      </c>
      <c r="X12" s="1569"/>
      <c r="Y12" s="3356"/>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10"/>
      <c r="Q13" s="1150" t="str">
        <f t="shared" si="6"/>
        <v>容积率</v>
      </c>
      <c r="R13" s="1567" t="s">
        <v>8</v>
      </c>
      <c r="S13" s="1568" t="e">
        <f t="shared" si="0"/>
        <v>#N/A</v>
      </c>
      <c r="T13" s="1567" t="s">
        <v>8</v>
      </c>
      <c r="U13" s="1568" t="e">
        <f t="shared" si="1"/>
        <v>#N/A</v>
      </c>
      <c r="V13" s="1567" t="s">
        <v>8</v>
      </c>
      <c r="W13" s="1568" t="e">
        <f t="shared" si="2"/>
        <v>#N/A</v>
      </c>
      <c r="X13" s="1569"/>
      <c r="Y13" s="3356"/>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10"/>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10"/>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44" t="s">
        <v>540</v>
      </c>
      <c r="Q17" s="1571" t="str">
        <f t="shared" si="6"/>
        <v>产业集聚程度</v>
      </c>
      <c r="R17" s="1572" t="s">
        <v>8</v>
      </c>
      <c r="S17" s="1573">
        <f t="shared" si="0"/>
        <v>100</v>
      </c>
      <c r="T17" s="1572" t="s">
        <v>8</v>
      </c>
      <c r="U17" s="1573">
        <f t="shared" si="1"/>
        <v>100</v>
      </c>
      <c r="V17" s="1572" t="s">
        <v>8</v>
      </c>
      <c r="W17" s="1573">
        <f t="shared" si="2"/>
        <v>100</v>
      </c>
      <c r="X17" s="1566"/>
      <c r="Y17" s="3444"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45"/>
      <c r="Q18" s="1571"/>
      <c r="R18" s="1572"/>
      <c r="S18" s="1573"/>
      <c r="T18" s="1572"/>
      <c r="U18" s="1573"/>
      <c r="V18" s="1572"/>
      <c r="W18" s="1573"/>
      <c r="X18" s="1566"/>
      <c r="Y18" s="3445"/>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45"/>
      <c r="Q19" s="1571" t="str">
        <f>B19</f>
        <v>交通便捷度</v>
      </c>
      <c r="R19" s="1572" t="s">
        <v>8</v>
      </c>
      <c r="S19" s="1573">
        <f>F19</f>
        <v>100</v>
      </c>
      <c r="T19" s="1572" t="s">
        <v>8</v>
      </c>
      <c r="U19" s="1573">
        <f>H19</f>
        <v>100</v>
      </c>
      <c r="V19" s="1572" t="s">
        <v>8</v>
      </c>
      <c r="W19" s="1573">
        <f>J19</f>
        <v>100</v>
      </c>
      <c r="X19" s="1566"/>
      <c r="Y19" s="3445"/>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45"/>
      <c r="Q20" s="1571"/>
      <c r="R20" s="1572"/>
      <c r="S20" s="1573"/>
      <c r="T20" s="1572"/>
      <c r="U20" s="1573"/>
      <c r="V20" s="1572"/>
      <c r="W20" s="1573"/>
      <c r="X20" s="1566"/>
      <c r="Y20" s="3445"/>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45"/>
      <c r="Q21" s="1571" t="str">
        <f t="shared" ref="Q21:Q35" si="8">B21</f>
        <v>区域土地利用方向</v>
      </c>
      <c r="R21" s="1572" t="s">
        <v>8</v>
      </c>
      <c r="S21" s="1573">
        <f>F21</f>
        <v>100</v>
      </c>
      <c r="T21" s="1572" t="s">
        <v>8</v>
      </c>
      <c r="U21" s="1573">
        <f>H21</f>
        <v>100</v>
      </c>
      <c r="V21" s="1572" t="s">
        <v>8</v>
      </c>
      <c r="W21" s="1573">
        <f>J21</f>
        <v>100</v>
      </c>
      <c r="X21" s="1566"/>
      <c r="Y21" s="3445"/>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45"/>
      <c r="Q22" s="1571"/>
      <c r="R22" s="1572"/>
      <c r="S22" s="1573"/>
      <c r="T22" s="1572"/>
      <c r="U22" s="1573"/>
      <c r="V22" s="1572"/>
      <c r="W22" s="1573"/>
      <c r="X22" s="1566"/>
      <c r="Y22" s="3445"/>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45"/>
      <c r="Q23" s="1571" t="str">
        <f t="shared" si="8"/>
        <v>环境状况</v>
      </c>
      <c r="R23" s="1572" t="s">
        <v>8</v>
      </c>
      <c r="S23" s="1573">
        <f>F23</f>
        <v>100</v>
      </c>
      <c r="T23" s="1572" t="s">
        <v>8</v>
      </c>
      <c r="U23" s="1573">
        <f>H23</f>
        <v>100</v>
      </c>
      <c r="V23" s="1572" t="s">
        <v>8</v>
      </c>
      <c r="W23" s="1573">
        <f>J23</f>
        <v>100</v>
      </c>
      <c r="X23" s="1566"/>
      <c r="Y23" s="3445"/>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45"/>
      <c r="Q24" s="1571"/>
      <c r="R24" s="1572"/>
      <c r="S24" s="1573"/>
      <c r="T24" s="1572"/>
      <c r="U24" s="1573"/>
      <c r="V24" s="1572"/>
      <c r="W24" s="1573"/>
      <c r="X24" s="1566"/>
      <c r="Y24" s="3445"/>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45"/>
      <c r="Q25" s="1150" t="str">
        <f t="shared" si="8"/>
        <v>公共配套设施</v>
      </c>
      <c r="R25" s="1567" t="s">
        <v>8</v>
      </c>
      <c r="S25" s="1568">
        <f>F25</f>
        <v>100</v>
      </c>
      <c r="T25" s="1567" t="s">
        <v>8</v>
      </c>
      <c r="U25" s="1568">
        <f>H25</f>
        <v>100</v>
      </c>
      <c r="V25" s="1567" t="s">
        <v>8</v>
      </c>
      <c r="W25" s="1568">
        <f>J25</f>
        <v>100</v>
      </c>
      <c r="X25" s="1569"/>
      <c r="Y25" s="3445"/>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45"/>
      <c r="Q26" s="1150"/>
      <c r="R26" s="1567"/>
      <c r="S26" s="1568"/>
      <c r="T26" s="1567"/>
      <c r="U26" s="1568"/>
      <c r="V26" s="1567"/>
      <c r="W26" s="1568"/>
      <c r="X26" s="1569"/>
      <c r="Y26" s="3445"/>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45"/>
      <c r="Q27" s="2602" t="str">
        <f t="shared" ref="Q27" si="9">B27</f>
        <v>基础设施水平</v>
      </c>
      <c r="R27" s="1567" t="s">
        <v>8</v>
      </c>
      <c r="S27" s="1568">
        <f>F27</f>
        <v>100</v>
      </c>
      <c r="T27" s="1567" t="s">
        <v>8</v>
      </c>
      <c r="U27" s="1568">
        <f>H27</f>
        <v>100</v>
      </c>
      <c r="V27" s="1567" t="s">
        <v>8</v>
      </c>
      <c r="W27" s="1568">
        <f>J27</f>
        <v>100</v>
      </c>
      <c r="X27" s="1569"/>
      <c r="Y27" s="3445"/>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45"/>
      <c r="Q28" s="2602"/>
      <c r="R28" s="1567"/>
      <c r="S28" s="1568"/>
      <c r="T28" s="1567"/>
      <c r="U28" s="1568"/>
      <c r="V28" s="1567"/>
      <c r="W28" s="1568"/>
      <c r="X28" s="1569"/>
      <c r="Y28" s="3445"/>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4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5"/>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45"/>
      <c r="Q30" s="1571" t="str">
        <f t="shared" si="8"/>
        <v>毗邻道路的类型与等级</v>
      </c>
      <c r="R30" s="1572" t="s">
        <v>8</v>
      </c>
      <c r="S30" s="1573">
        <f t="shared" si="10"/>
        <v>100</v>
      </c>
      <c r="T30" s="1572" t="s">
        <v>8</v>
      </c>
      <c r="U30" s="1573">
        <f t="shared" si="11"/>
        <v>100</v>
      </c>
      <c r="V30" s="1572" t="s">
        <v>8</v>
      </c>
      <c r="W30" s="1573">
        <f t="shared" si="12"/>
        <v>100</v>
      </c>
      <c r="X30" s="1566"/>
      <c r="Y30" s="3445"/>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45"/>
      <c r="Q31" s="1571"/>
      <c r="R31" s="1572"/>
      <c r="S31" s="1573"/>
      <c r="T31" s="1572"/>
      <c r="U31" s="1573"/>
      <c r="V31" s="1572"/>
      <c r="W31" s="1573"/>
      <c r="X31" s="1566"/>
      <c r="Y31" s="3445"/>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45"/>
      <c r="Q32" s="1571" t="str">
        <f t="shared" si="8"/>
        <v>土地级别</v>
      </c>
      <c r="R32" s="1572" t="s">
        <v>8</v>
      </c>
      <c r="S32" s="1573">
        <f t="shared" si="10"/>
        <v>100</v>
      </c>
      <c r="T32" s="1572" t="s">
        <v>8</v>
      </c>
      <c r="U32" s="1573">
        <f t="shared" si="11"/>
        <v>100</v>
      </c>
      <c r="V32" s="1572" t="s">
        <v>8</v>
      </c>
      <c r="W32" s="1573">
        <f t="shared" si="12"/>
        <v>100</v>
      </c>
      <c r="X32" s="1566"/>
      <c r="Y32" s="3445"/>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45"/>
      <c r="Q33" s="1571">
        <f t="shared" si="8"/>
        <v>111</v>
      </c>
      <c r="R33" s="1572" t="s">
        <v>8</v>
      </c>
      <c r="S33" s="1573">
        <f t="shared" si="10"/>
        <v>100</v>
      </c>
      <c r="T33" s="1572" t="s">
        <v>8</v>
      </c>
      <c r="U33" s="1573">
        <f t="shared" si="11"/>
        <v>100</v>
      </c>
      <c r="V33" s="1572" t="s">
        <v>8</v>
      </c>
      <c r="W33" s="1573">
        <f t="shared" si="12"/>
        <v>100</v>
      </c>
      <c r="X33" s="1566"/>
      <c r="Y33" s="3445"/>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46" t="s">
        <v>550</v>
      </c>
      <c r="Q34" s="1571">
        <f t="shared" si="8"/>
        <v>111</v>
      </c>
      <c r="R34" s="1572" t="s">
        <v>8</v>
      </c>
      <c r="S34" s="1573">
        <f t="shared" si="10"/>
        <v>100</v>
      </c>
      <c r="T34" s="1572" t="s">
        <v>8</v>
      </c>
      <c r="U34" s="1573">
        <f t="shared" si="11"/>
        <v>100</v>
      </c>
      <c r="V34" s="1572" t="s">
        <v>8</v>
      </c>
      <c r="W34" s="1573">
        <f t="shared" si="12"/>
        <v>100</v>
      </c>
      <c r="X34" s="1566"/>
      <c r="Y34" s="3447"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47"/>
      <c r="Q35" s="1571">
        <f t="shared" si="8"/>
        <v>111</v>
      </c>
      <c r="R35" s="1576" t="s">
        <v>8</v>
      </c>
      <c r="S35" s="1577">
        <f t="shared" si="10"/>
        <v>100</v>
      </c>
      <c r="T35" s="1576" t="s">
        <v>8</v>
      </c>
      <c r="U35" s="1577">
        <f t="shared" si="11"/>
        <v>100</v>
      </c>
      <c r="V35" s="1576" t="s">
        <v>8</v>
      </c>
      <c r="W35" s="1577">
        <f t="shared" si="12"/>
        <v>100</v>
      </c>
      <c r="X35" s="1578"/>
      <c r="Y35" s="3447"/>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47"/>
      <c r="Q36" s="1571" t="str">
        <f>B36</f>
        <v>宗地面积</v>
      </c>
      <c r="R36" s="1572" t="s">
        <v>8</v>
      </c>
      <c r="S36" s="1573" t="e">
        <f t="shared" si="10"/>
        <v>#N/A</v>
      </c>
      <c r="T36" s="1572" t="s">
        <v>8</v>
      </c>
      <c r="U36" s="1573" t="e">
        <f t="shared" si="11"/>
        <v>#N/A</v>
      </c>
      <c r="V36" s="1572" t="s">
        <v>8</v>
      </c>
      <c r="W36" s="1573" t="e">
        <f t="shared" si="12"/>
        <v>#N/A</v>
      </c>
      <c r="X36" s="1566"/>
      <c r="Y36" s="3447"/>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47"/>
      <c r="Q37" s="1571" t="str">
        <f t="shared" ref="Q37:Q42" si="14">B37</f>
        <v>宗地形状</v>
      </c>
      <c r="R37" s="1572" t="s">
        <v>8</v>
      </c>
      <c r="S37" s="1573">
        <f t="shared" si="10"/>
        <v>100</v>
      </c>
      <c r="T37" s="1572" t="s">
        <v>8</v>
      </c>
      <c r="U37" s="1573">
        <f t="shared" si="11"/>
        <v>100</v>
      </c>
      <c r="V37" s="1572" t="s">
        <v>8</v>
      </c>
      <c r="W37" s="1573">
        <f t="shared" si="12"/>
        <v>100</v>
      </c>
      <c r="X37" s="1566"/>
      <c r="Y37" s="3447"/>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47"/>
      <c r="Q38" s="1571" t="str">
        <f t="shared" si="14"/>
        <v>宗地开发程度</v>
      </c>
      <c r="R38" s="1567" t="s">
        <v>8</v>
      </c>
      <c r="S38" s="1568">
        <f t="shared" si="10"/>
        <v>100</v>
      </c>
      <c r="T38" s="1567" t="s">
        <v>8</v>
      </c>
      <c r="U38" s="1568">
        <f t="shared" si="11"/>
        <v>100</v>
      </c>
      <c r="V38" s="1567" t="s">
        <v>8</v>
      </c>
      <c r="W38" s="1568">
        <f t="shared" si="12"/>
        <v>100</v>
      </c>
      <c r="X38" s="1569"/>
      <c r="Y38" s="3447"/>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7" t="s">
        <v>601</v>
      </c>
      <c r="Q39" s="1571" t="str">
        <f t="shared" si="14"/>
        <v>工程地质条件</v>
      </c>
      <c r="R39" s="1572" t="s">
        <v>8</v>
      </c>
      <c r="S39" s="1573">
        <f t="shared" si="10"/>
        <v>100</v>
      </c>
      <c r="T39" s="1572" t="s">
        <v>8</v>
      </c>
      <c r="U39" s="1573">
        <f t="shared" si="11"/>
        <v>100</v>
      </c>
      <c r="V39" s="1572" t="s">
        <v>8</v>
      </c>
      <c r="W39" s="1573">
        <f t="shared" si="12"/>
        <v>100</v>
      </c>
      <c r="X39" s="1566"/>
      <c r="Y39" s="3447"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47"/>
      <c r="Q40" s="1571">
        <f t="shared" si="14"/>
        <v>111</v>
      </c>
      <c r="R40" s="1572" t="s">
        <v>8</v>
      </c>
      <c r="S40" s="1573">
        <f t="shared" si="10"/>
        <v>100</v>
      </c>
      <c r="T40" s="1572" t="s">
        <v>8</v>
      </c>
      <c r="U40" s="1573">
        <f t="shared" si="11"/>
        <v>100</v>
      </c>
      <c r="V40" s="1572" t="s">
        <v>8</v>
      </c>
      <c r="W40" s="1573">
        <f t="shared" si="12"/>
        <v>100</v>
      </c>
      <c r="X40" s="1566"/>
      <c r="Y40" s="3447"/>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47"/>
      <c r="Q41" s="1571">
        <f t="shared" si="14"/>
        <v>111</v>
      </c>
      <c r="R41" s="1572" t="s">
        <v>8</v>
      </c>
      <c r="S41" s="1573">
        <f t="shared" si="10"/>
        <v>100</v>
      </c>
      <c r="T41" s="1572" t="s">
        <v>8</v>
      </c>
      <c r="U41" s="1573">
        <f t="shared" si="11"/>
        <v>100</v>
      </c>
      <c r="V41" s="1572" t="s">
        <v>8</v>
      </c>
      <c r="W41" s="1573">
        <f t="shared" si="12"/>
        <v>100</v>
      </c>
      <c r="X41" s="1566"/>
      <c r="Y41" s="3447"/>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47"/>
      <c r="Q42" s="1571">
        <f t="shared" si="14"/>
        <v>111</v>
      </c>
      <c r="R42" s="1576" t="s">
        <v>8</v>
      </c>
      <c r="S42" s="1577">
        <f t="shared" si="10"/>
        <v>100</v>
      </c>
      <c r="T42" s="1576" t="s">
        <v>8</v>
      </c>
      <c r="U42" s="1577">
        <f t="shared" si="11"/>
        <v>100</v>
      </c>
      <c r="V42" s="1576" t="s">
        <v>8</v>
      </c>
      <c r="W42" s="1577">
        <f t="shared" si="12"/>
        <v>100</v>
      </c>
      <c r="X42" s="1578"/>
      <c r="Y42" s="3447"/>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10" t="str">
        <f>A43</f>
        <v>成交单价</v>
      </c>
      <c r="Q43" s="3410"/>
      <c r="R43" s="3411">
        <f>E43</f>
        <v>0</v>
      </c>
      <c r="S43" s="3411"/>
      <c r="T43" s="3411">
        <f>G43</f>
        <v>0</v>
      </c>
      <c r="U43" s="3411"/>
      <c r="V43" s="3411">
        <f>I43</f>
        <v>0</v>
      </c>
      <c r="W43" s="3411"/>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10" t="str">
        <f>A44</f>
        <v>比较价格（元/平方米）</v>
      </c>
      <c r="Q44" s="3410"/>
      <c r="R44" s="3412" t="e">
        <f>ROUND(PRODUCT(R43,AA9:AA42),0)</f>
        <v>#DIV/0!</v>
      </c>
      <c r="S44" s="3412"/>
      <c r="T44" s="3412" t="e">
        <f>ROUND(PRODUCT(T43,AB9:AB42),0)</f>
        <v>#DIV/0!</v>
      </c>
      <c r="U44" s="3412"/>
      <c r="V44" s="3412" t="e">
        <f>ROUND(PRODUCT(V43,AC9:AC42),0)</f>
        <v>#DIV/0!</v>
      </c>
      <c r="W44" s="3412"/>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407" t="str">
        <f>A45</f>
        <v>估价对象XX用房的比较价格（楼面单价，元/平方米）</v>
      </c>
      <c r="Q45" s="3408"/>
      <c r="R45" s="3409" t="e">
        <f>ROUND(AVERAGE(R44:V44),0)</f>
        <v>#DIV/0!</v>
      </c>
      <c r="S45" s="3409"/>
      <c r="T45" s="3409"/>
      <c r="U45" s="3409"/>
      <c r="V45" s="3409"/>
      <c r="W45" s="340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54" t="s">
        <v>2284</v>
      </c>
      <c r="H52" s="3455"/>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56"/>
      <c r="H53" s="345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58"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5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5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5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37499.699999999997</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2.91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68"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2.91</v>
      </c>
      <c r="AA7" s="2192"/>
      <c r="AB7" s="2192"/>
      <c r="AC7" s="2193"/>
      <c r="AD7" s="2952"/>
      <c r="AE7" s="2952"/>
      <c r="AF7" s="2952"/>
      <c r="AG7" s="2952"/>
      <c r="AH7" s="2952"/>
      <c r="AI7" s="2952"/>
      <c r="AJ7" s="2953"/>
    </row>
    <row r="8" spans="1:39" ht="15">
      <c r="A8" s="3469"/>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60" t="s">
        <v>2782</v>
      </c>
      <c r="X8" s="3461"/>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69"/>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59"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9"/>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59"/>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9"/>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59" t="s">
        <v>2780</v>
      </c>
      <c r="X11" s="1047" t="s">
        <v>2765</v>
      </c>
      <c r="Y11" s="1652">
        <f>$G$3</f>
        <v>2.91</v>
      </c>
      <c r="Z11" s="1652">
        <f t="shared" ref="Z11:AJ11" si="3">$G$3</f>
        <v>2.91</v>
      </c>
      <c r="AA11" s="1652">
        <f t="shared" si="3"/>
        <v>2.91</v>
      </c>
      <c r="AB11" s="1652">
        <f t="shared" si="3"/>
        <v>2.91</v>
      </c>
      <c r="AC11" s="1652">
        <f t="shared" si="3"/>
        <v>2.91</v>
      </c>
      <c r="AD11" s="1652">
        <f t="shared" si="3"/>
        <v>2.91</v>
      </c>
      <c r="AE11" s="1652">
        <f t="shared" si="3"/>
        <v>2.91</v>
      </c>
      <c r="AF11" s="1652">
        <f t="shared" si="3"/>
        <v>2.91</v>
      </c>
      <c r="AG11" s="1652">
        <f t="shared" si="3"/>
        <v>2.91</v>
      </c>
      <c r="AH11" s="1652">
        <f t="shared" si="3"/>
        <v>2.91</v>
      </c>
      <c r="AI11" s="1652">
        <f t="shared" si="3"/>
        <v>2.91</v>
      </c>
      <c r="AJ11" s="1652">
        <f t="shared" si="3"/>
        <v>2.91</v>
      </c>
    </row>
    <row r="12" spans="1:39" ht="25.5" thickBot="1">
      <c r="A12" s="3468"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59"/>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0"/>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59"/>
      <c r="X13" s="2957"/>
      <c r="Y13" s="2956">
        <f>(-0.163*(Y12^2)-0.59*Y12+7617)*(10^(-4))/Y11</f>
        <v>0.26175257731958762</v>
      </c>
      <c r="Z13" s="2956">
        <f t="shared" ref="Z13:AJ13" si="5">(-0.163*(Z12^2)-0.59*Z12+7617)*(10^(-4))/Z11</f>
        <v>0.26175257731958762</v>
      </c>
      <c r="AA13" s="2956">
        <f t="shared" si="5"/>
        <v>0.26175257731958762</v>
      </c>
      <c r="AB13" s="2956">
        <f t="shared" si="5"/>
        <v>0.26175257731958762</v>
      </c>
      <c r="AC13" s="2956">
        <f t="shared" si="5"/>
        <v>0.26175257731958762</v>
      </c>
      <c r="AD13" s="2956">
        <f t="shared" si="5"/>
        <v>0.26175257731958762</v>
      </c>
      <c r="AE13" s="2956">
        <f t="shared" si="5"/>
        <v>0.26175257731958762</v>
      </c>
      <c r="AF13" s="2956">
        <f t="shared" si="5"/>
        <v>0.26175257731958762</v>
      </c>
      <c r="AG13" s="2956">
        <f t="shared" si="5"/>
        <v>0.26175257731958762</v>
      </c>
      <c r="AH13" s="2956">
        <f t="shared" si="5"/>
        <v>0.26175257731958762</v>
      </c>
      <c r="AI13" s="2956">
        <f t="shared" si="5"/>
        <v>0.26175257731958762</v>
      </c>
      <c r="AJ13" s="2956">
        <f t="shared" si="5"/>
        <v>0.26175257731958762</v>
      </c>
    </row>
    <row r="14" spans="1:39" ht="12.75" customHeight="1" thickBot="1">
      <c r="A14" s="3470"/>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71"/>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68"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6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4"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5"/>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5"/>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6"/>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72" t="s">
        <v>1634</v>
      </c>
      <c r="B90" s="3472"/>
      <c r="C90" s="3472"/>
      <c r="D90" s="3472"/>
      <c r="E90" s="3472"/>
      <c r="F90" s="3472"/>
      <c r="G90" s="3472"/>
      <c r="H90" s="3472"/>
      <c r="I90" s="3472"/>
      <c r="J90" s="3472"/>
      <c r="K90" s="2474"/>
      <c r="L90" s="2474"/>
      <c r="M90" s="2474"/>
      <c r="N90" s="2474"/>
    </row>
    <row r="91" spans="1:40">
      <c r="A91" s="3473" t="s">
        <v>1444</v>
      </c>
      <c r="B91" s="3473" t="s">
        <v>1635</v>
      </c>
      <c r="C91" s="1139" t="s">
        <v>1636</v>
      </c>
      <c r="D91" s="1140"/>
      <c r="E91" s="1140"/>
      <c r="F91" s="1140"/>
      <c r="G91" s="1140"/>
      <c r="H91" s="1140"/>
      <c r="I91" s="1140"/>
      <c r="J91" s="1141"/>
      <c r="K91" s="1133"/>
      <c r="L91" s="1133"/>
      <c r="M91" s="1133"/>
      <c r="N91" s="1133"/>
    </row>
    <row r="92" spans="1:40">
      <c r="A92" s="3473"/>
      <c r="B92" s="347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62"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3"/>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2" t="s">
        <v>1638</v>
      </c>
      <c r="B101" s="1146" t="s">
        <v>906</v>
      </c>
      <c r="C101" s="1147">
        <f>$G$3</f>
        <v>2.91</v>
      </c>
      <c r="D101" s="1147">
        <f t="shared" ref="D101:N101" si="31">$G$3</f>
        <v>2.91</v>
      </c>
      <c r="E101" s="1147">
        <f t="shared" si="31"/>
        <v>2.91</v>
      </c>
      <c r="F101" s="1147">
        <f t="shared" si="31"/>
        <v>2.91</v>
      </c>
      <c r="G101" s="1147">
        <f t="shared" si="31"/>
        <v>2.91</v>
      </c>
      <c r="H101" s="1147">
        <f t="shared" si="31"/>
        <v>2.91</v>
      </c>
      <c r="I101" s="1147">
        <f t="shared" si="31"/>
        <v>2.91</v>
      </c>
      <c r="J101" s="1147">
        <f t="shared" si="31"/>
        <v>2.91</v>
      </c>
      <c r="K101" s="1147">
        <f t="shared" si="31"/>
        <v>2.91</v>
      </c>
      <c r="L101" s="1147">
        <f t="shared" si="31"/>
        <v>2.91</v>
      </c>
      <c r="M101" s="1147">
        <f t="shared" si="31"/>
        <v>2.91</v>
      </c>
      <c r="N101" s="1147">
        <f t="shared" si="31"/>
        <v>2.91</v>
      </c>
    </row>
    <row r="102" spans="1:14">
      <c r="A102" s="3463"/>
      <c r="B102" s="1142">
        <v>1</v>
      </c>
      <c r="C102" s="1143">
        <f>1.9362/C101</f>
        <v>0.66536082474226799</v>
      </c>
      <c r="D102" s="1143">
        <f>1.9362/D101</f>
        <v>0.66536082474226799</v>
      </c>
      <c r="E102" s="1143">
        <f>1.8629/E101</f>
        <v>0.64017182130584194</v>
      </c>
      <c r="F102" s="1143">
        <f>1.8629/F101</f>
        <v>0.64017182130584194</v>
      </c>
      <c r="G102" s="1143">
        <f>1.8629/G101</f>
        <v>0.64017182130584194</v>
      </c>
      <c r="H102" s="1143">
        <f>1.8629/H101</f>
        <v>0.64017182130584194</v>
      </c>
      <c r="I102" s="1143">
        <f>1.8629/I101</f>
        <v>0.64017182130584194</v>
      </c>
      <c r="J102" s="1143">
        <f>1.942/J101</f>
        <v>0.66735395189003432</v>
      </c>
      <c r="K102" s="1143">
        <f>1.942/K101</f>
        <v>0.66735395189003432</v>
      </c>
      <c r="L102" s="1143">
        <f>1.942/L101</f>
        <v>0.66735395189003432</v>
      </c>
      <c r="M102" s="1143">
        <f>1.942/M101</f>
        <v>0.66735395189003432</v>
      </c>
      <c r="N102" s="1143">
        <f>1.942/N101</f>
        <v>0.66735395189003432</v>
      </c>
    </row>
    <row r="103" spans="1:14">
      <c r="A103" s="3463"/>
      <c r="B103" s="1142">
        <v>2</v>
      </c>
      <c r="C103" s="1143">
        <f>1.4198/C101</f>
        <v>0.48790378006872848</v>
      </c>
      <c r="D103" s="1143">
        <f>1.4198/D101</f>
        <v>0.48790378006872848</v>
      </c>
      <c r="E103" s="1143">
        <f>1.3372/E101</f>
        <v>0.45951890034364257</v>
      </c>
      <c r="F103" s="1143">
        <f>1.3372/F101</f>
        <v>0.45951890034364257</v>
      </c>
      <c r="G103" s="1143">
        <f>1.3372/G101</f>
        <v>0.45951890034364257</v>
      </c>
      <c r="H103" s="1143">
        <f>1.3372/H101</f>
        <v>0.45951890034364257</v>
      </c>
      <c r="I103" s="1143">
        <f>1.3372/I101</f>
        <v>0.45951890034364257</v>
      </c>
      <c r="J103" s="1143">
        <f>1.2799/J101</f>
        <v>0.43982817869415808</v>
      </c>
      <c r="K103" s="1143">
        <f>1.2799/K101</f>
        <v>0.43982817869415808</v>
      </c>
      <c r="L103" s="1143">
        <f>1.2799/L101</f>
        <v>0.43982817869415808</v>
      </c>
      <c r="M103" s="1143">
        <f>1.2799/M101</f>
        <v>0.43982817869415808</v>
      </c>
      <c r="N103" s="1143">
        <f>1.2799/N101</f>
        <v>0.43982817869415808</v>
      </c>
    </row>
    <row r="104" spans="1:14">
      <c r="A104" s="3463"/>
      <c r="B104" s="1142">
        <v>3</v>
      </c>
      <c r="C104" s="1143">
        <f>1.1594/C101</f>
        <v>0.39841924398625428</v>
      </c>
      <c r="D104" s="1143">
        <f>1.1594/D101</f>
        <v>0.39841924398625428</v>
      </c>
      <c r="E104" s="1143">
        <f>1.0788/E101</f>
        <v>0.37072164948453606</v>
      </c>
      <c r="F104" s="1143">
        <f>1.0788/F101</f>
        <v>0.37072164948453606</v>
      </c>
      <c r="G104" s="1143">
        <f>1.0788/G101</f>
        <v>0.37072164948453606</v>
      </c>
      <c r="H104" s="1143">
        <f>1.0788/H101</f>
        <v>0.37072164948453606</v>
      </c>
      <c r="I104" s="1143">
        <f>1.0788/I101</f>
        <v>0.37072164948453606</v>
      </c>
      <c r="J104" s="1143">
        <f>1.0072/J101</f>
        <v>0.34611683848797253</v>
      </c>
      <c r="K104" s="1143">
        <f>1.0072/K101</f>
        <v>0.34611683848797253</v>
      </c>
      <c r="L104" s="1143">
        <f>1.0072/L101</f>
        <v>0.34611683848797253</v>
      </c>
      <c r="M104" s="1143">
        <f>1.0072/M101</f>
        <v>0.34611683848797253</v>
      </c>
      <c r="N104" s="1143">
        <f>1.0072/N101</f>
        <v>0.34611683848797253</v>
      </c>
    </row>
    <row r="105" spans="1:14">
      <c r="A105" s="3463"/>
      <c r="B105" s="1142">
        <v>4</v>
      </c>
      <c r="C105" s="1143">
        <f>0.9622/C101</f>
        <v>0.33065292096219934</v>
      </c>
      <c r="D105" s="1143">
        <f>0.9622/D101</f>
        <v>0.33065292096219934</v>
      </c>
      <c r="E105" s="1143">
        <f>0.8656/E101</f>
        <v>0.29745704467353951</v>
      </c>
      <c r="F105" s="1143">
        <f>0.8656/F101</f>
        <v>0.29745704467353951</v>
      </c>
      <c r="G105" s="1143">
        <f>0.8656/G101</f>
        <v>0.29745704467353951</v>
      </c>
      <c r="H105" s="1143">
        <f>0.8656/H101</f>
        <v>0.29745704467353951</v>
      </c>
      <c r="I105" s="1143">
        <f>0.8656/I101</f>
        <v>0.29745704467353951</v>
      </c>
      <c r="J105" s="1143">
        <f>0.7525/J101</f>
        <v>0.25859106529209619</v>
      </c>
      <c r="K105" s="1143">
        <f>0.7525/K101</f>
        <v>0.25859106529209619</v>
      </c>
      <c r="L105" s="1143">
        <f>0.7525/L101</f>
        <v>0.25859106529209619</v>
      </c>
      <c r="M105" s="1143">
        <f>0.7525/M101</f>
        <v>0.25859106529209619</v>
      </c>
      <c r="N105" s="1143">
        <f>0.7525/N101</f>
        <v>0.25859106529209619</v>
      </c>
    </row>
    <row r="106" spans="1:14">
      <c r="A106" s="3463"/>
      <c r="B106" s="1142">
        <v>5</v>
      </c>
      <c r="C106" s="1143">
        <f>0.8417/C101</f>
        <v>0.28924398625429554</v>
      </c>
      <c r="D106" s="1143">
        <f>0.8417/D101</f>
        <v>0.28924398625429554</v>
      </c>
      <c r="E106" s="1143">
        <f>0.7371/E101</f>
        <v>0.25329896907216493</v>
      </c>
      <c r="F106" s="1143">
        <f>0.7371/F101</f>
        <v>0.25329896907216493</v>
      </c>
      <c r="G106" s="1143">
        <f>0.7371/G101</f>
        <v>0.25329896907216493</v>
      </c>
      <c r="H106" s="1143">
        <f>0.7371/H101</f>
        <v>0.25329896907216493</v>
      </c>
      <c r="I106" s="1143">
        <f>0.7371/I101</f>
        <v>0.25329896907216493</v>
      </c>
      <c r="J106" s="1143">
        <f>0.5659/J101</f>
        <v>0.19446735395189002</v>
      </c>
      <c r="K106" s="1143">
        <f>0.5659/K101</f>
        <v>0.19446735395189002</v>
      </c>
      <c r="L106" s="1143">
        <f>0.5659/L101</f>
        <v>0.19446735395189002</v>
      </c>
      <c r="M106" s="1143">
        <f>0.5659/M101</f>
        <v>0.19446735395189002</v>
      </c>
      <c r="N106" s="1143">
        <f>0.5659/N101</f>
        <v>0.19446735395189002</v>
      </c>
    </row>
    <row r="107" spans="1:14">
      <c r="A107" s="3463"/>
      <c r="B107" s="1142">
        <v>6</v>
      </c>
      <c r="C107" s="1143">
        <f>0.7608/C101</f>
        <v>0.26144329896907215</v>
      </c>
      <c r="D107" s="1143">
        <f>0.7608/D101</f>
        <v>0.26144329896907215</v>
      </c>
      <c r="E107" s="1143">
        <f>0.6482/E101</f>
        <v>0.22274914089347078</v>
      </c>
      <c r="F107" s="1143">
        <f>0.6482/F101</f>
        <v>0.22274914089347078</v>
      </c>
      <c r="G107" s="1143">
        <f>0.6482/G101</f>
        <v>0.22274914089347078</v>
      </c>
      <c r="H107" s="1143">
        <f>0.6482/H101</f>
        <v>0.22274914089347078</v>
      </c>
      <c r="I107" s="1143">
        <f>0.6482/I101</f>
        <v>0.22274914089347078</v>
      </c>
      <c r="J107" s="1143">
        <f>0.4525/J101</f>
        <v>0.15549828178694158</v>
      </c>
      <c r="K107" s="1143">
        <f>0.4525/K101</f>
        <v>0.15549828178694158</v>
      </c>
      <c r="L107" s="1143">
        <f>0.4525/L101</f>
        <v>0.15549828178694158</v>
      </c>
      <c r="M107" s="1143">
        <f>0.4525/M101</f>
        <v>0.15549828178694158</v>
      </c>
      <c r="N107" s="1143">
        <f>0.4525/N101</f>
        <v>0.15549828178694158</v>
      </c>
    </row>
    <row r="108" spans="1:14">
      <c r="A108" s="3463"/>
      <c r="B108" s="3465"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4"/>
      <c r="B109" s="3466"/>
      <c r="C109" s="1145">
        <f>(-0.163*(C108^2)-0.59*C108+7617)*(10^(-4))/C101</f>
        <v>0.26123189003436426</v>
      </c>
      <c r="D109" s="1145">
        <f>(-0.163*(D108^2)-0.59*D108+7617)*(10^(-4))/D101</f>
        <v>0.26123189003436426</v>
      </c>
      <c r="E109" s="1145">
        <f>(-0.161*(E108^2)-7.509*E108+6533)*(10^(-4))/E101</f>
        <v>0.22208329896907217</v>
      </c>
      <c r="F109" s="1145">
        <f>(-0.161*(F108^2)-7.509*F108+6533)*(10^(-4))/F101</f>
        <v>0.22208329896907217</v>
      </c>
      <c r="G109" s="1145">
        <f>(-0.161*(G108^2)-7.509*G108+6533)*(10^(-4))/G101</f>
        <v>0.22208329896907217</v>
      </c>
      <c r="H109" s="1145">
        <f>(-0.161*(H108^2)-7.509*H108+6533)*(10^(-4))/H101</f>
        <v>0.22208329896907217</v>
      </c>
      <c r="I109" s="1145">
        <f>(-0.161*(I108^2)-7.509*I108+6533)*(10^(-4))/I101</f>
        <v>0.22208329896907217</v>
      </c>
      <c r="J109" s="1145">
        <f>(-0.214*(J108^2)-21.991*J108+4665)*(10^(-4))/J101</f>
        <v>0.15379298969072167</v>
      </c>
      <c r="K109" s="1145">
        <f>(-0.214*(K108^2)-21.991*K108+4665)*(10^(-4))/K101</f>
        <v>0.15379298969072167</v>
      </c>
      <c r="L109" s="1145">
        <f>(-0.214*(L108^2)-21.991*L108+4665)*(10^(-4))/L101</f>
        <v>0.15379298969072167</v>
      </c>
      <c r="M109" s="1145">
        <f>(-0.214*(M108^2)-21.991*M108+4665)*(10^(-4))/M101</f>
        <v>0.15379298969072167</v>
      </c>
      <c r="N109" s="1145">
        <f>(-0.214*(N108^2)-21.991*N108+4665)*(10^(-4))/N101</f>
        <v>0.15379298969072167</v>
      </c>
    </row>
    <row r="110" spans="1:14">
      <c r="A110" s="3467" t="s">
        <v>1640</v>
      </c>
      <c r="B110" s="3467"/>
      <c r="C110" s="3467"/>
      <c r="D110" s="3467"/>
      <c r="E110" s="3467"/>
      <c r="F110" s="3467"/>
      <c r="G110" s="3467"/>
      <c r="H110" s="3467"/>
      <c r="I110" s="3467"/>
      <c r="J110" s="3467"/>
      <c r="K110" s="2472"/>
      <c r="L110" s="2472"/>
      <c r="M110" s="2472"/>
      <c r="N110" s="2472"/>
    </row>
    <row r="112" spans="1:14" ht="12.75" thickBot="1"/>
    <row r="113" spans="1:13" ht="25.5" thickBot="1">
      <c r="A113" s="1015" t="s">
        <v>896</v>
      </c>
      <c r="B113" s="2475">
        <f>G3</f>
        <v>2.91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0.90610000000000002</v>
      </c>
      <c r="C115" s="1029">
        <f>B115</f>
        <v>0.90610000000000002</v>
      </c>
      <c r="D115" s="1029">
        <f>ROUND(0.8331-0.0109*B113,4)</f>
        <v>0.8014</v>
      </c>
      <c r="E115" s="1029">
        <f>D115</f>
        <v>0.8014</v>
      </c>
      <c r="F115" s="1029">
        <f>E115</f>
        <v>0.8014</v>
      </c>
      <c r="G115" s="1029">
        <f>F115</f>
        <v>0.8014</v>
      </c>
      <c r="H115" s="1029">
        <f>G115</f>
        <v>0.8014</v>
      </c>
      <c r="I115" s="1029">
        <f>ROUND(0.689-0.0155*B113,4)</f>
        <v>0.64390000000000003</v>
      </c>
      <c r="J115" s="1029">
        <f t="shared" ref="J115:M118" si="33">I115</f>
        <v>0.64390000000000003</v>
      </c>
      <c r="K115" s="1029">
        <f t="shared" si="33"/>
        <v>0.64390000000000003</v>
      </c>
      <c r="L115" s="1029">
        <f t="shared" si="33"/>
        <v>0.64390000000000003</v>
      </c>
      <c r="M115" s="1030">
        <f t="shared" si="33"/>
        <v>0.64390000000000003</v>
      </c>
    </row>
    <row r="116" spans="1:13" ht="12.75">
      <c r="A116" s="1028" t="s">
        <v>901</v>
      </c>
      <c r="B116" s="1029">
        <f>ROUND(0.949-0.012*B113,4)</f>
        <v>0.91410000000000002</v>
      </c>
      <c r="C116" s="1029">
        <f>B116</f>
        <v>0.91410000000000002</v>
      </c>
      <c r="D116" s="1029">
        <f>ROUND(0.8567-0.013*B113,4)</f>
        <v>0.81889999999999996</v>
      </c>
      <c r="E116" s="1029">
        <f t="shared" ref="E116:H117" si="34">D116</f>
        <v>0.81889999999999996</v>
      </c>
      <c r="F116" s="1029">
        <f t="shared" si="34"/>
        <v>0.81889999999999996</v>
      </c>
      <c r="G116" s="1029">
        <f t="shared" si="34"/>
        <v>0.81889999999999996</v>
      </c>
      <c r="H116" s="1029">
        <f t="shared" si="34"/>
        <v>0.81889999999999996</v>
      </c>
      <c r="I116" s="1029">
        <f>ROUND(0.7694-0.014*B113,4)</f>
        <v>0.72870000000000001</v>
      </c>
      <c r="J116" s="1029">
        <f t="shared" si="33"/>
        <v>0.72870000000000001</v>
      </c>
      <c r="K116" s="1029">
        <f t="shared" si="33"/>
        <v>0.72870000000000001</v>
      </c>
      <c r="L116" s="1029">
        <f t="shared" si="33"/>
        <v>0.72870000000000001</v>
      </c>
      <c r="M116" s="1030">
        <f t="shared" si="33"/>
        <v>0.72870000000000001</v>
      </c>
    </row>
    <row r="117" spans="1:13" ht="12.75">
      <c r="A117" s="1031" t="s">
        <v>902</v>
      </c>
      <c r="B117" s="1029">
        <f>ROUND(0.8808-0.006*B113,4)</f>
        <v>0.86329999999999996</v>
      </c>
      <c r="C117" s="1029">
        <f>B117</f>
        <v>0.86329999999999996</v>
      </c>
      <c r="D117" s="1029">
        <f>ROUND(0.8748-0.008*B113,4)</f>
        <v>0.85150000000000003</v>
      </c>
      <c r="E117" s="1029">
        <f t="shared" si="34"/>
        <v>0.85150000000000003</v>
      </c>
      <c r="F117" s="1029">
        <f t="shared" si="34"/>
        <v>0.85150000000000003</v>
      </c>
      <c r="G117" s="1029">
        <f t="shared" si="34"/>
        <v>0.85150000000000003</v>
      </c>
      <c r="H117" s="1029">
        <f t="shared" si="34"/>
        <v>0.85150000000000003</v>
      </c>
      <c r="I117" s="1029">
        <f>ROUND(0.7412-0.0095*B113,4)</f>
        <v>0.71360000000000001</v>
      </c>
      <c r="J117" s="1029">
        <f t="shared" si="33"/>
        <v>0.71360000000000001</v>
      </c>
      <c r="K117" s="1029">
        <f t="shared" si="33"/>
        <v>0.71360000000000001</v>
      </c>
      <c r="L117" s="1029">
        <f t="shared" si="33"/>
        <v>0.71360000000000001</v>
      </c>
      <c r="M117" s="1030">
        <f t="shared" si="33"/>
        <v>0.71360000000000001</v>
      </c>
    </row>
    <row r="118" spans="1:13" ht="13.5" thickBot="1">
      <c r="A118" s="1032" t="s">
        <v>903</v>
      </c>
      <c r="B118" s="1033">
        <f>ROUND(0.7275-0.01*B113,4)</f>
        <v>0.69840000000000002</v>
      </c>
      <c r="C118" s="1033">
        <f>B118</f>
        <v>0.69840000000000002</v>
      </c>
      <c r="D118" s="1033">
        <f>ROUND(0.7043-0.012*B113,4)</f>
        <v>0.6694</v>
      </c>
      <c r="E118" s="1033">
        <f>D118</f>
        <v>0.6694</v>
      </c>
      <c r="F118" s="1033">
        <f>E118</f>
        <v>0.6694</v>
      </c>
      <c r="G118" s="1033">
        <f>ROUND(0.6299-0.0122*B113,4)</f>
        <v>0.59440000000000004</v>
      </c>
      <c r="H118" s="1033">
        <f>G118</f>
        <v>0.59440000000000004</v>
      </c>
      <c r="I118" s="1033">
        <f>ROUND(0.5667-0.0136*B113,4)</f>
        <v>0.52710000000000001</v>
      </c>
      <c r="J118" s="1033">
        <f t="shared" si="33"/>
        <v>0.52710000000000001</v>
      </c>
      <c r="K118" s="1033">
        <f t="shared" si="33"/>
        <v>0.52710000000000001</v>
      </c>
      <c r="L118" s="1033">
        <f t="shared" si="33"/>
        <v>0.52710000000000001</v>
      </c>
      <c r="M118" s="1034">
        <f t="shared" si="33"/>
        <v>0.52710000000000001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3" t="s">
        <v>1008</v>
      </c>
      <c r="B18" s="1153" t="s">
        <v>1447</v>
      </c>
      <c r="C18" s="1130" t="s">
        <v>1448</v>
      </c>
      <c r="D18" s="1131"/>
      <c r="E18" s="1153">
        <v>1</v>
      </c>
      <c r="F18" s="1132" t="s">
        <v>1449</v>
      </c>
      <c r="G18" s="1133"/>
      <c r="H18" s="1104"/>
      <c r="I18" s="1104"/>
    </row>
    <row r="19" spans="1:9" s="1598" customFormat="1" ht="19.5" customHeight="1">
      <c r="A19" s="3473"/>
      <c r="B19" s="3473" t="s">
        <v>1450</v>
      </c>
      <c r="C19" s="1130" t="s">
        <v>1451</v>
      </c>
      <c r="D19" s="1131"/>
      <c r="E19" s="1153">
        <v>0.9</v>
      </c>
      <c r="F19" s="1132" t="s">
        <v>1452</v>
      </c>
      <c r="G19" s="1133"/>
      <c r="H19" s="1104"/>
      <c r="I19" s="1104"/>
    </row>
    <row r="20" spans="1:9" s="1598" customFormat="1" ht="19.5" customHeight="1">
      <c r="A20" s="3473"/>
      <c r="B20" s="3473"/>
      <c r="C20" s="1130" t="s">
        <v>1453</v>
      </c>
      <c r="D20" s="1131"/>
      <c r="E20" s="1153">
        <v>1.1000000000000001</v>
      </c>
      <c r="F20" s="1132" t="s">
        <v>1454</v>
      </c>
      <c r="G20" s="1133"/>
      <c r="H20" s="1104"/>
      <c r="I20" s="1104"/>
    </row>
    <row r="21" spans="1:9" s="1598" customFormat="1" ht="19.5" customHeight="1">
      <c r="A21" s="3473"/>
      <c r="B21" s="3473"/>
      <c r="C21" s="1130" t="s">
        <v>1455</v>
      </c>
      <c r="D21" s="1131"/>
      <c r="E21" s="1153">
        <v>0.8</v>
      </c>
      <c r="F21" s="1132" t="s">
        <v>1456</v>
      </c>
      <c r="G21" s="1133"/>
      <c r="H21" s="1104"/>
      <c r="I21" s="1104"/>
    </row>
    <row r="22" spans="1:9" s="1598" customFormat="1" ht="19.5" customHeight="1">
      <c r="A22" s="3473"/>
      <c r="B22" s="3473"/>
      <c r="C22" s="1130" t="s">
        <v>1457</v>
      </c>
      <c r="D22" s="1131"/>
      <c r="E22" s="1153">
        <v>0.5</v>
      </c>
      <c r="F22" s="1132"/>
      <c r="G22" s="1133"/>
      <c r="H22" s="1104"/>
      <c r="I22" s="1104"/>
    </row>
    <row r="23" spans="1:9" s="1598" customFormat="1" ht="19.5" customHeight="1">
      <c r="A23" s="3473" t="s">
        <v>1030</v>
      </c>
      <c r="B23" s="1153" t="s">
        <v>1447</v>
      </c>
      <c r="C23" s="1130" t="s">
        <v>1458</v>
      </c>
      <c r="D23" s="1131"/>
      <c r="E23" s="1153">
        <v>1</v>
      </c>
      <c r="F23" s="1132" t="s">
        <v>1459</v>
      </c>
      <c r="G23" s="1133"/>
      <c r="H23" s="1104"/>
      <c r="I23" s="1104"/>
    </row>
    <row r="24" spans="1:9" s="1598" customFormat="1" ht="19.5" customHeight="1">
      <c r="A24" s="3473"/>
      <c r="B24" s="3473" t="s">
        <v>1450</v>
      </c>
      <c r="C24" s="1130" t="s">
        <v>1460</v>
      </c>
      <c r="D24" s="1131"/>
      <c r="E24" s="1153">
        <v>0.5</v>
      </c>
      <c r="F24" s="1132"/>
      <c r="G24" s="1133"/>
      <c r="H24" s="1104"/>
      <c r="I24" s="1104"/>
    </row>
    <row r="25" spans="1:9" s="1598" customFormat="1" ht="19.5" customHeight="1">
      <c r="A25" s="3473"/>
      <c r="B25" s="3473"/>
      <c r="C25" s="1130" t="s">
        <v>1461</v>
      </c>
      <c r="D25" s="1131"/>
      <c r="E25" s="1153">
        <v>1.1000000000000001</v>
      </c>
      <c r="F25" s="1132"/>
      <c r="G25" s="1133"/>
      <c r="H25" s="1104"/>
      <c r="I25" s="1104"/>
    </row>
    <row r="26" spans="1:9" s="1598" customFormat="1" ht="19.5" customHeight="1">
      <c r="A26" s="3473"/>
      <c r="B26" s="3473"/>
      <c r="C26" s="1130" t="s">
        <v>1462</v>
      </c>
      <c r="D26" s="1131"/>
      <c r="E26" s="1153">
        <v>1.1000000000000001</v>
      </c>
      <c r="F26" s="1132"/>
      <c r="G26" s="1133"/>
      <c r="H26" s="1104"/>
      <c r="I26" s="1104"/>
    </row>
    <row r="27" spans="1:9" s="1598" customFormat="1" ht="19.5" customHeight="1">
      <c r="A27" s="3473"/>
      <c r="B27" s="3473"/>
      <c r="C27" s="1130" t="s">
        <v>1463</v>
      </c>
      <c r="D27" s="1131"/>
      <c r="E27" s="1153">
        <v>0.9</v>
      </c>
      <c r="F27" s="1132" t="s">
        <v>1464</v>
      </c>
      <c r="G27" s="1133"/>
      <c r="H27" s="1104"/>
      <c r="I27" s="1104"/>
    </row>
    <row r="28" spans="1:9" s="1598" customFormat="1" ht="19.5" customHeight="1">
      <c r="A28" s="3473"/>
      <c r="B28" s="3473"/>
      <c r="C28" s="1130" t="s">
        <v>1465</v>
      </c>
      <c r="D28" s="1131"/>
      <c r="E28" s="1153">
        <v>0.9</v>
      </c>
      <c r="F28" s="1132" t="s">
        <v>1466</v>
      </c>
      <c r="G28" s="1133"/>
      <c r="H28" s="1104"/>
      <c r="I28" s="1104"/>
    </row>
    <row r="29" spans="1:9" s="1598" customFormat="1" ht="19.5" customHeight="1">
      <c r="A29" s="3473"/>
      <c r="B29" s="3473"/>
      <c r="C29" s="1130" t="s">
        <v>1467</v>
      </c>
      <c r="D29" s="1131"/>
      <c r="E29" s="1153">
        <v>0.9</v>
      </c>
      <c r="F29" s="1132" t="s">
        <v>1468</v>
      </c>
      <c r="G29" s="1133"/>
      <c r="H29" s="1104"/>
      <c r="I29" s="1104"/>
    </row>
    <row r="30" spans="1:9" s="1598" customFormat="1" ht="19.5" customHeight="1">
      <c r="A30" s="3473"/>
      <c r="B30" s="3473"/>
      <c r="C30" s="1130" t="s">
        <v>1469</v>
      </c>
      <c r="D30" s="1131"/>
      <c r="E30" s="1153">
        <v>0.9</v>
      </c>
      <c r="F30" s="1132" t="s">
        <v>1470</v>
      </c>
      <c r="G30" s="1133"/>
      <c r="H30" s="1104"/>
      <c r="I30" s="1104"/>
    </row>
    <row r="31" spans="1:9" s="1598" customFormat="1" ht="19.5" customHeight="1">
      <c r="A31" s="3473"/>
      <c r="B31" s="3473"/>
      <c r="C31" s="1130" t="s">
        <v>1471</v>
      </c>
      <c r="D31" s="1131"/>
      <c r="E31" s="1153">
        <v>0.8</v>
      </c>
      <c r="F31" s="1132" t="s">
        <v>1472</v>
      </c>
      <c r="G31" s="1133"/>
      <c r="H31" s="1104"/>
      <c r="I31" s="1104"/>
    </row>
    <row r="32" spans="1:9" s="1598" customFormat="1" ht="19.5" customHeight="1">
      <c r="A32" s="3473"/>
      <c r="B32" s="3473"/>
      <c r="C32" s="1130" t="s">
        <v>1473</v>
      </c>
      <c r="D32" s="1131"/>
      <c r="E32" s="1153">
        <v>0.8</v>
      </c>
      <c r="F32" s="1132" t="s">
        <v>1474</v>
      </c>
      <c r="G32" s="1133"/>
      <c r="H32" s="1104"/>
      <c r="I32" s="1104"/>
    </row>
    <row r="33" spans="1:9" s="1598" customFormat="1" ht="19.5" customHeight="1">
      <c r="A33" s="3473" t="s">
        <v>1475</v>
      </c>
      <c r="B33" s="1153" t="s">
        <v>1447</v>
      </c>
      <c r="C33" s="1130" t="s">
        <v>1476</v>
      </c>
      <c r="D33" s="1131"/>
      <c r="E33" s="1153">
        <v>1</v>
      </c>
      <c r="F33" s="1132" t="s">
        <v>1477</v>
      </c>
      <c r="G33" s="1133"/>
      <c r="H33" s="1104"/>
      <c r="I33" s="1104"/>
    </row>
    <row r="34" spans="1:9" s="1598" customFormat="1" ht="19.5" customHeight="1">
      <c r="A34" s="3473"/>
      <c r="B34" s="1153" t="s">
        <v>1450</v>
      </c>
      <c r="C34" s="1130" t="s">
        <v>1478</v>
      </c>
      <c r="D34" s="1131"/>
      <c r="E34" s="1153">
        <v>1.5</v>
      </c>
      <c r="F34" s="1132" t="s">
        <v>1479</v>
      </c>
      <c r="G34" s="1133"/>
      <c r="H34" s="1104"/>
      <c r="I34" s="1104"/>
    </row>
    <row r="35" spans="1:9" s="1598" customFormat="1" ht="19.5" customHeight="1">
      <c r="A35" s="3473" t="s">
        <v>1433</v>
      </c>
      <c r="B35" s="1153" t="s">
        <v>1447</v>
      </c>
      <c r="C35" s="1130" t="s">
        <v>1480</v>
      </c>
      <c r="D35" s="1131"/>
      <c r="E35" s="1153">
        <v>1</v>
      </c>
      <c r="F35" s="1132" t="s">
        <v>1481</v>
      </c>
      <c r="G35" s="1133"/>
      <c r="H35" s="1104"/>
      <c r="I35" s="1104"/>
    </row>
    <row r="36" spans="1:9" s="1598" customFormat="1" ht="19.5" customHeight="1">
      <c r="A36" s="3473"/>
      <c r="B36" s="3473" t="s">
        <v>1450</v>
      </c>
      <c r="C36" s="1130" t="s">
        <v>1482</v>
      </c>
      <c r="D36" s="1131"/>
      <c r="E36" s="1153">
        <v>1</v>
      </c>
      <c r="F36" s="1132" t="s">
        <v>1483</v>
      </c>
      <c r="G36" s="1133"/>
      <c r="H36" s="1104"/>
      <c r="I36" s="1104"/>
    </row>
    <row r="37" spans="1:9" s="1598" customFormat="1" ht="19.5" customHeight="1">
      <c r="A37" s="3473"/>
      <c r="B37" s="3473"/>
      <c r="C37" s="1130" t="s">
        <v>1484</v>
      </c>
      <c r="D37" s="1131"/>
      <c r="E37" s="1153">
        <v>1.5</v>
      </c>
      <c r="F37" s="1132" t="s">
        <v>1485</v>
      </c>
      <c r="G37" s="1133"/>
      <c r="H37" s="1104"/>
      <c r="I37" s="1104"/>
    </row>
    <row r="38" spans="1:9" s="1598" customFormat="1" ht="19.5" customHeight="1">
      <c r="A38" s="3473"/>
      <c r="B38" s="3473"/>
      <c r="C38" s="1130" t="s">
        <v>1486</v>
      </c>
      <c r="D38" s="1131"/>
      <c r="E38" s="1153">
        <v>1</v>
      </c>
      <c r="F38" s="1132" t="s">
        <v>1487</v>
      </c>
      <c r="G38" s="1133"/>
      <c r="H38" s="1104"/>
      <c r="I38" s="1104"/>
    </row>
    <row r="39" spans="1:9" s="1598" customFormat="1" ht="19.5" customHeight="1">
      <c r="A39" s="3473"/>
      <c r="B39" s="347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3" t="s">
        <v>1502</v>
      </c>
      <c r="C61" s="1067" t="s">
        <v>1503</v>
      </c>
      <c r="D61" s="1067" t="s">
        <v>1504</v>
      </c>
      <c r="E61" s="1138">
        <v>0.5</v>
      </c>
      <c r="F61" s="1153">
        <v>80</v>
      </c>
      <c r="H61" s="1104">
        <f>SUMIF(C59:C119,基准地价!C8,E59:E119)</f>
        <v>0</v>
      </c>
    </row>
    <row r="62" spans="1:8" s="1104" customFormat="1" ht="24">
      <c r="A62" s="1153">
        <v>2</v>
      </c>
      <c r="B62" s="3473"/>
      <c r="C62" s="1067" t="s">
        <v>1505</v>
      </c>
      <c r="D62" s="1067" t="s">
        <v>1506</v>
      </c>
      <c r="E62" s="1138">
        <v>0.5</v>
      </c>
      <c r="F62" s="1153">
        <v>80</v>
      </c>
    </row>
    <row r="63" spans="1:8" s="1104" customFormat="1" ht="36">
      <c r="A63" s="1153">
        <v>3</v>
      </c>
      <c r="B63" s="3473"/>
      <c r="C63" s="1067" t="s">
        <v>1507</v>
      </c>
      <c r="D63" s="1067" t="s">
        <v>1508</v>
      </c>
      <c r="E63" s="1138">
        <v>0.5</v>
      </c>
      <c r="F63" s="1153">
        <v>80</v>
      </c>
    </row>
    <row r="64" spans="1:8" s="1104" customFormat="1" ht="36">
      <c r="A64" s="1153">
        <v>4</v>
      </c>
      <c r="B64" s="3473"/>
      <c r="C64" s="1067" t="s">
        <v>1509</v>
      </c>
      <c r="D64" s="1067" t="s">
        <v>1510</v>
      </c>
      <c r="E64" s="1138">
        <v>0.4</v>
      </c>
      <c r="F64" s="1153">
        <v>60</v>
      </c>
    </row>
    <row r="65" spans="1:6" s="1104" customFormat="1" ht="36">
      <c r="A65" s="1153">
        <v>5</v>
      </c>
      <c r="B65" s="3473"/>
      <c r="C65" s="1067" t="s">
        <v>1511</v>
      </c>
      <c r="D65" s="1067" t="s">
        <v>1512</v>
      </c>
      <c r="E65" s="1138">
        <v>0.2</v>
      </c>
      <c r="F65" s="1153">
        <v>30</v>
      </c>
    </row>
    <row r="66" spans="1:6" s="1104" customFormat="1" ht="36">
      <c r="A66" s="1153">
        <v>6</v>
      </c>
      <c r="B66" s="3473"/>
      <c r="C66" s="1067" t="s">
        <v>1513</v>
      </c>
      <c r="D66" s="1067" t="s">
        <v>1514</v>
      </c>
      <c r="E66" s="1138">
        <v>0.3</v>
      </c>
      <c r="F66" s="1153">
        <v>50</v>
      </c>
    </row>
    <row r="67" spans="1:6" s="1104" customFormat="1" ht="36">
      <c r="A67" s="1153">
        <v>7</v>
      </c>
      <c r="B67" s="3473"/>
      <c r="C67" s="1067" t="s">
        <v>1515</v>
      </c>
      <c r="D67" s="1067" t="s">
        <v>1516</v>
      </c>
      <c r="E67" s="1138">
        <v>0.2</v>
      </c>
      <c r="F67" s="1153">
        <v>30</v>
      </c>
    </row>
    <row r="68" spans="1:6" s="1104" customFormat="1" ht="36">
      <c r="A68" s="1153">
        <v>8</v>
      </c>
      <c r="B68" s="3473"/>
      <c r="C68" s="1067" t="s">
        <v>1517</v>
      </c>
      <c r="D68" s="1067" t="s">
        <v>1518</v>
      </c>
      <c r="E68" s="1138">
        <v>0.2</v>
      </c>
      <c r="F68" s="1153">
        <v>30</v>
      </c>
    </row>
    <row r="69" spans="1:6" s="1104" customFormat="1" ht="36">
      <c r="A69" s="1153">
        <v>9</v>
      </c>
      <c r="B69" s="3473"/>
      <c r="C69" s="1067" t="s">
        <v>1519</v>
      </c>
      <c r="D69" s="1067" t="s">
        <v>1520</v>
      </c>
      <c r="E69" s="1138">
        <v>0.2</v>
      </c>
      <c r="F69" s="1153">
        <v>30</v>
      </c>
    </row>
    <row r="70" spans="1:6" s="1104" customFormat="1" ht="48">
      <c r="A70" s="1153">
        <v>10</v>
      </c>
      <c r="B70" s="3473"/>
      <c r="C70" s="1067" t="s">
        <v>1521</v>
      </c>
      <c r="D70" s="1067" t="s">
        <v>1522</v>
      </c>
      <c r="E70" s="1138">
        <v>0.2</v>
      </c>
      <c r="F70" s="1153">
        <v>30</v>
      </c>
    </row>
    <row r="71" spans="1:6" s="1104" customFormat="1" ht="48">
      <c r="A71" s="1153">
        <v>11</v>
      </c>
      <c r="B71" s="3473"/>
      <c r="C71" s="1067" t="s">
        <v>1523</v>
      </c>
      <c r="D71" s="1067" t="s">
        <v>1524</v>
      </c>
      <c r="E71" s="1138">
        <v>0.2</v>
      </c>
      <c r="F71" s="1153">
        <v>30</v>
      </c>
    </row>
    <row r="72" spans="1:6" s="1104" customFormat="1" ht="36">
      <c r="A72" s="1153">
        <v>12</v>
      </c>
      <c r="B72" s="3473"/>
      <c r="C72" s="1067" t="s">
        <v>1525</v>
      </c>
      <c r="D72" s="1067" t="s">
        <v>1526</v>
      </c>
      <c r="E72" s="1138">
        <v>0.5</v>
      </c>
      <c r="F72" s="1153">
        <v>80</v>
      </c>
    </row>
    <row r="73" spans="1:6" s="1104" customFormat="1" ht="24">
      <c r="A73" s="1153">
        <v>13</v>
      </c>
      <c r="B73" s="3473"/>
      <c r="C73" s="1067" t="s">
        <v>1527</v>
      </c>
      <c r="D73" s="1067" t="s">
        <v>1528</v>
      </c>
      <c r="E73" s="1138">
        <v>0.4</v>
      </c>
      <c r="F73" s="1153">
        <v>60</v>
      </c>
    </row>
    <row r="74" spans="1:6" s="1104" customFormat="1" ht="24">
      <c r="A74" s="1153">
        <v>14</v>
      </c>
      <c r="B74" s="3473"/>
      <c r="C74" s="1067" t="s">
        <v>1529</v>
      </c>
      <c r="D74" s="1067" t="s">
        <v>1530</v>
      </c>
      <c r="E74" s="1138">
        <v>0.2</v>
      </c>
      <c r="F74" s="1153">
        <v>30</v>
      </c>
    </row>
    <row r="75" spans="1:6" s="1104" customFormat="1" ht="24">
      <c r="A75" s="1153">
        <v>15</v>
      </c>
      <c r="B75" s="3473"/>
      <c r="C75" s="1067" t="s">
        <v>1531</v>
      </c>
      <c r="D75" s="1067" t="s">
        <v>1532</v>
      </c>
      <c r="E75" s="1138">
        <v>0.2</v>
      </c>
      <c r="F75" s="1153">
        <v>30</v>
      </c>
    </row>
    <row r="76" spans="1:6" s="1104" customFormat="1" ht="24">
      <c r="A76" s="1153">
        <v>16</v>
      </c>
      <c r="B76" s="3473" t="s">
        <v>1533</v>
      </c>
      <c r="C76" s="1067" t="s">
        <v>1534</v>
      </c>
      <c r="D76" s="1067" t="s">
        <v>1535</v>
      </c>
      <c r="E76" s="1138">
        <v>0.5</v>
      </c>
      <c r="F76" s="1153">
        <v>80</v>
      </c>
    </row>
    <row r="77" spans="1:6" s="1104" customFormat="1" ht="24">
      <c r="A77" s="1153">
        <v>17</v>
      </c>
      <c r="B77" s="3473"/>
      <c r="C77" s="1067" t="s">
        <v>1536</v>
      </c>
      <c r="D77" s="1067" t="s">
        <v>1537</v>
      </c>
      <c r="E77" s="1138">
        <v>0.5</v>
      </c>
      <c r="F77" s="1153">
        <v>80</v>
      </c>
    </row>
    <row r="78" spans="1:6" s="1104" customFormat="1" ht="24">
      <c r="A78" s="1153">
        <v>18</v>
      </c>
      <c r="B78" s="3473"/>
      <c r="C78" s="1067" t="s">
        <v>1538</v>
      </c>
      <c r="D78" s="1067" t="s">
        <v>1539</v>
      </c>
      <c r="E78" s="1138">
        <v>0.2</v>
      </c>
      <c r="F78" s="1153">
        <v>30</v>
      </c>
    </row>
    <row r="79" spans="1:6" s="1104" customFormat="1" ht="24">
      <c r="A79" s="1153">
        <v>19</v>
      </c>
      <c r="B79" s="3473"/>
      <c r="C79" s="1067" t="s">
        <v>1540</v>
      </c>
      <c r="D79" s="1067" t="s">
        <v>1541</v>
      </c>
      <c r="E79" s="1138">
        <v>0.5</v>
      </c>
      <c r="F79" s="1153">
        <v>80</v>
      </c>
    </row>
    <row r="80" spans="1:6" s="1104" customFormat="1" ht="36">
      <c r="A80" s="1153">
        <v>20</v>
      </c>
      <c r="B80" s="3473"/>
      <c r="C80" s="1067" t="s">
        <v>1542</v>
      </c>
      <c r="D80" s="1067" t="s">
        <v>1543</v>
      </c>
      <c r="E80" s="1138">
        <v>0.2</v>
      </c>
      <c r="F80" s="1153">
        <v>30</v>
      </c>
    </row>
    <row r="81" spans="1:6" s="1104" customFormat="1" ht="36">
      <c r="A81" s="1153">
        <v>21</v>
      </c>
      <c r="B81" s="3473"/>
      <c r="C81" s="1067" t="s">
        <v>1544</v>
      </c>
      <c r="D81" s="1067" t="s">
        <v>1545</v>
      </c>
      <c r="E81" s="1138">
        <v>0.2</v>
      </c>
      <c r="F81" s="1153">
        <v>30</v>
      </c>
    </row>
    <row r="82" spans="1:6" s="1104" customFormat="1" ht="48">
      <c r="A82" s="1153">
        <v>22</v>
      </c>
      <c r="B82" s="3473"/>
      <c r="C82" s="1067" t="s">
        <v>1546</v>
      </c>
      <c r="D82" s="1067" t="s">
        <v>1547</v>
      </c>
      <c r="E82" s="1138">
        <v>0.2</v>
      </c>
      <c r="F82" s="1153">
        <v>30</v>
      </c>
    </row>
    <row r="83" spans="1:6" s="1104" customFormat="1" ht="48">
      <c r="A83" s="1153">
        <v>23</v>
      </c>
      <c r="B83" s="3473"/>
      <c r="C83" s="1067" t="s">
        <v>1548</v>
      </c>
      <c r="D83" s="1067" t="s">
        <v>1549</v>
      </c>
      <c r="E83" s="1138">
        <v>0.2</v>
      </c>
      <c r="F83" s="1153">
        <v>30</v>
      </c>
    </row>
    <row r="84" spans="1:6" s="1104" customFormat="1" ht="36">
      <c r="A84" s="1153">
        <v>24</v>
      </c>
      <c r="B84" s="3473"/>
      <c r="C84" s="1067" t="s">
        <v>1550</v>
      </c>
      <c r="D84" s="1067" t="s">
        <v>1551</v>
      </c>
      <c r="E84" s="1138">
        <v>0.2</v>
      </c>
      <c r="F84" s="1153">
        <v>30</v>
      </c>
    </row>
    <row r="85" spans="1:6" s="1104" customFormat="1" ht="36">
      <c r="A85" s="1153">
        <v>25</v>
      </c>
      <c r="B85" s="3473"/>
      <c r="C85" s="1067" t="s">
        <v>1552</v>
      </c>
      <c r="D85" s="1067" t="s">
        <v>1553</v>
      </c>
      <c r="E85" s="1138">
        <v>0.5</v>
      </c>
      <c r="F85" s="1153">
        <v>80</v>
      </c>
    </row>
    <row r="86" spans="1:6" s="1104" customFormat="1" ht="36">
      <c r="A86" s="1153">
        <v>26</v>
      </c>
      <c r="B86" s="3473"/>
      <c r="C86" s="1067" t="s">
        <v>1554</v>
      </c>
      <c r="D86" s="1067" t="s">
        <v>1555</v>
      </c>
      <c r="E86" s="1138">
        <v>0.2</v>
      </c>
      <c r="F86" s="1153">
        <v>30</v>
      </c>
    </row>
    <row r="87" spans="1:6" s="1104" customFormat="1" ht="36">
      <c r="A87" s="1153">
        <v>27</v>
      </c>
      <c r="B87" s="3473"/>
      <c r="C87" s="1067" t="s">
        <v>1556</v>
      </c>
      <c r="D87" s="1067" t="s">
        <v>1557</v>
      </c>
      <c r="E87" s="1138">
        <v>0.2</v>
      </c>
      <c r="F87" s="1153">
        <v>30</v>
      </c>
    </row>
    <row r="88" spans="1:6" s="1104" customFormat="1" ht="36">
      <c r="A88" s="1153">
        <v>28</v>
      </c>
      <c r="B88" s="3473"/>
      <c r="C88" s="1067" t="s">
        <v>1558</v>
      </c>
      <c r="D88" s="1067" t="s">
        <v>1559</v>
      </c>
      <c r="E88" s="1138">
        <v>0.2</v>
      </c>
      <c r="F88" s="1153">
        <v>30</v>
      </c>
    </row>
    <row r="89" spans="1:6" s="1104" customFormat="1" ht="24">
      <c r="A89" s="1153">
        <v>29</v>
      </c>
      <c r="B89" s="3473"/>
      <c r="C89" s="1067" t="s">
        <v>1560</v>
      </c>
      <c r="D89" s="1067" t="s">
        <v>1561</v>
      </c>
      <c r="E89" s="1138">
        <v>0.2</v>
      </c>
      <c r="F89" s="1153">
        <v>30</v>
      </c>
    </row>
    <row r="90" spans="1:6" s="1104" customFormat="1" ht="24">
      <c r="A90" s="1153">
        <v>30</v>
      </c>
      <c r="B90" s="3473"/>
      <c r="C90" s="1067" t="s">
        <v>1562</v>
      </c>
      <c r="D90" s="1067" t="s">
        <v>1563</v>
      </c>
      <c r="E90" s="1138">
        <v>0.2</v>
      </c>
      <c r="F90" s="1153">
        <v>30</v>
      </c>
    </row>
    <row r="91" spans="1:6" s="1104" customFormat="1" ht="36">
      <c r="A91" s="1153">
        <v>31</v>
      </c>
      <c r="B91" s="3473"/>
      <c r="C91" s="1067" t="s">
        <v>1564</v>
      </c>
      <c r="D91" s="1067" t="s">
        <v>1565</v>
      </c>
      <c r="E91" s="1138">
        <v>0.2</v>
      </c>
      <c r="F91" s="1153">
        <v>30</v>
      </c>
    </row>
    <row r="92" spans="1:6" s="1104" customFormat="1" ht="24">
      <c r="A92" s="1153">
        <v>32</v>
      </c>
      <c r="B92" s="3473" t="s">
        <v>1566</v>
      </c>
      <c r="C92" s="1153" t="s">
        <v>1567</v>
      </c>
      <c r="D92" s="1067" t="s">
        <v>1568</v>
      </c>
      <c r="E92" s="1138">
        <v>0.2</v>
      </c>
      <c r="F92" s="1153">
        <v>30</v>
      </c>
    </row>
    <row r="93" spans="1:6" s="1104" customFormat="1" ht="36">
      <c r="A93" s="1153">
        <v>33</v>
      </c>
      <c r="B93" s="3473"/>
      <c r="C93" s="1153" t="s">
        <v>1569</v>
      </c>
      <c r="D93" s="1067" t="s">
        <v>1570</v>
      </c>
      <c r="E93" s="1138">
        <v>0.2</v>
      </c>
      <c r="F93" s="1153">
        <v>30</v>
      </c>
    </row>
    <row r="94" spans="1:6" s="1104" customFormat="1" ht="48">
      <c r="A94" s="1153">
        <v>34</v>
      </c>
      <c r="B94" s="3473"/>
      <c r="C94" s="1153" t="s">
        <v>1571</v>
      </c>
      <c r="D94" s="1067" t="s">
        <v>1572</v>
      </c>
      <c r="E94" s="1138">
        <v>0.2</v>
      </c>
      <c r="F94" s="1153">
        <v>30</v>
      </c>
    </row>
    <row r="95" spans="1:6" s="1104" customFormat="1" ht="36">
      <c r="A95" s="1153">
        <v>35</v>
      </c>
      <c r="B95" s="3473"/>
      <c r="C95" s="1153" t="s">
        <v>1573</v>
      </c>
      <c r="D95" s="1067" t="s">
        <v>1574</v>
      </c>
      <c r="E95" s="1138">
        <v>0.2</v>
      </c>
      <c r="F95" s="1153">
        <v>30</v>
      </c>
    </row>
    <row r="96" spans="1:6" s="1104" customFormat="1" ht="48">
      <c r="A96" s="1153">
        <v>36</v>
      </c>
      <c r="B96" s="3473"/>
      <c r="C96" s="1067" t="s">
        <v>1575</v>
      </c>
      <c r="D96" s="1067" t="s">
        <v>1576</v>
      </c>
      <c r="E96" s="1138">
        <v>0.2</v>
      </c>
      <c r="F96" s="1153">
        <v>30</v>
      </c>
    </row>
    <row r="97" spans="1:6" s="1104" customFormat="1" ht="36">
      <c r="A97" s="1153">
        <v>37</v>
      </c>
      <c r="B97" s="3473"/>
      <c r="C97" s="1153" t="s">
        <v>1577</v>
      </c>
      <c r="D97" s="1067" t="s">
        <v>1578</v>
      </c>
      <c r="E97" s="1138">
        <v>0.2</v>
      </c>
      <c r="F97" s="1153">
        <v>30</v>
      </c>
    </row>
    <row r="98" spans="1:6" s="1104" customFormat="1" ht="36">
      <c r="A98" s="1153">
        <v>38</v>
      </c>
      <c r="B98" s="3473"/>
      <c r="C98" s="1153" t="s">
        <v>1579</v>
      </c>
      <c r="D98" s="1067" t="s">
        <v>1580</v>
      </c>
      <c r="E98" s="1138">
        <v>0.2</v>
      </c>
      <c r="F98" s="1153">
        <v>30</v>
      </c>
    </row>
    <row r="99" spans="1:6" s="1104" customFormat="1" ht="36">
      <c r="A99" s="1153">
        <v>39</v>
      </c>
      <c r="B99" s="3473" t="s">
        <v>1581</v>
      </c>
      <c r="C99" s="1153" t="s">
        <v>1582</v>
      </c>
      <c r="D99" s="1067" t="s">
        <v>1583</v>
      </c>
      <c r="E99" s="1138">
        <v>0.3</v>
      </c>
      <c r="F99" s="1153">
        <v>50</v>
      </c>
    </row>
    <row r="100" spans="1:6" s="1104" customFormat="1" ht="24">
      <c r="A100" s="1153">
        <v>40</v>
      </c>
      <c r="B100" s="3473"/>
      <c r="C100" s="1153" t="s">
        <v>1584</v>
      </c>
      <c r="D100" s="1067" t="s">
        <v>1585</v>
      </c>
      <c r="E100" s="1138">
        <v>0.2</v>
      </c>
      <c r="F100" s="1153">
        <v>30</v>
      </c>
    </row>
    <row r="101" spans="1:6" s="1104" customFormat="1" ht="36">
      <c r="A101" s="1153">
        <v>41</v>
      </c>
      <c r="B101" s="347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3" t="s">
        <v>1596</v>
      </c>
      <c r="C105" s="1153" t="s">
        <v>1597</v>
      </c>
      <c r="D105" s="1067" t="s">
        <v>1598</v>
      </c>
      <c r="E105" s="1138">
        <v>0.2</v>
      </c>
      <c r="F105" s="1153">
        <v>30</v>
      </c>
    </row>
    <row r="106" spans="1:6" s="1104" customFormat="1" ht="36">
      <c r="A106" s="1153">
        <v>46</v>
      </c>
      <c r="B106" s="3473"/>
      <c r="C106" s="1153" t="s">
        <v>1599</v>
      </c>
      <c r="D106" s="1067" t="s">
        <v>1600</v>
      </c>
      <c r="E106" s="1138">
        <v>0.2</v>
      </c>
      <c r="F106" s="1153">
        <v>30</v>
      </c>
    </row>
    <row r="107" spans="1:6" s="1104" customFormat="1" ht="36">
      <c r="A107" s="1153">
        <v>47</v>
      </c>
      <c r="B107" s="3473" t="s">
        <v>1601</v>
      </c>
      <c r="C107" s="1153" t="s">
        <v>1602</v>
      </c>
      <c r="D107" s="1067" t="s">
        <v>1603</v>
      </c>
      <c r="E107" s="1138">
        <v>0.3</v>
      </c>
      <c r="F107" s="1153">
        <v>50</v>
      </c>
    </row>
    <row r="108" spans="1:6" s="1104" customFormat="1" ht="36">
      <c r="A108" s="1153">
        <v>48</v>
      </c>
      <c r="B108" s="347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3" t="s">
        <v>1612</v>
      </c>
      <c r="C111" s="1153" t="s">
        <v>1613</v>
      </c>
      <c r="D111" s="1067" t="s">
        <v>1614</v>
      </c>
      <c r="E111" s="1138">
        <v>0.2</v>
      </c>
      <c r="F111" s="1153">
        <v>30</v>
      </c>
    </row>
    <row r="112" spans="1:6" s="1104" customFormat="1" ht="24">
      <c r="A112" s="1153">
        <v>52</v>
      </c>
      <c r="B112" s="3473"/>
      <c r="C112" s="1153" t="s">
        <v>1615</v>
      </c>
      <c r="D112" s="1067" t="s">
        <v>1616</v>
      </c>
      <c r="E112" s="1138">
        <v>0.2</v>
      </c>
      <c r="F112" s="1153">
        <v>30</v>
      </c>
    </row>
    <row r="113" spans="1:14" s="1104" customFormat="1" ht="24">
      <c r="A113" s="1153">
        <v>53</v>
      </c>
      <c r="B113" s="347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3" t="s">
        <v>1625</v>
      </c>
      <c r="C116" s="1153" t="s">
        <v>1626</v>
      </c>
      <c r="D116" s="1067" t="s">
        <v>1627</v>
      </c>
      <c r="E116" s="1138">
        <v>0.2</v>
      </c>
      <c r="F116" s="1153">
        <v>30</v>
      </c>
    </row>
    <row r="117" spans="1:14" ht="36">
      <c r="A117" s="1153">
        <v>57</v>
      </c>
      <c r="B117" s="347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2" t="s">
        <v>1634</v>
      </c>
      <c r="B121" s="3472"/>
      <c r="C121" s="3472"/>
      <c r="D121" s="3472"/>
      <c r="E121" s="3472"/>
      <c r="F121" s="3472"/>
      <c r="G121" s="3472"/>
      <c r="H121" s="3472"/>
      <c r="I121" s="3472"/>
      <c r="J121" s="347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7" t="s">
        <v>1040</v>
      </c>
      <c r="B1" s="3477"/>
      <c r="C1" s="3477"/>
      <c r="D1" s="3477"/>
      <c r="E1" s="3477"/>
      <c r="F1" s="3477"/>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8" t="s">
        <v>1053</v>
      </c>
      <c r="B2" s="3478"/>
      <c r="C2" s="3478"/>
      <c r="D2" s="3478"/>
      <c r="E2" s="3478"/>
      <c r="F2" s="3478"/>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9"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80"/>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1" t="s">
        <v>2079</v>
      </c>
      <c r="B1" s="3481"/>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R47" sqref="R47:W48"/>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3417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284022</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32378</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6" t="s">
        <v>522</v>
      </c>
      <c r="D4" s="3417"/>
      <c r="E4" s="3450" t="s">
        <v>523</v>
      </c>
      <c r="F4" s="3451"/>
      <c r="G4" s="3416" t="s">
        <v>524</v>
      </c>
      <c r="H4" s="3417"/>
      <c r="I4" s="3416" t="s">
        <v>525</v>
      </c>
      <c r="J4" s="3417"/>
      <c r="K4" s="852" t="s">
        <v>526</v>
      </c>
      <c r="L4" s="2133"/>
      <c r="M4" s="2134"/>
      <c r="N4" s="2134"/>
      <c r="O4" s="2134"/>
      <c r="P4" s="3418" t="s">
        <v>527</v>
      </c>
      <c r="Q4" s="3419"/>
      <c r="R4" s="3424" t="s">
        <v>523</v>
      </c>
      <c r="S4" s="3425"/>
      <c r="T4" s="3424" t="s">
        <v>524</v>
      </c>
      <c r="U4" s="3425"/>
      <c r="V4" s="3411" t="s">
        <v>525</v>
      </c>
      <c r="W4" s="3411"/>
      <c r="X4" s="1566"/>
      <c r="Y4" s="3424" t="s">
        <v>527</v>
      </c>
      <c r="Z4" s="3425"/>
      <c r="AA4" s="3413" t="s">
        <v>523</v>
      </c>
      <c r="AB4" s="3413" t="s">
        <v>524</v>
      </c>
      <c r="AC4" s="3413" t="s">
        <v>525</v>
      </c>
    </row>
    <row r="5" spans="1:29" ht="15">
      <c r="A5" s="514"/>
      <c r="B5" s="515"/>
      <c r="C5" s="3432" t="s">
        <v>2923</v>
      </c>
      <c r="D5" s="3433"/>
      <c r="E5" s="3486" t="s">
        <v>3394</v>
      </c>
      <c r="F5" s="3453"/>
      <c r="G5" s="3485" t="s">
        <v>3398</v>
      </c>
      <c r="H5" s="3433"/>
      <c r="I5" s="3485" t="s">
        <v>3399</v>
      </c>
      <c r="J5" s="3433"/>
      <c r="K5" s="853"/>
      <c r="L5" s="2133"/>
      <c r="M5" s="2134"/>
      <c r="N5" s="2134"/>
      <c r="O5" s="2134"/>
      <c r="P5" s="3420"/>
      <c r="Q5" s="3421"/>
      <c r="R5" s="3426"/>
      <c r="S5" s="3427"/>
      <c r="T5" s="3426"/>
      <c r="U5" s="3427"/>
      <c r="V5" s="3411"/>
      <c r="W5" s="3411"/>
      <c r="X5" s="1566"/>
      <c r="Y5" s="3426"/>
      <c r="Z5" s="3427"/>
      <c r="AA5" s="3414"/>
      <c r="AB5" s="3414"/>
      <c r="AC5" s="3414"/>
    </row>
    <row r="6" spans="1:29" ht="15.75" thickBot="1">
      <c r="A6" s="516"/>
      <c r="B6" s="517"/>
      <c r="C6" s="3430" t="s">
        <v>2927</v>
      </c>
      <c r="D6" s="3431"/>
      <c r="E6" s="3448" t="s">
        <v>2927</v>
      </c>
      <c r="F6" s="3449"/>
      <c r="G6" s="3430" t="s">
        <v>2927</v>
      </c>
      <c r="H6" s="3431"/>
      <c r="I6" s="3430" t="s">
        <v>2927</v>
      </c>
      <c r="J6" s="3431"/>
      <c r="K6" s="853" t="s">
        <v>528</v>
      </c>
      <c r="L6" s="2133"/>
      <c r="M6" s="2134"/>
      <c r="N6" s="2134"/>
      <c r="O6" s="2134"/>
      <c r="P6" s="3422"/>
      <c r="Q6" s="3423"/>
      <c r="R6" s="3426"/>
      <c r="S6" s="3427"/>
      <c r="T6" s="3428"/>
      <c r="U6" s="3429"/>
      <c r="V6" s="3411"/>
      <c r="W6" s="3411"/>
      <c r="X6" s="1566"/>
      <c r="Y6" s="3428"/>
      <c r="Z6" s="3429"/>
      <c r="AA6" s="3415"/>
      <c r="AB6" s="3415"/>
      <c r="AC6" s="3415"/>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41" t="s">
        <v>530</v>
      </c>
      <c r="Q7" s="3443"/>
      <c r="R7" s="1567" t="s">
        <v>13</v>
      </c>
      <c r="S7" s="1568">
        <f t="shared" ref="S7:S15" si="0">F7</f>
        <v>100</v>
      </c>
      <c r="T7" s="1567" t="s">
        <v>13</v>
      </c>
      <c r="U7" s="1568">
        <f t="shared" ref="U7:U15" si="1">H7</f>
        <v>100</v>
      </c>
      <c r="V7" s="1567" t="s">
        <v>13</v>
      </c>
      <c r="W7" s="1568">
        <f t="shared" ref="W7:W15" si="2">J7</f>
        <v>100</v>
      </c>
      <c r="X7" s="1569"/>
      <c r="Y7" s="3441" t="s">
        <v>530</v>
      </c>
      <c r="Z7" s="3442"/>
      <c r="AA7" s="1570">
        <f>D7/F7</f>
        <v>1</v>
      </c>
      <c r="AB7" s="1570">
        <f>D7/H7</f>
        <v>1</v>
      </c>
      <c r="AC7" s="1570">
        <f>D7/J7</f>
        <v>1</v>
      </c>
    </row>
    <row r="8" spans="1:29" s="1219" customFormat="1" ht="15.75" thickBot="1">
      <c r="A8" s="2936"/>
      <c r="B8" s="2943" t="s">
        <v>531</v>
      </c>
      <c r="C8" s="524" t="s">
        <v>576</v>
      </c>
      <c r="D8" s="519">
        <v>100</v>
      </c>
      <c r="E8" s="855" t="s">
        <v>3316</v>
      </c>
      <c r="F8" s="521">
        <f>SUMIF(61:61,E8,62:62)-SUMIF(61:61,C8,62:62)+100</f>
        <v>100</v>
      </c>
      <c r="G8" s="524" t="s">
        <v>3316</v>
      </c>
      <c r="H8" s="519">
        <f>SUMIF(61:61,G8,62:62)-SUMIF(61:61,C8,62:62)+100</f>
        <v>100</v>
      </c>
      <c r="I8" s="855" t="s">
        <v>3316</v>
      </c>
      <c r="J8" s="519">
        <f>SUMIF(61:61,I8,62:62)-SUMIF(61:61,C8,62:62)+100</f>
        <v>100</v>
      </c>
      <c r="K8" s="854"/>
      <c r="L8" s="2135"/>
      <c r="M8" s="2136"/>
      <c r="N8" s="2136"/>
      <c r="O8" s="2136"/>
      <c r="P8" s="3441" t="s">
        <v>533</v>
      </c>
      <c r="Q8" s="3442"/>
      <c r="R8" s="1567" t="s">
        <v>13</v>
      </c>
      <c r="S8" s="1568">
        <f t="shared" si="0"/>
        <v>100</v>
      </c>
      <c r="T8" s="1567" t="s">
        <v>13</v>
      </c>
      <c r="U8" s="1568">
        <f t="shared" si="1"/>
        <v>100</v>
      </c>
      <c r="V8" s="1567" t="s">
        <v>13</v>
      </c>
      <c r="W8" s="1568">
        <f t="shared" si="2"/>
        <v>100</v>
      </c>
      <c r="X8" s="1569"/>
      <c r="Y8" s="3441" t="s">
        <v>533</v>
      </c>
      <c r="Z8" s="3442"/>
      <c r="AA8" s="1570">
        <f t="shared" ref="AA8:AA46" si="3">D8/F8</f>
        <v>1</v>
      </c>
      <c r="AB8" s="1570">
        <f t="shared" ref="AB8:AB46" si="4">D8/H8</f>
        <v>1</v>
      </c>
      <c r="AC8" s="1570">
        <f t="shared" ref="AC8:AC46" si="5">D8/J8</f>
        <v>1</v>
      </c>
    </row>
    <row r="9" spans="1:29" s="1219" customFormat="1" ht="15">
      <c r="A9" s="2937"/>
      <c r="B9" s="2944" t="s">
        <v>2755</v>
      </c>
      <c r="C9" s="3217" t="s">
        <v>3395</v>
      </c>
      <c r="D9" s="253">
        <v>100</v>
      </c>
      <c r="E9" s="3218" t="s">
        <v>3395</v>
      </c>
      <c r="F9" s="858">
        <f>SUMIF(63:63,E9,64:64)-SUMIF(63:63,C9,64:64)+100</f>
        <v>100</v>
      </c>
      <c r="G9" s="3219" t="s">
        <v>3395</v>
      </c>
      <c r="H9" s="253">
        <f>SUMIF(63:63,G9,64:64)-SUMIF(63:63,C9,64:64)+100</f>
        <v>100</v>
      </c>
      <c r="I9" s="3219" t="s">
        <v>3396</v>
      </c>
      <c r="J9" s="253">
        <f>SUMIF(63:63,I9,64:64)-SUMIF(63:63,C9,64:64)+100</f>
        <v>100</v>
      </c>
      <c r="K9" s="854"/>
      <c r="L9" s="2135"/>
      <c r="M9" s="2136"/>
      <c r="N9" s="2136"/>
      <c r="O9" s="2137"/>
      <c r="P9" s="3410"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38"/>
      <c r="B10" s="2943" t="s">
        <v>2756</v>
      </c>
      <c r="C10" s="860" t="s">
        <v>3397</v>
      </c>
      <c r="D10" s="254">
        <v>100</v>
      </c>
      <c r="E10" s="861" t="s">
        <v>3397</v>
      </c>
      <c r="F10" s="862">
        <f>SUMIF(65:65,E10,66:66)-SUMIF(65:65,C10,66:66)+100</f>
        <v>100</v>
      </c>
      <c r="G10" s="860" t="s">
        <v>3397</v>
      </c>
      <c r="H10" s="254">
        <f>SUMIF(65:65,G10,66:66)-SUMIF(65:65,C10,66:66)+100</f>
        <v>100</v>
      </c>
      <c r="I10" s="860" t="s">
        <v>3397</v>
      </c>
      <c r="J10" s="254">
        <f>SUMIF(65:65,I10,66:66)-SUMIF(65:65,C10,66:66)+100</f>
        <v>100</v>
      </c>
      <c r="K10" s="863">
        <v>1</v>
      </c>
      <c r="L10" s="2138"/>
      <c r="M10" s="2178"/>
      <c r="N10" s="2178"/>
      <c r="O10" s="2139"/>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10"/>
      <c r="Q11" s="1150" t="str">
        <f t="shared" si="6"/>
        <v>容积率</v>
      </c>
      <c r="R11" s="1567" t="s">
        <v>11</v>
      </c>
      <c r="S11" s="1568">
        <f t="shared" si="0"/>
        <v>101</v>
      </c>
      <c r="T11" s="1567" t="s">
        <v>11</v>
      </c>
      <c r="U11" s="1568">
        <f t="shared" si="1"/>
        <v>101</v>
      </c>
      <c r="V11" s="1567" t="s">
        <v>11</v>
      </c>
      <c r="W11" s="1568">
        <f t="shared" si="2"/>
        <v>101</v>
      </c>
      <c r="X11" s="1569"/>
      <c r="Y11" s="3356"/>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10"/>
      <c r="Q12" s="1150">
        <f t="shared" si="6"/>
        <v>111</v>
      </c>
      <c r="R12" s="1567" t="s">
        <v>11</v>
      </c>
      <c r="S12" s="1568">
        <f t="shared" si="0"/>
        <v>100</v>
      </c>
      <c r="T12" s="1567" t="s">
        <v>11</v>
      </c>
      <c r="U12" s="1568">
        <f t="shared" si="1"/>
        <v>100</v>
      </c>
      <c r="V12" s="1567" t="s">
        <v>11</v>
      </c>
      <c r="W12" s="1568">
        <f t="shared" si="2"/>
        <v>100</v>
      </c>
      <c r="X12" s="1569"/>
      <c r="Y12" s="3356"/>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10"/>
      <c r="Q13" s="1150">
        <f t="shared" si="6"/>
        <v>111</v>
      </c>
      <c r="R13" s="1567" t="s">
        <v>11</v>
      </c>
      <c r="S13" s="1568">
        <f t="shared" si="0"/>
        <v>100</v>
      </c>
      <c r="T13" s="1567" t="s">
        <v>11</v>
      </c>
      <c r="U13" s="1568">
        <f t="shared" si="1"/>
        <v>100</v>
      </c>
      <c r="V13" s="1567" t="s">
        <v>11</v>
      </c>
      <c r="W13" s="1568">
        <f t="shared" si="2"/>
        <v>100</v>
      </c>
      <c r="X13" s="1569"/>
      <c r="Y13" s="3356"/>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10"/>
      <c r="Q14" s="1150">
        <f t="shared" si="6"/>
        <v>111</v>
      </c>
      <c r="R14" s="1567" t="s">
        <v>11</v>
      </c>
      <c r="S14" s="1568">
        <f t="shared" si="0"/>
        <v>100</v>
      </c>
      <c r="T14" s="1567" t="s">
        <v>11</v>
      </c>
      <c r="U14" s="1568">
        <f t="shared" si="1"/>
        <v>100</v>
      </c>
      <c r="V14" s="1567" t="s">
        <v>11</v>
      </c>
      <c r="W14" s="1568">
        <f t="shared" si="2"/>
        <v>100</v>
      </c>
      <c r="X14" s="1569"/>
      <c r="Y14" s="3356"/>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44" t="s">
        <v>540</v>
      </c>
      <c r="Q15" s="1571" t="str">
        <f t="shared" si="6"/>
        <v>居住社区成熟度</v>
      </c>
      <c r="R15" s="1572" t="s">
        <v>11</v>
      </c>
      <c r="S15" s="1573">
        <f t="shared" si="0"/>
        <v>95</v>
      </c>
      <c r="T15" s="1572" t="s">
        <v>11</v>
      </c>
      <c r="U15" s="1573">
        <f t="shared" si="1"/>
        <v>100</v>
      </c>
      <c r="V15" s="1572" t="s">
        <v>11</v>
      </c>
      <c r="W15" s="1573">
        <f t="shared" si="2"/>
        <v>100</v>
      </c>
      <c r="X15" s="1566"/>
      <c r="Y15" s="3444" t="s">
        <v>540</v>
      </c>
      <c r="Z15" s="1574" t="str">
        <f t="shared" si="7"/>
        <v>居住社区成熟度</v>
      </c>
      <c r="AA15" s="1575">
        <f t="shared" si="3"/>
        <v>1.0526315789473684</v>
      </c>
      <c r="AB15" s="1575">
        <f t="shared" si="4"/>
        <v>1</v>
      </c>
      <c r="AC15" s="1575">
        <f t="shared" si="5"/>
        <v>1</v>
      </c>
    </row>
    <row r="16" spans="1:29" ht="15">
      <c r="A16" s="531"/>
      <c r="B16" s="868"/>
      <c r="C16" s="575" t="s">
        <v>3335</v>
      </c>
      <c r="D16" s="554"/>
      <c r="E16" s="555" t="s">
        <v>3370</v>
      </c>
      <c r="F16" s="556"/>
      <c r="G16" s="557" t="s">
        <v>3335</v>
      </c>
      <c r="H16" s="558"/>
      <c r="I16" s="555" t="s">
        <v>3335</v>
      </c>
      <c r="J16" s="554"/>
      <c r="K16" s="869"/>
      <c r="L16" s="2142"/>
      <c r="M16" s="2134"/>
      <c r="N16" s="2134"/>
      <c r="O16" s="2141"/>
      <c r="P16" s="3445"/>
      <c r="Q16" s="1571"/>
      <c r="R16" s="1572"/>
      <c r="S16" s="1573"/>
      <c r="T16" s="1572"/>
      <c r="U16" s="1573"/>
      <c r="V16" s="1572"/>
      <c r="W16" s="1573"/>
      <c r="X16" s="1566"/>
      <c r="Y16" s="3445"/>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45"/>
      <c r="Q17" s="1571" t="str">
        <f>B17</f>
        <v>交通便捷度</v>
      </c>
      <c r="R17" s="1572" t="s">
        <v>11</v>
      </c>
      <c r="S17" s="1573">
        <f>F17</f>
        <v>97</v>
      </c>
      <c r="T17" s="1572" t="s">
        <v>11</v>
      </c>
      <c r="U17" s="1573">
        <f>H17</f>
        <v>97</v>
      </c>
      <c r="V17" s="1572" t="s">
        <v>11</v>
      </c>
      <c r="W17" s="1573">
        <f>J17</f>
        <v>100</v>
      </c>
      <c r="X17" s="1566"/>
      <c r="Y17" s="3445"/>
      <c r="Z17" s="1574" t="str">
        <f>Q17</f>
        <v>交通便捷度</v>
      </c>
      <c r="AA17" s="1575">
        <f t="shared" si="3"/>
        <v>1.0309278350515463</v>
      </c>
      <c r="AB17" s="1575">
        <f t="shared" si="4"/>
        <v>1.0309278350515463</v>
      </c>
      <c r="AC17" s="1575">
        <f t="shared" si="5"/>
        <v>1</v>
      </c>
    </row>
    <row r="18" spans="1:29" ht="15">
      <c r="A18" s="531"/>
      <c r="B18" s="594"/>
      <c r="C18" s="872" t="s">
        <v>3335</v>
      </c>
      <c r="D18" s="558"/>
      <c r="E18" s="567" t="s">
        <v>3370</v>
      </c>
      <c r="F18" s="562"/>
      <c r="G18" s="568" t="s">
        <v>3370</v>
      </c>
      <c r="H18" s="554"/>
      <c r="I18" s="567" t="s">
        <v>3335</v>
      </c>
      <c r="J18" s="554"/>
      <c r="K18" s="869"/>
      <c r="L18" s="2142"/>
      <c r="M18" s="2134"/>
      <c r="N18" s="2134"/>
      <c r="O18" s="2141"/>
      <c r="P18" s="3445"/>
      <c r="Q18" s="1571"/>
      <c r="R18" s="1572"/>
      <c r="S18" s="1573"/>
      <c r="T18" s="1572"/>
      <c r="U18" s="1573"/>
      <c r="V18" s="1572"/>
      <c r="W18" s="1573"/>
      <c r="X18" s="1566"/>
      <c r="Y18" s="3445"/>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100</v>
      </c>
      <c r="K19" s="867">
        <v>5</v>
      </c>
      <c r="L19" s="2142"/>
      <c r="M19" s="2134"/>
      <c r="N19" s="2134"/>
      <c r="O19" s="2141"/>
      <c r="P19" s="3445"/>
      <c r="Q19" s="1571" t="str">
        <f>B19</f>
        <v>公共配套设施</v>
      </c>
      <c r="R19" s="1572" t="s">
        <v>11</v>
      </c>
      <c r="S19" s="1573">
        <f>F19</f>
        <v>95</v>
      </c>
      <c r="T19" s="1572" t="s">
        <v>11</v>
      </c>
      <c r="U19" s="1573">
        <f>H19</f>
        <v>95</v>
      </c>
      <c r="V19" s="1572" t="s">
        <v>11</v>
      </c>
      <c r="W19" s="1573">
        <f>J19</f>
        <v>100</v>
      </c>
      <c r="X19" s="1566"/>
      <c r="Y19" s="3445"/>
      <c r="Z19" s="1574" t="str">
        <f>Q19</f>
        <v>公共配套设施</v>
      </c>
      <c r="AA19" s="1575">
        <f t="shared" si="3"/>
        <v>1.0526315789473684</v>
      </c>
      <c r="AB19" s="1575">
        <f t="shared" si="4"/>
        <v>1.0526315789473684</v>
      </c>
      <c r="AC19" s="1575">
        <f t="shared" si="5"/>
        <v>1</v>
      </c>
    </row>
    <row r="20" spans="1:29" ht="15">
      <c r="A20" s="531"/>
      <c r="B20" s="594"/>
      <c r="C20" s="575" t="s">
        <v>3335</v>
      </c>
      <c r="D20" s="554"/>
      <c r="E20" s="555" t="s">
        <v>3370</v>
      </c>
      <c r="F20" s="556"/>
      <c r="G20" s="557" t="s">
        <v>3370</v>
      </c>
      <c r="H20" s="554"/>
      <c r="I20" s="555" t="s">
        <v>3335</v>
      </c>
      <c r="J20" s="554"/>
      <c r="K20" s="869"/>
      <c r="L20" s="2142"/>
      <c r="M20" s="2134"/>
      <c r="N20" s="2134"/>
      <c r="O20" s="2141"/>
      <c r="P20" s="3445"/>
      <c r="Q20" s="1571"/>
      <c r="R20" s="1572"/>
      <c r="S20" s="1573"/>
      <c r="T20" s="1572"/>
      <c r="U20" s="1573"/>
      <c r="V20" s="1572"/>
      <c r="W20" s="1573"/>
      <c r="X20" s="1566"/>
      <c r="Y20" s="3445"/>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45"/>
      <c r="Q21" s="2603" t="str">
        <f>B21</f>
        <v>基础设施水平</v>
      </c>
      <c r="R21" s="1572" t="s">
        <v>11</v>
      </c>
      <c r="S21" s="1573">
        <f>F21</f>
        <v>100</v>
      </c>
      <c r="T21" s="1572" t="s">
        <v>11</v>
      </c>
      <c r="U21" s="1573">
        <f>H21</f>
        <v>100</v>
      </c>
      <c r="V21" s="1572" t="s">
        <v>11</v>
      </c>
      <c r="W21" s="1573">
        <f>J21</f>
        <v>100</v>
      </c>
      <c r="X21" s="2605"/>
      <c r="Y21" s="3445"/>
      <c r="Z21" s="2604" t="str">
        <f>Q21</f>
        <v>基础设施水平</v>
      </c>
      <c r="AA21" s="1575">
        <f t="shared" ref="AA21" si="8">D21/F21</f>
        <v>1</v>
      </c>
      <c r="AB21" s="1575">
        <f t="shared" ref="AB21" si="9">D21/H21</f>
        <v>1</v>
      </c>
      <c r="AC21" s="1575">
        <f t="shared" ref="AC21" si="10">D21/J21</f>
        <v>1</v>
      </c>
    </row>
    <row r="22" spans="1:29" ht="15">
      <c r="A22" s="531"/>
      <c r="B22" s="921"/>
      <c r="C22" s="872" t="s">
        <v>3330</v>
      </c>
      <c r="D22" s="554"/>
      <c r="E22" s="575" t="s">
        <v>3330</v>
      </c>
      <c r="F22" s="556"/>
      <c r="G22" s="575" t="s">
        <v>3330</v>
      </c>
      <c r="H22" s="554"/>
      <c r="I22" s="575" t="s">
        <v>3330</v>
      </c>
      <c r="J22" s="554"/>
      <c r="K22" s="2623"/>
      <c r="L22" s="2142"/>
      <c r="M22" s="2134"/>
      <c r="N22" s="2134"/>
      <c r="O22" s="2141"/>
      <c r="P22" s="3445"/>
      <c r="Q22" s="2603"/>
      <c r="R22" s="1572"/>
      <c r="S22" s="1573"/>
      <c r="T22" s="1572"/>
      <c r="U22" s="1573"/>
      <c r="V22" s="1572"/>
      <c r="W22" s="1573"/>
      <c r="X22" s="2605"/>
      <c r="Y22" s="3445"/>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3</v>
      </c>
      <c r="L23" s="2142"/>
      <c r="M23" s="2134"/>
      <c r="N23" s="2134"/>
      <c r="O23" s="2141"/>
      <c r="P23" s="3445"/>
      <c r="Q23" s="1571" t="str">
        <f>B23</f>
        <v>自然及人文环境</v>
      </c>
      <c r="R23" s="1572" t="s">
        <v>11</v>
      </c>
      <c r="S23" s="1573">
        <f>F23</f>
        <v>100</v>
      </c>
      <c r="T23" s="1572" t="s">
        <v>11</v>
      </c>
      <c r="U23" s="1573">
        <f>H23</f>
        <v>100</v>
      </c>
      <c r="V23" s="1572" t="s">
        <v>11</v>
      </c>
      <c r="W23" s="1573">
        <f>J23</f>
        <v>100</v>
      </c>
      <c r="X23" s="1566"/>
      <c r="Y23" s="3445"/>
      <c r="Z23" s="1574" t="str">
        <f>Q23</f>
        <v>自然及人文环境</v>
      </c>
      <c r="AA23" s="1575">
        <f t="shared" si="3"/>
        <v>1</v>
      </c>
      <c r="AB23" s="1575">
        <f t="shared" si="4"/>
        <v>1</v>
      </c>
      <c r="AC23" s="1575">
        <f t="shared" si="5"/>
        <v>1</v>
      </c>
    </row>
    <row r="24" spans="1:29" ht="15">
      <c r="A24" s="531"/>
      <c r="B24" s="594"/>
      <c r="C24" s="575" t="s">
        <v>3335</v>
      </c>
      <c r="D24" s="554"/>
      <c r="E24" s="555" t="s">
        <v>3335</v>
      </c>
      <c r="F24" s="556"/>
      <c r="G24" s="557" t="s">
        <v>3335</v>
      </c>
      <c r="H24" s="554"/>
      <c r="I24" s="555" t="s">
        <v>3335</v>
      </c>
      <c r="J24" s="554"/>
      <c r="K24" s="869"/>
      <c r="L24" s="2142"/>
      <c r="M24" s="2134"/>
      <c r="N24" s="2134"/>
      <c r="O24" s="2141"/>
      <c r="P24" s="3445"/>
      <c r="Q24" s="1571"/>
      <c r="R24" s="1572"/>
      <c r="S24" s="1573"/>
      <c r="T24" s="1572"/>
      <c r="U24" s="1573"/>
      <c r="V24" s="1572"/>
      <c r="W24" s="1573"/>
      <c r="X24" s="1566"/>
      <c r="Y24" s="3445"/>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45"/>
      <c r="Q25" s="1571" t="str">
        <f t="shared" ref="Q25:Q46" si="11">B25</f>
        <v>楼层-1</v>
      </c>
      <c r="R25" s="1572" t="s">
        <v>11</v>
      </c>
      <c r="S25" s="1573">
        <f>F25</f>
        <v>100</v>
      </c>
      <c r="T25" s="1572" t="s">
        <v>11</v>
      </c>
      <c r="U25" s="1573">
        <f>H25</f>
        <v>100</v>
      </c>
      <c r="V25" s="1572" t="s">
        <v>11</v>
      </c>
      <c r="W25" s="1573">
        <f>J25</f>
        <v>100</v>
      </c>
      <c r="X25" s="1566"/>
      <c r="Y25" s="3445"/>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45"/>
      <c r="Q26" s="1571" t="str">
        <f t="shared" si="11"/>
        <v>朝向</v>
      </c>
      <c r="R26" s="1572" t="s">
        <v>11</v>
      </c>
      <c r="S26" s="1573">
        <f>F26</f>
        <v>100</v>
      </c>
      <c r="T26" s="1572" t="s">
        <v>11</v>
      </c>
      <c r="U26" s="1573">
        <f>H26</f>
        <v>100</v>
      </c>
      <c r="V26" s="1572" t="s">
        <v>11</v>
      </c>
      <c r="W26" s="1573">
        <f>J26</f>
        <v>100</v>
      </c>
      <c r="X26" s="1566"/>
      <c r="Y26" s="3445"/>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45"/>
      <c r="Q27" s="1150" t="str">
        <f t="shared" si="11"/>
        <v>道路级别</v>
      </c>
      <c r="R27" s="1567" t="s">
        <v>11</v>
      </c>
      <c r="S27" s="1568">
        <f>F27</f>
        <v>100</v>
      </c>
      <c r="T27" s="1567" t="s">
        <v>11</v>
      </c>
      <c r="U27" s="1568">
        <f>H27</f>
        <v>100</v>
      </c>
      <c r="V27" s="1567" t="s">
        <v>11</v>
      </c>
      <c r="W27" s="1568">
        <f>J27</f>
        <v>100</v>
      </c>
      <c r="X27" s="1569"/>
      <c r="Y27" s="3445"/>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4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5"/>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45"/>
      <c r="Q29" s="1571">
        <f t="shared" si="11"/>
        <v>111</v>
      </c>
      <c r="R29" s="1572" t="s">
        <v>11</v>
      </c>
      <c r="S29" s="1573">
        <f t="shared" si="12"/>
        <v>100</v>
      </c>
      <c r="T29" s="1572" t="s">
        <v>11</v>
      </c>
      <c r="U29" s="1573">
        <f t="shared" si="13"/>
        <v>100</v>
      </c>
      <c r="V29" s="1572" t="s">
        <v>11</v>
      </c>
      <c r="W29" s="1573">
        <f t="shared" si="14"/>
        <v>100</v>
      </c>
      <c r="X29" s="1566"/>
      <c r="Y29" s="344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45"/>
      <c r="Q30" s="1571">
        <f t="shared" si="11"/>
        <v>111</v>
      </c>
      <c r="R30" s="1572" t="s">
        <v>11</v>
      </c>
      <c r="S30" s="1573">
        <f t="shared" si="12"/>
        <v>100</v>
      </c>
      <c r="T30" s="1572" t="s">
        <v>11</v>
      </c>
      <c r="U30" s="1573">
        <f t="shared" si="13"/>
        <v>100</v>
      </c>
      <c r="V30" s="1572" t="s">
        <v>11</v>
      </c>
      <c r="W30" s="1573">
        <f t="shared" si="14"/>
        <v>100</v>
      </c>
      <c r="X30" s="1566"/>
      <c r="Y30" s="3445"/>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45"/>
      <c r="Q31" s="1571">
        <f t="shared" si="11"/>
        <v>111</v>
      </c>
      <c r="R31" s="1572" t="s">
        <v>11</v>
      </c>
      <c r="S31" s="1573">
        <f t="shared" si="12"/>
        <v>100</v>
      </c>
      <c r="T31" s="1572" t="s">
        <v>11</v>
      </c>
      <c r="U31" s="1573">
        <f t="shared" si="13"/>
        <v>100</v>
      </c>
      <c r="V31" s="1572" t="s">
        <v>11</v>
      </c>
      <c r="W31" s="1573">
        <f t="shared" si="14"/>
        <v>100</v>
      </c>
      <c r="X31" s="1566"/>
      <c r="Y31" s="3445"/>
      <c r="Z31" s="1574">
        <f t="shared" si="15"/>
        <v>111</v>
      </c>
      <c r="AA31" s="1575">
        <f t="shared" si="3"/>
        <v>1</v>
      </c>
      <c r="AB31" s="1575">
        <f t="shared" si="4"/>
        <v>1</v>
      </c>
      <c r="AC31" s="1575">
        <f t="shared" si="5"/>
        <v>1</v>
      </c>
    </row>
    <row r="32" spans="1:29" ht="15">
      <c r="A32" s="2931" t="s">
        <v>2754</v>
      </c>
      <c r="B32" s="171" t="s">
        <v>725</v>
      </c>
      <c r="C32" s="877" t="s">
        <v>3390</v>
      </c>
      <c r="D32" s="596">
        <v>100</v>
      </c>
      <c r="E32" s="878" t="s">
        <v>3390</v>
      </c>
      <c r="F32" s="574">
        <f>SUMIF(100:100,E32,101:101)-SUMIF(100:100,C32,101:101)+100</f>
        <v>100</v>
      </c>
      <c r="G32" s="877" t="s">
        <v>3390</v>
      </c>
      <c r="H32" s="596">
        <f>SUMIF(100:100,G32,101:101)-SUMIF(100:100,C32,101:101)+100</f>
        <v>100</v>
      </c>
      <c r="I32" s="878" t="s">
        <v>3390</v>
      </c>
      <c r="J32" s="539">
        <f>SUMIF(100:100,I32,101:101)-SUMIF(100:100,C32,101:101)+100</f>
        <v>100</v>
      </c>
      <c r="K32" s="863">
        <v>3</v>
      </c>
      <c r="L32" s="2142"/>
      <c r="M32" s="2134"/>
      <c r="N32" s="2134"/>
      <c r="O32" s="2141"/>
      <c r="P32" s="3446" t="s">
        <v>550</v>
      </c>
      <c r="Q32" s="1571" t="str">
        <f t="shared" si="11"/>
        <v>建筑类型</v>
      </c>
      <c r="R32" s="1572" t="s">
        <v>11</v>
      </c>
      <c r="S32" s="1573">
        <f t="shared" si="12"/>
        <v>100</v>
      </c>
      <c r="T32" s="1572" t="s">
        <v>11</v>
      </c>
      <c r="U32" s="1573">
        <f t="shared" si="13"/>
        <v>100</v>
      </c>
      <c r="V32" s="1572" t="s">
        <v>11</v>
      </c>
      <c r="W32" s="1573">
        <f t="shared" si="14"/>
        <v>100</v>
      </c>
      <c r="X32" s="1566"/>
      <c r="Y32" s="3447"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47"/>
      <c r="Q33" s="1604" t="str">
        <f t="shared" si="11"/>
        <v>项目建筑规模</v>
      </c>
      <c r="R33" s="1576" t="s">
        <v>11</v>
      </c>
      <c r="S33" s="1577">
        <f t="shared" si="12"/>
        <v>100</v>
      </c>
      <c r="T33" s="1576" t="s">
        <v>11</v>
      </c>
      <c r="U33" s="1577">
        <f t="shared" si="13"/>
        <v>94</v>
      </c>
      <c r="V33" s="1576" t="s">
        <v>11</v>
      </c>
      <c r="W33" s="1577">
        <f t="shared" si="14"/>
        <v>98</v>
      </c>
      <c r="X33" s="1578"/>
      <c r="Y33" s="3447"/>
      <c r="Z33" s="1579" t="str">
        <f t="shared" si="15"/>
        <v>项目建筑规模</v>
      </c>
      <c r="AA33" s="1575">
        <f t="shared" si="3"/>
        <v>1</v>
      </c>
      <c r="AB33" s="1575">
        <f t="shared" si="4"/>
        <v>1.0638297872340425</v>
      </c>
      <c r="AC33" s="1575">
        <f t="shared" si="5"/>
        <v>1.0204081632653061</v>
      </c>
    </row>
    <row r="34" spans="1:29" ht="15">
      <c r="A34" s="593"/>
      <c r="B34" s="526" t="s">
        <v>727</v>
      </c>
      <c r="C34" s="880" t="s">
        <v>3407</v>
      </c>
      <c r="D34" s="539">
        <v>100</v>
      </c>
      <c r="E34" s="881" t="s">
        <v>3407</v>
      </c>
      <c r="F34" s="574">
        <f>SUMIF(105:105,E34,106:106)-SUMIF(105:105,C34,106:106)+100</f>
        <v>100</v>
      </c>
      <c r="G34" s="880" t="s">
        <v>3407</v>
      </c>
      <c r="H34" s="539">
        <f>SUMIF(105:105,G34,106:106)-SUMIF(105:105,C34,106:106)+100</f>
        <v>100</v>
      </c>
      <c r="I34" s="881" t="s">
        <v>3407</v>
      </c>
      <c r="J34" s="539">
        <f>SUMIF(105:105,I34,106:106)-SUMIF(105:105,C34,106:106)+100</f>
        <v>100</v>
      </c>
      <c r="K34" s="863">
        <v>2</v>
      </c>
      <c r="L34" s="2142"/>
      <c r="M34" s="2134"/>
      <c r="N34" s="2134"/>
      <c r="O34" s="2141"/>
      <c r="P34" s="3447"/>
      <c r="Q34" s="1571" t="str">
        <f t="shared" si="11"/>
        <v>建筑结构</v>
      </c>
      <c r="R34" s="1572" t="s">
        <v>11</v>
      </c>
      <c r="S34" s="1573">
        <f t="shared" si="12"/>
        <v>100</v>
      </c>
      <c r="T34" s="1572" t="s">
        <v>11</v>
      </c>
      <c r="U34" s="1573">
        <f t="shared" si="13"/>
        <v>100</v>
      </c>
      <c r="V34" s="1572" t="s">
        <v>11</v>
      </c>
      <c r="W34" s="1573">
        <f t="shared" si="14"/>
        <v>100</v>
      </c>
      <c r="X34" s="1566"/>
      <c r="Y34" s="3447"/>
      <c r="Z34" s="1574" t="str">
        <f t="shared" si="15"/>
        <v>建筑结构</v>
      </c>
      <c r="AA34" s="1575">
        <f t="shared" si="3"/>
        <v>1</v>
      </c>
      <c r="AB34" s="1575">
        <f t="shared" si="4"/>
        <v>1</v>
      </c>
      <c r="AC34" s="1575">
        <f t="shared" si="5"/>
        <v>1</v>
      </c>
    </row>
    <row r="35" spans="1:29" ht="15">
      <c r="A35" s="593"/>
      <c r="B35" s="526" t="s">
        <v>728</v>
      </c>
      <c r="C35" s="598" t="s">
        <v>3409</v>
      </c>
      <c r="D35" s="539">
        <v>100</v>
      </c>
      <c r="E35" s="873" t="s">
        <v>3409</v>
      </c>
      <c r="F35" s="574">
        <f>SUMIF(107:107,E35,108:108)-SUMIF(107:107,C35,108:108)+100</f>
        <v>100</v>
      </c>
      <c r="G35" s="598" t="s">
        <v>3409</v>
      </c>
      <c r="H35" s="539">
        <f>SUMIF(107:107,G35,108:108)-SUMIF(107:107,C35,108:108)+100</f>
        <v>100</v>
      </c>
      <c r="I35" s="873" t="s">
        <v>3409</v>
      </c>
      <c r="J35" s="539">
        <f>SUMIF(107:107,I35,108:108)-SUMIF(107:107,C35,108:108)+100</f>
        <v>100</v>
      </c>
      <c r="K35" s="863">
        <v>2</v>
      </c>
      <c r="L35" s="2142"/>
      <c r="M35" s="2134"/>
      <c r="N35" s="2134"/>
      <c r="O35" s="2141"/>
      <c r="P35" s="3447"/>
      <c r="Q35" s="1571" t="str">
        <f t="shared" si="11"/>
        <v>建筑品质</v>
      </c>
      <c r="R35" s="1572" t="s">
        <v>11</v>
      </c>
      <c r="S35" s="1573">
        <f t="shared" si="12"/>
        <v>100</v>
      </c>
      <c r="T35" s="1572" t="s">
        <v>11</v>
      </c>
      <c r="U35" s="1573">
        <f t="shared" si="13"/>
        <v>100</v>
      </c>
      <c r="V35" s="1572" t="s">
        <v>11</v>
      </c>
      <c r="W35" s="1573">
        <f t="shared" si="14"/>
        <v>100</v>
      </c>
      <c r="X35" s="1566"/>
      <c r="Y35" s="3447"/>
      <c r="Z35" s="1574" t="str">
        <f t="shared" si="15"/>
        <v>建筑品质</v>
      </c>
      <c r="AA35" s="1575">
        <f t="shared" si="3"/>
        <v>1</v>
      </c>
      <c r="AB35" s="1575">
        <f t="shared" si="4"/>
        <v>1</v>
      </c>
      <c r="AC35" s="1575">
        <f t="shared" si="5"/>
        <v>1</v>
      </c>
    </row>
    <row r="36" spans="1:29" ht="15">
      <c r="A36" s="593"/>
      <c r="B36" s="526" t="s">
        <v>729</v>
      </c>
      <c r="C36" s="598" t="s">
        <v>3400</v>
      </c>
      <c r="D36" s="539">
        <v>100</v>
      </c>
      <c r="E36" s="873" t="s">
        <v>3400</v>
      </c>
      <c r="F36" s="574">
        <f>SUMIF(109:109,E36,110:110)-SUMIF(109:109,C36,110:110)+100</f>
        <v>100</v>
      </c>
      <c r="G36" s="598" t="s">
        <v>3400</v>
      </c>
      <c r="H36" s="539">
        <f>SUMIF(109:109,G36,110:110)-SUMIF(109:109,C36,110:110)+100</f>
        <v>100</v>
      </c>
      <c r="I36" s="873" t="s">
        <v>3400</v>
      </c>
      <c r="J36" s="539">
        <f>SUMIF(109:109,I36,110:110)-SUMIF(109:109,C36,110:110)+100</f>
        <v>100</v>
      </c>
      <c r="K36" s="863">
        <v>1</v>
      </c>
      <c r="L36" s="2142"/>
      <c r="M36" s="2134"/>
      <c r="N36" s="2134"/>
      <c r="O36" s="2141"/>
      <c r="P36" s="3447"/>
      <c r="Q36" s="1571" t="str">
        <f t="shared" si="11"/>
        <v>公共部分装修</v>
      </c>
      <c r="R36" s="1572" t="s">
        <v>11</v>
      </c>
      <c r="S36" s="1573">
        <f t="shared" si="12"/>
        <v>100</v>
      </c>
      <c r="T36" s="1572" t="s">
        <v>11</v>
      </c>
      <c r="U36" s="1573">
        <f t="shared" si="13"/>
        <v>100</v>
      </c>
      <c r="V36" s="1572" t="s">
        <v>11</v>
      </c>
      <c r="W36" s="1573">
        <f t="shared" si="14"/>
        <v>100</v>
      </c>
      <c r="X36" s="1566"/>
      <c r="Y36" s="3447"/>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47"/>
      <c r="Q37" s="1150" t="str">
        <f t="shared" si="11"/>
        <v>成新度</v>
      </c>
      <c r="R37" s="1567" t="s">
        <v>11</v>
      </c>
      <c r="S37" s="1568">
        <f t="shared" si="12"/>
        <v>100</v>
      </c>
      <c r="T37" s="1567" t="s">
        <v>11</v>
      </c>
      <c r="U37" s="1568">
        <f t="shared" si="13"/>
        <v>100</v>
      </c>
      <c r="V37" s="1567" t="s">
        <v>11</v>
      </c>
      <c r="W37" s="1568">
        <f t="shared" si="14"/>
        <v>100</v>
      </c>
      <c r="X37" s="1569"/>
      <c r="Y37" s="3447"/>
      <c r="Z37" s="1149" t="str">
        <f t="shared" si="15"/>
        <v>成新度</v>
      </c>
      <c r="AA37" s="1570">
        <f t="shared" si="3"/>
        <v>1</v>
      </c>
      <c r="AB37" s="1570">
        <f t="shared" si="4"/>
        <v>1</v>
      </c>
      <c r="AC37" s="1570">
        <f t="shared" si="5"/>
        <v>1</v>
      </c>
    </row>
    <row r="38" spans="1:29" ht="15">
      <c r="A38" s="593"/>
      <c r="B38" s="526" t="s">
        <v>731</v>
      </c>
      <c r="C38" s="598" t="s">
        <v>3412</v>
      </c>
      <c r="D38" s="539">
        <v>100</v>
      </c>
      <c r="E38" s="873" t="s">
        <v>3412</v>
      </c>
      <c r="F38" s="574">
        <f>SUMIF(114:114,E38,115:115)-SUMIF(114:114,C38,115:115)+100</f>
        <v>100</v>
      </c>
      <c r="G38" s="598" t="s">
        <v>3412</v>
      </c>
      <c r="H38" s="539">
        <f>SUMIF(114:114,G38,115:115)-SUMIF(114:114,C38,115:115)+100</f>
        <v>100</v>
      </c>
      <c r="I38" s="873" t="s">
        <v>3412</v>
      </c>
      <c r="J38" s="539">
        <f>SUMIF(114:114,I38,115:115)-SUMIF(114:114,C38,115:115)+100</f>
        <v>100</v>
      </c>
      <c r="K38" s="863">
        <v>2</v>
      </c>
      <c r="L38" s="2142"/>
      <c r="M38" s="2134"/>
      <c r="N38" s="2134"/>
      <c r="O38" s="2141"/>
      <c r="P38" s="3447" t="s">
        <v>550</v>
      </c>
      <c r="Q38" s="1571" t="str">
        <f t="shared" si="11"/>
        <v>物业管理</v>
      </c>
      <c r="R38" s="1572" t="s">
        <v>11</v>
      </c>
      <c r="S38" s="1573">
        <f t="shared" si="12"/>
        <v>100</v>
      </c>
      <c r="T38" s="1572" t="s">
        <v>11</v>
      </c>
      <c r="U38" s="1573">
        <f t="shared" si="13"/>
        <v>100</v>
      </c>
      <c r="V38" s="1572" t="s">
        <v>11</v>
      </c>
      <c r="W38" s="1573">
        <f t="shared" si="14"/>
        <v>100</v>
      </c>
      <c r="X38" s="1566"/>
      <c r="Y38" s="3447" t="s">
        <v>550</v>
      </c>
      <c r="Z38" s="1574" t="str">
        <f t="shared" si="15"/>
        <v>物业管理</v>
      </c>
      <c r="AA38" s="1575">
        <f t="shared" si="3"/>
        <v>1</v>
      </c>
      <c r="AB38" s="1575">
        <f t="shared" si="4"/>
        <v>1</v>
      </c>
      <c r="AC38" s="1575">
        <f t="shared" si="5"/>
        <v>1</v>
      </c>
    </row>
    <row r="39" spans="1:29" ht="15">
      <c r="A39" s="593"/>
      <c r="B39" s="1895" t="s">
        <v>2564</v>
      </c>
      <c r="C39" s="598" t="s">
        <v>3330</v>
      </c>
      <c r="D39" s="539">
        <v>100</v>
      </c>
      <c r="E39" s="873" t="s">
        <v>3330</v>
      </c>
      <c r="F39" s="574">
        <f>SUMIF(116:116,E39,117:117)-SUMIF(116:116,C39,117:117)+100</f>
        <v>100</v>
      </c>
      <c r="G39" s="598" t="s">
        <v>3330</v>
      </c>
      <c r="H39" s="539">
        <f>SUMIF(116:116,G39,117:117)-SUMIF(116:116,C39,117:117)+100</f>
        <v>100</v>
      </c>
      <c r="I39" s="873" t="s">
        <v>3330</v>
      </c>
      <c r="J39" s="539">
        <f>SUMIF(116:116,I39,117:117)-SUMIF(116:116,C39,117:117)+100</f>
        <v>100</v>
      </c>
      <c r="K39" s="863">
        <v>2</v>
      </c>
      <c r="L39" s="2142"/>
      <c r="M39" s="2134"/>
      <c r="N39" s="2134"/>
      <c r="O39" s="2141"/>
      <c r="P39" s="3447"/>
      <c r="Q39" s="1571" t="str">
        <f t="shared" si="11"/>
        <v>市政基础设施</v>
      </c>
      <c r="R39" s="1572" t="s">
        <v>11</v>
      </c>
      <c r="S39" s="1573">
        <f t="shared" si="12"/>
        <v>100</v>
      </c>
      <c r="T39" s="1572" t="s">
        <v>11</v>
      </c>
      <c r="U39" s="1573">
        <f t="shared" si="13"/>
        <v>100</v>
      </c>
      <c r="V39" s="1572" t="s">
        <v>11</v>
      </c>
      <c r="W39" s="1573">
        <f t="shared" si="14"/>
        <v>100</v>
      </c>
      <c r="X39" s="1566"/>
      <c r="Y39" s="3447"/>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47"/>
      <c r="Q40" s="1571" t="str">
        <f t="shared" si="11"/>
        <v>房型</v>
      </c>
      <c r="R40" s="1572" t="s">
        <v>11</v>
      </c>
      <c r="S40" s="1573">
        <f t="shared" si="12"/>
        <v>100</v>
      </c>
      <c r="T40" s="1572" t="s">
        <v>11</v>
      </c>
      <c r="U40" s="1573">
        <f t="shared" si="13"/>
        <v>100</v>
      </c>
      <c r="V40" s="1572" t="s">
        <v>11</v>
      </c>
      <c r="W40" s="1573">
        <f t="shared" si="14"/>
        <v>100</v>
      </c>
      <c r="X40" s="1566"/>
      <c r="Y40" s="3447"/>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47"/>
      <c r="Q41" s="1604" t="str">
        <f t="shared" si="11"/>
        <v>单套/主力户型建筑面积</v>
      </c>
      <c r="R41" s="1576" t="s">
        <v>11</v>
      </c>
      <c r="S41" s="1577">
        <f t="shared" si="12"/>
        <v>100</v>
      </c>
      <c r="T41" s="1576" t="s">
        <v>11</v>
      </c>
      <c r="U41" s="1577">
        <f t="shared" si="13"/>
        <v>100</v>
      </c>
      <c r="V41" s="1576" t="s">
        <v>11</v>
      </c>
      <c r="W41" s="1577">
        <f t="shared" si="14"/>
        <v>100</v>
      </c>
      <c r="X41" s="1578"/>
      <c r="Y41" s="3447"/>
      <c r="Z41" s="1579" t="str">
        <f t="shared" si="15"/>
        <v>单套/主力户型建筑面积</v>
      </c>
      <c r="AA41" s="1575">
        <f t="shared" si="3"/>
        <v>1</v>
      </c>
      <c r="AB41" s="1575">
        <f t="shared" si="4"/>
        <v>1</v>
      </c>
      <c r="AC41" s="1575">
        <f t="shared" si="5"/>
        <v>1</v>
      </c>
    </row>
    <row r="42" spans="1:29" ht="15">
      <c r="A42" s="593"/>
      <c r="B42" s="526" t="s">
        <v>734</v>
      </c>
      <c r="C42" s="598" t="s">
        <v>3400</v>
      </c>
      <c r="D42" s="539">
        <v>100</v>
      </c>
      <c r="E42" s="873" t="s">
        <v>3404</v>
      </c>
      <c r="F42" s="574">
        <f>SUMIF(122:122,E42,123:123)-SUMIF(122:122,C42,123:123)+100</f>
        <v>91</v>
      </c>
      <c r="G42" s="598" t="s">
        <v>3400</v>
      </c>
      <c r="H42" s="539">
        <f>SUMIF(122:122,G42,123:123)-SUMIF(122:122,C42,123:123)+100</f>
        <v>100</v>
      </c>
      <c r="I42" s="873" t="s">
        <v>3404</v>
      </c>
      <c r="J42" s="539">
        <f>SUMIF(122:122,I42,123:123)-SUMIF(122:122,C42,123:123)+100</f>
        <v>91</v>
      </c>
      <c r="K42" s="863">
        <v>3</v>
      </c>
      <c r="L42" s="2142"/>
      <c r="M42" s="2134"/>
      <c r="N42" s="2134"/>
      <c r="O42" s="2141"/>
      <c r="P42" s="3447"/>
      <c r="Q42" s="1571" t="str">
        <f t="shared" si="11"/>
        <v>内部装修</v>
      </c>
      <c r="R42" s="1572" t="s">
        <v>11</v>
      </c>
      <c r="S42" s="1573">
        <f t="shared" si="12"/>
        <v>91</v>
      </c>
      <c r="T42" s="1572" t="s">
        <v>11</v>
      </c>
      <c r="U42" s="1573">
        <f t="shared" si="13"/>
        <v>100</v>
      </c>
      <c r="V42" s="1572" t="s">
        <v>11</v>
      </c>
      <c r="W42" s="1573">
        <f t="shared" si="14"/>
        <v>91</v>
      </c>
      <c r="X42" s="1566"/>
      <c r="Y42" s="3447"/>
      <c r="Z42" s="1574" t="str">
        <f t="shared" si="15"/>
        <v>内部装修</v>
      </c>
      <c r="AA42" s="1575">
        <f t="shared" si="3"/>
        <v>1.098901098901099</v>
      </c>
      <c r="AB42" s="1575">
        <f t="shared" si="4"/>
        <v>1</v>
      </c>
      <c r="AC42" s="1575">
        <f t="shared" si="5"/>
        <v>1.098901098901099</v>
      </c>
    </row>
    <row r="43" spans="1:29" ht="27">
      <c r="A43" s="593"/>
      <c r="B43" s="526" t="s">
        <v>735</v>
      </c>
      <c r="C43" s="598" t="s">
        <v>3369</v>
      </c>
      <c r="D43" s="539">
        <v>100</v>
      </c>
      <c r="E43" s="873" t="s">
        <v>3369</v>
      </c>
      <c r="F43" s="574">
        <f>SUMIF(124:124,E43,125:125)-SUMIF(124:124,C43,125:125)+100</f>
        <v>100</v>
      </c>
      <c r="G43" s="598" t="s">
        <v>3369</v>
      </c>
      <c r="H43" s="539">
        <f>SUMIF(124:124,G43,125:125)-SUMIF(124:124,C43,125:125)+100</f>
        <v>100</v>
      </c>
      <c r="I43" s="873" t="s">
        <v>3369</v>
      </c>
      <c r="J43" s="539">
        <f>SUMIF(124:124,I43,125:125)-SUMIF(124:124,C43,125:125)+100</f>
        <v>100</v>
      </c>
      <c r="K43" s="863">
        <v>2</v>
      </c>
      <c r="L43" s="2142"/>
      <c r="M43" s="2134"/>
      <c r="N43" s="2134"/>
      <c r="O43" s="2141"/>
      <c r="P43" s="3447"/>
      <c r="Q43" s="1571" t="str">
        <f t="shared" si="11"/>
        <v>内部装修维护情况</v>
      </c>
      <c r="R43" s="1572" t="s">
        <v>11</v>
      </c>
      <c r="S43" s="1573">
        <f t="shared" si="12"/>
        <v>100</v>
      </c>
      <c r="T43" s="1572" t="s">
        <v>11</v>
      </c>
      <c r="U43" s="1573">
        <f t="shared" si="13"/>
        <v>100</v>
      </c>
      <c r="V43" s="1572" t="s">
        <v>11</v>
      </c>
      <c r="W43" s="1573">
        <f t="shared" si="14"/>
        <v>100</v>
      </c>
      <c r="X43" s="1566"/>
      <c r="Y43" s="3447"/>
      <c r="Z43" s="1574" t="str">
        <f t="shared" si="15"/>
        <v>内部装修维护情况</v>
      </c>
      <c r="AA43" s="1575">
        <f t="shared" si="3"/>
        <v>1</v>
      </c>
      <c r="AB43" s="1575">
        <f t="shared" si="4"/>
        <v>1</v>
      </c>
      <c r="AC43" s="1575">
        <f t="shared" si="5"/>
        <v>1</v>
      </c>
    </row>
    <row r="44" spans="1:29" s="1219" customFormat="1" ht="15">
      <c r="A44" s="599"/>
      <c r="B44" s="3220" t="s">
        <v>3420</v>
      </c>
      <c r="C44" s="3221" t="s">
        <v>3421</v>
      </c>
      <c r="D44" s="254">
        <v>100</v>
      </c>
      <c r="E44" s="3221" t="s">
        <v>3421</v>
      </c>
      <c r="F44" s="862">
        <f>SUMIF(126:126,E44,127:127)-SUMIF(126:126,C44,127:127)+100</f>
        <v>100</v>
      </c>
      <c r="G44" s="3221" t="s">
        <v>3422</v>
      </c>
      <c r="H44" s="254">
        <f>SUMIF(126:126,G44,127:127)-SUMIF(126:126,C44,127:127)+100</f>
        <v>93</v>
      </c>
      <c r="I44" s="3221" t="s">
        <v>3422</v>
      </c>
      <c r="J44" s="254">
        <f>SUMIF(126:126,I44,127:127)-SUMIF(126:126,C44,127:127)+100</f>
        <v>93</v>
      </c>
      <c r="K44" s="864"/>
      <c r="L44" s="2135"/>
      <c r="M44" s="2136"/>
      <c r="N44" s="2136"/>
      <c r="O44" s="2137"/>
      <c r="P44" s="3447"/>
      <c r="Q44" s="1150" t="str">
        <f t="shared" si="11"/>
        <v>层高</v>
      </c>
      <c r="R44" s="1567" t="s">
        <v>11</v>
      </c>
      <c r="S44" s="1568">
        <f t="shared" si="12"/>
        <v>100</v>
      </c>
      <c r="T44" s="1567" t="s">
        <v>11</v>
      </c>
      <c r="U44" s="1568">
        <f t="shared" si="13"/>
        <v>93</v>
      </c>
      <c r="V44" s="1567" t="s">
        <v>11</v>
      </c>
      <c r="W44" s="1568">
        <f t="shared" si="14"/>
        <v>93</v>
      </c>
      <c r="X44" s="1569"/>
      <c r="Y44" s="3447"/>
      <c r="Z44" s="1149"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47"/>
      <c r="Q45" s="1571">
        <f t="shared" si="11"/>
        <v>111</v>
      </c>
      <c r="R45" s="1572" t="s">
        <v>11</v>
      </c>
      <c r="S45" s="1573">
        <f t="shared" si="12"/>
        <v>100</v>
      </c>
      <c r="T45" s="1572" t="s">
        <v>11</v>
      </c>
      <c r="U45" s="1573">
        <f t="shared" si="13"/>
        <v>100</v>
      </c>
      <c r="V45" s="1572" t="s">
        <v>11</v>
      </c>
      <c r="W45" s="1573">
        <f t="shared" si="14"/>
        <v>100</v>
      </c>
      <c r="X45" s="1566"/>
      <c r="Y45" s="3447"/>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1571">
        <f t="shared" si="11"/>
        <v>111</v>
      </c>
      <c r="R46" s="1572" t="s">
        <v>10</v>
      </c>
      <c r="S46" s="1573">
        <f t="shared" si="12"/>
        <v>100</v>
      </c>
      <c r="T46" s="1572" t="s">
        <v>10</v>
      </c>
      <c r="U46" s="1573">
        <f t="shared" si="13"/>
        <v>100</v>
      </c>
      <c r="V46" s="1572" t="s">
        <v>10</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10" t="str">
        <f>A47</f>
        <v>成交单价（元/平方米）</v>
      </c>
      <c r="Q47" s="3410"/>
      <c r="R47" s="3483">
        <f>E47</f>
        <v>26000</v>
      </c>
      <c r="S47" s="3483"/>
      <c r="T47" s="3483">
        <f>G47</f>
        <v>27000</v>
      </c>
      <c r="U47" s="3483"/>
      <c r="V47" s="3483">
        <f>I47</f>
        <v>26500</v>
      </c>
      <c r="W47" s="3483"/>
      <c r="X47" s="1558"/>
      <c r="Y47" s="1580"/>
      <c r="Z47" s="1558"/>
      <c r="AA47" s="1558"/>
      <c r="AB47" s="1558"/>
      <c r="AC47" s="1558"/>
    </row>
    <row r="48" spans="1:29" ht="15.75" thickBot="1">
      <c r="A48" s="614" t="s">
        <v>2759</v>
      </c>
      <c r="B48" s="887"/>
      <c r="C48" s="2657">
        <f>R49</f>
        <v>32378</v>
      </c>
      <c r="D48" s="2658"/>
      <c r="E48" s="2659">
        <f>R48</f>
        <v>32314</v>
      </c>
      <c r="F48" s="2659"/>
      <c r="G48" s="2657">
        <f>T48</f>
        <v>33185</v>
      </c>
      <c r="H48" s="2658"/>
      <c r="I48" s="2659">
        <f>V48</f>
        <v>31635</v>
      </c>
      <c r="J48" s="2658"/>
      <c r="K48" s="1606"/>
      <c r="L48" s="2144"/>
      <c r="M48" s="2145"/>
      <c r="N48" s="2145"/>
      <c r="O48" s="2145"/>
      <c r="P48" s="3410" t="str">
        <f>A48</f>
        <v>比较价格（元/平方米）</v>
      </c>
      <c r="Q48" s="3410"/>
      <c r="R48" s="3483">
        <f>IF(F1="售价",ROUND(PRODUCT(R47,AA7:AA46),0),ROUND(PRODUCT(R47,AA7:AA46),1))</f>
        <v>32314</v>
      </c>
      <c r="S48" s="3483"/>
      <c r="T48" s="3483">
        <f>IF(F1="售价",ROUND(PRODUCT(T47,AB7:AB46),0),ROUND(PRODUCT(T47,AB7:AB46),1))</f>
        <v>33185</v>
      </c>
      <c r="U48" s="3483"/>
      <c r="V48" s="3483">
        <f>IF(F1="售价",ROUND(PRODUCT(V47,AC7:AC46),0),ROUND(PRODUCT(V47,AC7:AC46),1))</f>
        <v>31635</v>
      </c>
      <c r="W48" s="3483"/>
      <c r="X48" s="1558"/>
      <c r="Y48" s="1558"/>
      <c r="Z48" s="1558"/>
      <c r="AA48" s="1558"/>
      <c r="AB48" s="1558"/>
      <c r="AC48" s="1558"/>
    </row>
    <row r="49" spans="1:29" ht="15.75" thickBot="1">
      <c r="A49" s="620" t="s">
        <v>2929</v>
      </c>
      <c r="B49" s="621"/>
      <c r="C49" s="2660">
        <f>R49</f>
        <v>32378</v>
      </c>
      <c r="D49" s="2660"/>
      <c r="E49" s="2660"/>
      <c r="F49" s="2660"/>
      <c r="G49" s="2660"/>
      <c r="H49" s="2660"/>
      <c r="I49" s="2660"/>
      <c r="J49" s="2660"/>
      <c r="K49" s="1607"/>
      <c r="L49" s="2144"/>
      <c r="M49" s="2145"/>
      <c r="N49" s="2145"/>
      <c r="O49" s="2145"/>
      <c r="P49" s="3407" t="str">
        <f>A49</f>
        <v>估价对象XX用房的比较价格（楼面单价，元/平方米）</v>
      </c>
      <c r="Q49" s="3408"/>
      <c r="R49" s="3482">
        <f>IF(F1="售价",ROUND(AVERAGE(R48:V48),0),ROUND(AVERAGE(R48:V48),1))</f>
        <v>32378</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0.24284615384615393</v>
      </c>
      <c r="F52" s="626" t="str">
        <f>IF(OR(E52&gt;=0.3,E52&lt;=-0.3),"超过30%","")</f>
        <v/>
      </c>
      <c r="G52" s="625">
        <f>IF(G47&lt;G48,G48/G47-1,G47/G48-1)</f>
        <v>0.22907407407407399</v>
      </c>
      <c r="H52" s="626" t="str">
        <f>IF(OR(G52&gt;=0.3,G52&lt;=-0.3),"超过30%","")</f>
        <v/>
      </c>
      <c r="I52" s="625">
        <f>IF(I47&lt;I48,I48/I47-1,I47/I48-1)</f>
        <v>0.19377358490566032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2.6954261310886851E-2</v>
      </c>
      <c r="F53" s="626" t="str">
        <f>IF(OR(E53&gt;=0.2,E53&lt;=-0.2),"超过20%","")</f>
        <v/>
      </c>
      <c r="G53" s="625">
        <f>IF(G48&lt;I48,I48/G48-1,G48/I48-1)</f>
        <v>4.8996364785838464E-2</v>
      </c>
      <c r="H53" s="626" t="str">
        <f>IF(OR(G53&gt;=0.2,G53&lt;=-0.2),"超过20%","")</f>
        <v/>
      </c>
      <c r="I53" s="625">
        <f>IF(I48&lt;E48,E48/I48-1,I48/E48-1)</f>
        <v>2.1463568831989965E-2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3406</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3408</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3410</v>
      </c>
      <c r="D107" s="3199" t="s">
        <v>3411</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3401</v>
      </c>
      <c r="D109" s="3198" t="s">
        <v>3402</v>
      </c>
      <c r="E109" s="3198" t="s">
        <v>3403</v>
      </c>
      <c r="F109" s="3199" t="s">
        <v>3405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3413</v>
      </c>
      <c r="D114" s="3198" t="s">
        <v>3414</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3415</v>
      </c>
      <c r="D116" s="3198" t="s">
        <v>3416</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3401</v>
      </c>
      <c r="D122" s="3198" t="s">
        <v>3402</v>
      </c>
      <c r="E122" s="3198" t="s">
        <v>3403</v>
      </c>
      <c r="F122" s="3199" t="s">
        <v>3405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3421</v>
      </c>
      <c r="D126" s="3198" t="s">
        <v>3422</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K43" sqref="K4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3383</v>
      </c>
      <c r="E1" s="2650"/>
      <c r="F1" s="2831" t="s">
        <v>3417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65029</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36078</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6" t="s">
        <v>522</v>
      </c>
      <c r="D4" s="3417"/>
      <c r="E4" s="3450" t="s">
        <v>523</v>
      </c>
      <c r="F4" s="3451"/>
      <c r="G4" s="3416" t="s">
        <v>524</v>
      </c>
      <c r="H4" s="3417"/>
      <c r="I4" s="3416" t="s">
        <v>525</v>
      </c>
      <c r="J4" s="3417"/>
      <c r="K4" s="852" t="s">
        <v>526</v>
      </c>
      <c r="L4" s="2133"/>
      <c r="M4" s="2134"/>
      <c r="N4" s="2134"/>
      <c r="O4" s="2134"/>
      <c r="P4" s="3418" t="s">
        <v>527</v>
      </c>
      <c r="Q4" s="3419"/>
      <c r="R4" s="3424" t="s">
        <v>523</v>
      </c>
      <c r="S4" s="3425"/>
      <c r="T4" s="3424" t="s">
        <v>524</v>
      </c>
      <c r="U4" s="3425"/>
      <c r="V4" s="3411" t="s">
        <v>525</v>
      </c>
      <c r="W4" s="3411"/>
      <c r="X4" s="3178"/>
      <c r="Y4" s="3424" t="s">
        <v>527</v>
      </c>
      <c r="Z4" s="3425"/>
      <c r="AA4" s="3413" t="s">
        <v>523</v>
      </c>
      <c r="AB4" s="3413" t="s">
        <v>524</v>
      </c>
      <c r="AC4" s="3413" t="s">
        <v>525</v>
      </c>
    </row>
    <row r="5" spans="1:29" ht="15">
      <c r="A5" s="514"/>
      <c r="B5" s="515"/>
      <c r="C5" s="3432" t="s">
        <v>2923</v>
      </c>
      <c r="D5" s="3433"/>
      <c r="E5" s="3486" t="s">
        <v>3394</v>
      </c>
      <c r="F5" s="3453"/>
      <c r="G5" s="3485" t="s">
        <v>3398</v>
      </c>
      <c r="H5" s="3433"/>
      <c r="I5" s="3485" t="s">
        <v>3418</v>
      </c>
      <c r="J5" s="3433"/>
      <c r="K5" s="853"/>
      <c r="L5" s="2133"/>
      <c r="M5" s="2134"/>
      <c r="N5" s="2134"/>
      <c r="O5" s="2134"/>
      <c r="P5" s="3420"/>
      <c r="Q5" s="3421"/>
      <c r="R5" s="3426"/>
      <c r="S5" s="3427"/>
      <c r="T5" s="3426"/>
      <c r="U5" s="3427"/>
      <c r="V5" s="3411"/>
      <c r="W5" s="3411"/>
      <c r="X5" s="3178"/>
      <c r="Y5" s="3426"/>
      <c r="Z5" s="3427"/>
      <c r="AA5" s="3414"/>
      <c r="AB5" s="3414"/>
      <c r="AC5" s="3414"/>
    </row>
    <row r="6" spans="1:29" ht="15.75" thickBot="1">
      <c r="A6" s="516"/>
      <c r="B6" s="517"/>
      <c r="C6" s="3430" t="s">
        <v>2927</v>
      </c>
      <c r="D6" s="3431"/>
      <c r="E6" s="3448" t="s">
        <v>2927</v>
      </c>
      <c r="F6" s="3449"/>
      <c r="G6" s="3430" t="s">
        <v>2927</v>
      </c>
      <c r="H6" s="3431"/>
      <c r="I6" s="3430" t="s">
        <v>2927</v>
      </c>
      <c r="J6" s="3431"/>
      <c r="K6" s="853" t="s">
        <v>528</v>
      </c>
      <c r="L6" s="2133"/>
      <c r="M6" s="2134"/>
      <c r="N6" s="2134"/>
      <c r="O6" s="2134"/>
      <c r="P6" s="3422"/>
      <c r="Q6" s="3423"/>
      <c r="R6" s="3426"/>
      <c r="S6" s="3427"/>
      <c r="T6" s="3428"/>
      <c r="U6" s="3429"/>
      <c r="V6" s="3411"/>
      <c r="W6" s="3411"/>
      <c r="X6" s="3178"/>
      <c r="Y6" s="3428"/>
      <c r="Z6" s="3429"/>
      <c r="AA6" s="3415"/>
      <c r="AB6" s="3415"/>
      <c r="AC6" s="3415"/>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41" t="s">
        <v>530</v>
      </c>
      <c r="Q7" s="3443"/>
      <c r="R7" s="1567" t="s">
        <v>13</v>
      </c>
      <c r="S7" s="1568">
        <f t="shared" ref="S7:S15" si="0">F7</f>
        <v>100</v>
      </c>
      <c r="T7" s="1567" t="s">
        <v>13</v>
      </c>
      <c r="U7" s="1568">
        <f t="shared" ref="U7:U15" si="1">H7</f>
        <v>100</v>
      </c>
      <c r="V7" s="1567" t="s">
        <v>13</v>
      </c>
      <c r="W7" s="1568">
        <f t="shared" ref="W7:W15" si="2">J7</f>
        <v>100</v>
      </c>
      <c r="X7" s="1569"/>
      <c r="Y7" s="3441" t="s">
        <v>530</v>
      </c>
      <c r="Z7" s="3442"/>
      <c r="AA7" s="1570">
        <f>D7/F7</f>
        <v>1</v>
      </c>
      <c r="AB7" s="1570">
        <f>D7/H7</f>
        <v>1</v>
      </c>
      <c r="AC7" s="1570">
        <f>D7/J7</f>
        <v>1</v>
      </c>
    </row>
    <row r="8" spans="1:29" s="1219" customFormat="1" ht="15.75" thickBot="1">
      <c r="A8" s="2936"/>
      <c r="B8" s="2943" t="s">
        <v>531</v>
      </c>
      <c r="C8" s="524" t="s">
        <v>576</v>
      </c>
      <c r="D8" s="519">
        <v>100</v>
      </c>
      <c r="E8" s="855" t="s">
        <v>3316</v>
      </c>
      <c r="F8" s="521">
        <f>SUMIF(61:61,E8,62:62)-SUMIF(61:61,C8,62:62)+100</f>
        <v>100</v>
      </c>
      <c r="G8" s="524" t="s">
        <v>3316</v>
      </c>
      <c r="H8" s="519">
        <f>SUMIF(61:61,G8,62:62)-SUMIF(61:61,C8,62:62)+100</f>
        <v>100</v>
      </c>
      <c r="I8" s="855" t="s">
        <v>3316</v>
      </c>
      <c r="J8" s="519">
        <f>SUMIF(61:61,I8,62:62)-SUMIF(61:61,C8,62:62)+100</f>
        <v>100</v>
      </c>
      <c r="K8" s="854"/>
      <c r="L8" s="2135"/>
      <c r="M8" s="2136"/>
      <c r="N8" s="2136"/>
      <c r="O8" s="2136"/>
      <c r="P8" s="3441" t="s">
        <v>533</v>
      </c>
      <c r="Q8" s="3442"/>
      <c r="R8" s="1567" t="s">
        <v>13</v>
      </c>
      <c r="S8" s="1568">
        <f t="shared" si="0"/>
        <v>100</v>
      </c>
      <c r="T8" s="1567" t="s">
        <v>13</v>
      </c>
      <c r="U8" s="1568">
        <f t="shared" si="1"/>
        <v>100</v>
      </c>
      <c r="V8" s="1567" t="s">
        <v>13</v>
      </c>
      <c r="W8" s="1568">
        <f t="shared" si="2"/>
        <v>100</v>
      </c>
      <c r="X8" s="1569"/>
      <c r="Y8" s="3441" t="s">
        <v>533</v>
      </c>
      <c r="Z8" s="3442"/>
      <c r="AA8" s="1570">
        <f t="shared" ref="AA8:AA46" si="3">D8/F8</f>
        <v>1</v>
      </c>
      <c r="AB8" s="1570">
        <f t="shared" ref="AB8:AB46" si="4">D8/H8</f>
        <v>1</v>
      </c>
      <c r="AC8" s="1570">
        <f t="shared" ref="AC8:AC46" si="5">D8/J8</f>
        <v>1</v>
      </c>
    </row>
    <row r="9" spans="1:29" s="1219" customFormat="1" ht="15">
      <c r="A9" s="2937"/>
      <c r="B9" s="2944" t="s">
        <v>2755</v>
      </c>
      <c r="C9" s="3217" t="s">
        <v>3395</v>
      </c>
      <c r="D9" s="253">
        <v>100</v>
      </c>
      <c r="E9" s="3218" t="s">
        <v>3395</v>
      </c>
      <c r="F9" s="858">
        <f>SUMIF(63:63,E9,64:64)-SUMIF(63:63,C9,64:64)+100</f>
        <v>100</v>
      </c>
      <c r="G9" s="3219" t="s">
        <v>3395</v>
      </c>
      <c r="H9" s="253">
        <f>SUMIF(63:63,G9,64:64)-SUMIF(63:63,C9,64:64)+100</f>
        <v>100</v>
      </c>
      <c r="I9" s="3219" t="s">
        <v>3396</v>
      </c>
      <c r="J9" s="253">
        <f>SUMIF(63:63,I9,64:64)-SUMIF(63:63,C9,64:64)+100</f>
        <v>100</v>
      </c>
      <c r="K9" s="854"/>
      <c r="L9" s="2135"/>
      <c r="M9" s="2136"/>
      <c r="N9" s="2136"/>
      <c r="O9" s="2137"/>
      <c r="P9" s="3410" t="s">
        <v>535</v>
      </c>
      <c r="Q9" s="3177" t="str">
        <f t="shared" ref="Q9:Q15" si="6">B9</f>
        <v>用途</v>
      </c>
      <c r="R9" s="1567" t="s">
        <v>8</v>
      </c>
      <c r="S9" s="1568">
        <f t="shared" si="0"/>
        <v>100</v>
      </c>
      <c r="T9" s="1567" t="s">
        <v>8</v>
      </c>
      <c r="U9" s="1568">
        <f t="shared" si="1"/>
        <v>100</v>
      </c>
      <c r="V9" s="1567" t="s">
        <v>8</v>
      </c>
      <c r="W9" s="1568">
        <f t="shared" si="2"/>
        <v>100</v>
      </c>
      <c r="X9" s="1569"/>
      <c r="Y9" s="3356" t="s">
        <v>536</v>
      </c>
      <c r="Z9" s="3176" t="str">
        <f t="shared" ref="Z9:Z15" si="7">Q9</f>
        <v>用途</v>
      </c>
      <c r="AA9" s="1570">
        <f t="shared" si="3"/>
        <v>1</v>
      </c>
      <c r="AB9" s="1570">
        <f t="shared" si="4"/>
        <v>1</v>
      </c>
      <c r="AC9" s="1570">
        <f t="shared" si="5"/>
        <v>1</v>
      </c>
    </row>
    <row r="10" spans="1:29" s="1337" customFormat="1" ht="27">
      <c r="A10" s="2938"/>
      <c r="B10" s="2943" t="s">
        <v>2756</v>
      </c>
      <c r="C10" s="860" t="s">
        <v>3397</v>
      </c>
      <c r="D10" s="254">
        <v>100</v>
      </c>
      <c r="E10" s="861" t="s">
        <v>3397</v>
      </c>
      <c r="F10" s="862">
        <f>SUMIF(65:65,E10,66:66)-SUMIF(65:65,C10,66:66)+100</f>
        <v>100</v>
      </c>
      <c r="G10" s="860" t="s">
        <v>3397</v>
      </c>
      <c r="H10" s="254">
        <f>SUMIF(65:65,G10,66:66)-SUMIF(65:65,C10,66:66)+100</f>
        <v>100</v>
      </c>
      <c r="I10" s="860" t="s">
        <v>3397</v>
      </c>
      <c r="J10" s="254">
        <f>SUMIF(65:65,I10,66:66)-SUMIF(65:65,C10,66:66)+100</f>
        <v>100</v>
      </c>
      <c r="K10" s="863">
        <v>1</v>
      </c>
      <c r="L10" s="2138"/>
      <c r="M10" s="2178"/>
      <c r="N10" s="2178"/>
      <c r="O10" s="2139"/>
      <c r="P10" s="3410"/>
      <c r="Q10" s="3177" t="str">
        <f t="shared" si="6"/>
        <v>土地使用年限（年）</v>
      </c>
      <c r="R10" s="1567" t="s">
        <v>8</v>
      </c>
      <c r="S10" s="1568">
        <f t="shared" si="0"/>
        <v>100</v>
      </c>
      <c r="T10" s="1567" t="s">
        <v>8</v>
      </c>
      <c r="U10" s="1568">
        <f t="shared" si="1"/>
        <v>100</v>
      </c>
      <c r="V10" s="1567" t="s">
        <v>8</v>
      </c>
      <c r="W10" s="1568">
        <f t="shared" si="2"/>
        <v>100</v>
      </c>
      <c r="X10" s="1569"/>
      <c r="Y10" s="3356"/>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10"/>
      <c r="Q11" s="3177" t="str">
        <f t="shared" si="6"/>
        <v>容积率</v>
      </c>
      <c r="R11" s="1567" t="s">
        <v>11</v>
      </c>
      <c r="S11" s="1568">
        <f t="shared" si="0"/>
        <v>101</v>
      </c>
      <c r="T11" s="1567" t="s">
        <v>11</v>
      </c>
      <c r="U11" s="1568">
        <f t="shared" si="1"/>
        <v>101</v>
      </c>
      <c r="V11" s="1567" t="s">
        <v>11</v>
      </c>
      <c r="W11" s="1568">
        <f t="shared" si="2"/>
        <v>101</v>
      </c>
      <c r="X11" s="1569"/>
      <c r="Y11" s="3356"/>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10"/>
      <c r="Q12" s="3177">
        <f t="shared" si="6"/>
        <v>111</v>
      </c>
      <c r="R12" s="1567" t="s">
        <v>11</v>
      </c>
      <c r="S12" s="1568">
        <f t="shared" si="0"/>
        <v>100</v>
      </c>
      <c r="T12" s="1567" t="s">
        <v>11</v>
      </c>
      <c r="U12" s="1568">
        <f t="shared" si="1"/>
        <v>100</v>
      </c>
      <c r="V12" s="1567" t="s">
        <v>11</v>
      </c>
      <c r="W12" s="1568">
        <f t="shared" si="2"/>
        <v>100</v>
      </c>
      <c r="X12" s="1569"/>
      <c r="Y12" s="3356"/>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10"/>
      <c r="Q13" s="3177">
        <f t="shared" si="6"/>
        <v>111</v>
      </c>
      <c r="R13" s="1567" t="s">
        <v>11</v>
      </c>
      <c r="S13" s="1568">
        <f t="shared" si="0"/>
        <v>100</v>
      </c>
      <c r="T13" s="1567" t="s">
        <v>11</v>
      </c>
      <c r="U13" s="1568">
        <f t="shared" si="1"/>
        <v>100</v>
      </c>
      <c r="V13" s="1567" t="s">
        <v>11</v>
      </c>
      <c r="W13" s="1568">
        <f t="shared" si="2"/>
        <v>100</v>
      </c>
      <c r="X13" s="1569"/>
      <c r="Y13" s="3356"/>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10"/>
      <c r="Q14" s="3177">
        <f t="shared" si="6"/>
        <v>111</v>
      </c>
      <c r="R14" s="1567" t="s">
        <v>11</v>
      </c>
      <c r="S14" s="1568">
        <f t="shared" si="0"/>
        <v>100</v>
      </c>
      <c r="T14" s="1567" t="s">
        <v>11</v>
      </c>
      <c r="U14" s="1568">
        <f t="shared" si="1"/>
        <v>100</v>
      </c>
      <c r="V14" s="1567" t="s">
        <v>11</v>
      </c>
      <c r="W14" s="1568">
        <f t="shared" si="2"/>
        <v>100</v>
      </c>
      <c r="X14" s="1569"/>
      <c r="Y14" s="3356"/>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44" t="s">
        <v>540</v>
      </c>
      <c r="Q15" s="3179" t="str">
        <f t="shared" si="6"/>
        <v>居住社区成熟度</v>
      </c>
      <c r="R15" s="1572" t="s">
        <v>11</v>
      </c>
      <c r="S15" s="1573">
        <f t="shared" si="0"/>
        <v>95</v>
      </c>
      <c r="T15" s="1572" t="s">
        <v>11</v>
      </c>
      <c r="U15" s="1573">
        <f t="shared" si="1"/>
        <v>100</v>
      </c>
      <c r="V15" s="1572" t="s">
        <v>11</v>
      </c>
      <c r="W15" s="1573">
        <f t="shared" si="2"/>
        <v>100</v>
      </c>
      <c r="X15" s="3178"/>
      <c r="Y15" s="3444" t="s">
        <v>540</v>
      </c>
      <c r="Z15" s="3180" t="str">
        <f t="shared" si="7"/>
        <v>居住社区成熟度</v>
      </c>
      <c r="AA15" s="3181">
        <f t="shared" si="3"/>
        <v>1.0526315789473684</v>
      </c>
      <c r="AB15" s="3181">
        <f t="shared" si="4"/>
        <v>1</v>
      </c>
      <c r="AC15" s="3181">
        <f t="shared" si="5"/>
        <v>1</v>
      </c>
    </row>
    <row r="16" spans="1:29" ht="15">
      <c r="A16" s="531"/>
      <c r="B16" s="868"/>
      <c r="C16" s="575" t="s">
        <v>3335</v>
      </c>
      <c r="D16" s="554"/>
      <c r="E16" s="555" t="s">
        <v>3370</v>
      </c>
      <c r="F16" s="556"/>
      <c r="G16" s="557" t="s">
        <v>3335</v>
      </c>
      <c r="H16" s="558"/>
      <c r="I16" s="555" t="s">
        <v>3335</v>
      </c>
      <c r="J16" s="554"/>
      <c r="K16" s="869"/>
      <c r="L16" s="2142"/>
      <c r="M16" s="2134"/>
      <c r="N16" s="2134"/>
      <c r="O16" s="2141"/>
      <c r="P16" s="3445"/>
      <c r="Q16" s="3179"/>
      <c r="R16" s="1572"/>
      <c r="S16" s="1573"/>
      <c r="T16" s="1572"/>
      <c r="U16" s="1573"/>
      <c r="V16" s="1572"/>
      <c r="W16" s="1573"/>
      <c r="X16" s="3178"/>
      <c r="Y16" s="3445"/>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45"/>
      <c r="Q17" s="3179" t="str">
        <f>B17</f>
        <v>交通便捷度</v>
      </c>
      <c r="R17" s="1572" t="s">
        <v>11</v>
      </c>
      <c r="S17" s="1573">
        <f>F17</f>
        <v>97</v>
      </c>
      <c r="T17" s="1572" t="s">
        <v>11</v>
      </c>
      <c r="U17" s="1573">
        <f>H17</f>
        <v>97</v>
      </c>
      <c r="V17" s="1572" t="s">
        <v>11</v>
      </c>
      <c r="W17" s="1573">
        <f>J17</f>
        <v>97</v>
      </c>
      <c r="X17" s="3178"/>
      <c r="Y17" s="3445"/>
      <c r="Z17" s="3180" t="str">
        <f>Q17</f>
        <v>交通便捷度</v>
      </c>
      <c r="AA17" s="3181">
        <f t="shared" si="3"/>
        <v>1.0309278350515463</v>
      </c>
      <c r="AB17" s="3181">
        <f t="shared" si="4"/>
        <v>1.0309278350515463</v>
      </c>
      <c r="AC17" s="3181">
        <f t="shared" si="5"/>
        <v>1.0309278350515463</v>
      </c>
    </row>
    <row r="18" spans="1:29" ht="15">
      <c r="A18" s="531"/>
      <c r="B18" s="594"/>
      <c r="C18" s="872" t="s">
        <v>3335</v>
      </c>
      <c r="D18" s="558"/>
      <c r="E18" s="567" t="s">
        <v>3370</v>
      </c>
      <c r="F18" s="562"/>
      <c r="G18" s="568" t="s">
        <v>3370</v>
      </c>
      <c r="H18" s="554"/>
      <c r="I18" s="567" t="s">
        <v>3370</v>
      </c>
      <c r="J18" s="554"/>
      <c r="K18" s="869"/>
      <c r="L18" s="2142"/>
      <c r="M18" s="2134"/>
      <c r="N18" s="2134"/>
      <c r="O18" s="2141"/>
      <c r="P18" s="3445"/>
      <c r="Q18" s="3179"/>
      <c r="R18" s="1572"/>
      <c r="S18" s="1573"/>
      <c r="T18" s="1572"/>
      <c r="U18" s="1573"/>
      <c r="V18" s="1572"/>
      <c r="W18" s="1573"/>
      <c r="X18" s="3178"/>
      <c r="Y18" s="3445"/>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95</v>
      </c>
      <c r="K19" s="867">
        <v>5</v>
      </c>
      <c r="L19" s="2142"/>
      <c r="M19" s="2134"/>
      <c r="N19" s="2134"/>
      <c r="O19" s="2141"/>
      <c r="P19" s="3445"/>
      <c r="Q19" s="3179" t="str">
        <f>B19</f>
        <v>公共配套设施</v>
      </c>
      <c r="R19" s="1572" t="s">
        <v>11</v>
      </c>
      <c r="S19" s="1573">
        <f>F19</f>
        <v>95</v>
      </c>
      <c r="T19" s="1572" t="s">
        <v>11</v>
      </c>
      <c r="U19" s="1573">
        <f>H19</f>
        <v>95</v>
      </c>
      <c r="V19" s="1572" t="s">
        <v>11</v>
      </c>
      <c r="W19" s="1573">
        <f>J19</f>
        <v>95</v>
      </c>
      <c r="X19" s="3178"/>
      <c r="Y19" s="3445"/>
      <c r="Z19" s="3180" t="str">
        <f>Q19</f>
        <v>公共配套设施</v>
      </c>
      <c r="AA19" s="3181">
        <f t="shared" si="3"/>
        <v>1.0526315789473684</v>
      </c>
      <c r="AB19" s="3181">
        <f t="shared" si="4"/>
        <v>1.0526315789473684</v>
      </c>
      <c r="AC19" s="3181">
        <f t="shared" si="5"/>
        <v>1.0526315789473684</v>
      </c>
    </row>
    <row r="20" spans="1:29" ht="15">
      <c r="A20" s="531"/>
      <c r="B20" s="594"/>
      <c r="C20" s="575" t="s">
        <v>3335</v>
      </c>
      <c r="D20" s="554"/>
      <c r="E20" s="555" t="s">
        <v>3370</v>
      </c>
      <c r="F20" s="556"/>
      <c r="G20" s="557" t="s">
        <v>3370</v>
      </c>
      <c r="H20" s="554"/>
      <c r="I20" s="555" t="s">
        <v>3370</v>
      </c>
      <c r="J20" s="554"/>
      <c r="K20" s="869"/>
      <c r="L20" s="2142"/>
      <c r="M20" s="2134"/>
      <c r="N20" s="2134"/>
      <c r="O20" s="2141"/>
      <c r="P20" s="3445"/>
      <c r="Q20" s="3179"/>
      <c r="R20" s="1572"/>
      <c r="S20" s="1573"/>
      <c r="T20" s="1572"/>
      <c r="U20" s="1573"/>
      <c r="V20" s="1572"/>
      <c r="W20" s="1573"/>
      <c r="X20" s="3178"/>
      <c r="Y20" s="3445"/>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45"/>
      <c r="Q21" s="3179" t="str">
        <f>B21</f>
        <v>基础设施水平</v>
      </c>
      <c r="R21" s="1572" t="s">
        <v>11</v>
      </c>
      <c r="S21" s="1573">
        <f>F21</f>
        <v>100</v>
      </c>
      <c r="T21" s="1572" t="s">
        <v>11</v>
      </c>
      <c r="U21" s="1573">
        <f>H21</f>
        <v>100</v>
      </c>
      <c r="V21" s="1572" t="s">
        <v>11</v>
      </c>
      <c r="W21" s="1573">
        <f>J21</f>
        <v>100</v>
      </c>
      <c r="X21" s="3178"/>
      <c r="Y21" s="3445"/>
      <c r="Z21" s="3180" t="str">
        <f>Q21</f>
        <v>基础设施水平</v>
      </c>
      <c r="AA21" s="3181">
        <f t="shared" ref="AA21" si="8">D21/F21</f>
        <v>1</v>
      </c>
      <c r="AB21" s="3181">
        <f t="shared" ref="AB21" si="9">D21/H21</f>
        <v>1</v>
      </c>
      <c r="AC21" s="3181">
        <f t="shared" ref="AC21" si="10">D21/J21</f>
        <v>1</v>
      </c>
    </row>
    <row r="22" spans="1:29" ht="15">
      <c r="A22" s="531"/>
      <c r="B22" s="921"/>
      <c r="C22" s="872" t="s">
        <v>3330</v>
      </c>
      <c r="D22" s="554"/>
      <c r="E22" s="575" t="s">
        <v>3330</v>
      </c>
      <c r="F22" s="556"/>
      <c r="G22" s="575" t="s">
        <v>3330</v>
      </c>
      <c r="H22" s="554"/>
      <c r="I22" s="575" t="s">
        <v>3330</v>
      </c>
      <c r="J22" s="554"/>
      <c r="K22" s="2623"/>
      <c r="L22" s="2142"/>
      <c r="M22" s="2134"/>
      <c r="N22" s="2134"/>
      <c r="O22" s="2141"/>
      <c r="P22" s="3445"/>
      <c r="Q22" s="3179"/>
      <c r="R22" s="1572"/>
      <c r="S22" s="1573"/>
      <c r="T22" s="1572"/>
      <c r="U22" s="1573"/>
      <c r="V22" s="1572"/>
      <c r="W22" s="1573"/>
      <c r="X22" s="3178"/>
      <c r="Y22" s="3445"/>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102</v>
      </c>
      <c r="K23" s="867">
        <v>2</v>
      </c>
      <c r="L23" s="2142"/>
      <c r="M23" s="2134"/>
      <c r="N23" s="2134"/>
      <c r="O23" s="2141"/>
      <c r="P23" s="3445"/>
      <c r="Q23" s="3179" t="str">
        <f>B23</f>
        <v>自然及人文环境</v>
      </c>
      <c r="R23" s="1572" t="s">
        <v>11</v>
      </c>
      <c r="S23" s="1573">
        <f>F23</f>
        <v>100</v>
      </c>
      <c r="T23" s="1572" t="s">
        <v>11</v>
      </c>
      <c r="U23" s="1573">
        <f>H23</f>
        <v>100</v>
      </c>
      <c r="V23" s="1572" t="s">
        <v>11</v>
      </c>
      <c r="W23" s="1573">
        <f>J23</f>
        <v>102</v>
      </c>
      <c r="X23" s="3178"/>
      <c r="Y23" s="3445"/>
      <c r="Z23" s="3180" t="str">
        <f>Q23</f>
        <v>自然及人文环境</v>
      </c>
      <c r="AA23" s="3181">
        <f t="shared" si="3"/>
        <v>1</v>
      </c>
      <c r="AB23" s="3181">
        <f t="shared" si="4"/>
        <v>1</v>
      </c>
      <c r="AC23" s="3181">
        <f t="shared" si="5"/>
        <v>0.98039215686274506</v>
      </c>
    </row>
    <row r="24" spans="1:29" ht="15">
      <c r="A24" s="531"/>
      <c r="B24" s="594"/>
      <c r="C24" s="575" t="s">
        <v>3335</v>
      </c>
      <c r="D24" s="554"/>
      <c r="E24" s="555" t="s">
        <v>3335</v>
      </c>
      <c r="F24" s="556"/>
      <c r="G24" s="557" t="s">
        <v>3335</v>
      </c>
      <c r="H24" s="554"/>
      <c r="I24" s="555" t="s">
        <v>3369</v>
      </c>
      <c r="J24" s="554"/>
      <c r="K24" s="869"/>
      <c r="L24" s="2142"/>
      <c r="M24" s="2134"/>
      <c r="N24" s="2134"/>
      <c r="O24" s="2141"/>
      <c r="P24" s="3445"/>
      <c r="Q24" s="3179"/>
      <c r="R24" s="1572"/>
      <c r="S24" s="1573"/>
      <c r="T24" s="1572"/>
      <c r="U24" s="1573"/>
      <c r="V24" s="1572"/>
      <c r="W24" s="1573"/>
      <c r="X24" s="3178"/>
      <c r="Y24" s="3445"/>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45"/>
      <c r="Q25" s="3179" t="str">
        <f t="shared" ref="Q25:Q46" si="11">B25</f>
        <v>楼层-1</v>
      </c>
      <c r="R25" s="1572" t="s">
        <v>11</v>
      </c>
      <c r="S25" s="1573">
        <f>F25</f>
        <v>100</v>
      </c>
      <c r="T25" s="1572" t="s">
        <v>11</v>
      </c>
      <c r="U25" s="1573">
        <f>H25</f>
        <v>100</v>
      </c>
      <c r="V25" s="1572" t="s">
        <v>11</v>
      </c>
      <c r="W25" s="1573">
        <f>J25</f>
        <v>100</v>
      </c>
      <c r="X25" s="3178"/>
      <c r="Y25" s="3445"/>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45"/>
      <c r="Q26" s="3179" t="str">
        <f t="shared" si="11"/>
        <v>朝向</v>
      </c>
      <c r="R26" s="1572" t="s">
        <v>11</v>
      </c>
      <c r="S26" s="1573">
        <f>F26</f>
        <v>100</v>
      </c>
      <c r="T26" s="1572" t="s">
        <v>11</v>
      </c>
      <c r="U26" s="1573">
        <f>H26</f>
        <v>100</v>
      </c>
      <c r="V26" s="1572" t="s">
        <v>11</v>
      </c>
      <c r="W26" s="1573">
        <f>J26</f>
        <v>100</v>
      </c>
      <c r="X26" s="3178"/>
      <c r="Y26" s="3445"/>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45"/>
      <c r="Q27" s="3177" t="str">
        <f t="shared" si="11"/>
        <v>道路级别</v>
      </c>
      <c r="R27" s="1567" t="s">
        <v>11</v>
      </c>
      <c r="S27" s="1568">
        <f>F27</f>
        <v>100</v>
      </c>
      <c r="T27" s="1567" t="s">
        <v>11</v>
      </c>
      <c r="U27" s="1568">
        <f>H27</f>
        <v>100</v>
      </c>
      <c r="V27" s="1567" t="s">
        <v>11</v>
      </c>
      <c r="W27" s="1568">
        <f>J27</f>
        <v>100</v>
      </c>
      <c r="X27" s="1569"/>
      <c r="Y27" s="3445"/>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45"/>
      <c r="Q28" s="3179">
        <f t="shared" si="11"/>
        <v>111</v>
      </c>
      <c r="R28" s="1572" t="s">
        <v>11</v>
      </c>
      <c r="S28" s="1573">
        <f t="shared" ref="S28:S46" si="12">F28</f>
        <v>100</v>
      </c>
      <c r="T28" s="1572" t="s">
        <v>11</v>
      </c>
      <c r="U28" s="1573">
        <f t="shared" ref="U28:U46" si="13">H28</f>
        <v>100</v>
      </c>
      <c r="V28" s="1572" t="s">
        <v>11</v>
      </c>
      <c r="W28" s="1573">
        <f t="shared" ref="W28:W46" si="14">J28</f>
        <v>100</v>
      </c>
      <c r="X28" s="3178"/>
      <c r="Y28" s="3445"/>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45"/>
      <c r="Q29" s="3179">
        <f t="shared" si="11"/>
        <v>111</v>
      </c>
      <c r="R29" s="1572" t="s">
        <v>11</v>
      </c>
      <c r="S29" s="1573">
        <f t="shared" si="12"/>
        <v>100</v>
      </c>
      <c r="T29" s="1572" t="s">
        <v>11</v>
      </c>
      <c r="U29" s="1573">
        <f t="shared" si="13"/>
        <v>100</v>
      </c>
      <c r="V29" s="1572" t="s">
        <v>11</v>
      </c>
      <c r="W29" s="1573">
        <f t="shared" si="14"/>
        <v>100</v>
      </c>
      <c r="X29" s="3178"/>
      <c r="Y29" s="3445"/>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45"/>
      <c r="Q30" s="3179">
        <f t="shared" si="11"/>
        <v>111</v>
      </c>
      <c r="R30" s="1572" t="s">
        <v>11</v>
      </c>
      <c r="S30" s="1573">
        <f t="shared" si="12"/>
        <v>100</v>
      </c>
      <c r="T30" s="1572" t="s">
        <v>11</v>
      </c>
      <c r="U30" s="1573">
        <f t="shared" si="13"/>
        <v>100</v>
      </c>
      <c r="V30" s="1572" t="s">
        <v>11</v>
      </c>
      <c r="W30" s="1573">
        <f t="shared" si="14"/>
        <v>100</v>
      </c>
      <c r="X30" s="3178"/>
      <c r="Y30" s="3445"/>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45"/>
      <c r="Q31" s="3179">
        <f t="shared" si="11"/>
        <v>111</v>
      </c>
      <c r="R31" s="1572" t="s">
        <v>11</v>
      </c>
      <c r="S31" s="1573">
        <f t="shared" si="12"/>
        <v>100</v>
      </c>
      <c r="T31" s="1572" t="s">
        <v>11</v>
      </c>
      <c r="U31" s="1573">
        <f t="shared" si="13"/>
        <v>100</v>
      </c>
      <c r="V31" s="1572" t="s">
        <v>11</v>
      </c>
      <c r="W31" s="1573">
        <f t="shared" si="14"/>
        <v>100</v>
      </c>
      <c r="X31" s="3178"/>
      <c r="Y31" s="3445"/>
      <c r="Z31" s="3180">
        <f t="shared" si="15"/>
        <v>111</v>
      </c>
      <c r="AA31" s="3181">
        <f t="shared" si="3"/>
        <v>1</v>
      </c>
      <c r="AB31" s="3181">
        <f t="shared" si="4"/>
        <v>1</v>
      </c>
      <c r="AC31" s="3181">
        <f t="shared" si="5"/>
        <v>1</v>
      </c>
    </row>
    <row r="32" spans="1:29" ht="15">
      <c r="A32" s="2931" t="s">
        <v>2754</v>
      </c>
      <c r="B32" s="171" t="s">
        <v>725</v>
      </c>
      <c r="C32" s="877" t="s">
        <v>3391</v>
      </c>
      <c r="D32" s="596">
        <v>100</v>
      </c>
      <c r="E32" s="878" t="s">
        <v>3391</v>
      </c>
      <c r="F32" s="574">
        <f>SUMIF(100:100,E32,101:101)-SUMIF(100:100,C32,101:101)+100</f>
        <v>100</v>
      </c>
      <c r="G32" s="877" t="s">
        <v>3427</v>
      </c>
      <c r="H32" s="596">
        <f>SUMIF(100:100,G32,101:101)-SUMIF(100:100,C32,101:101)+100</f>
        <v>97</v>
      </c>
      <c r="I32" s="878" t="s">
        <v>3427</v>
      </c>
      <c r="J32" s="539">
        <f>SUMIF(100:100,I32,101:101)-SUMIF(100:100,C32,101:101)+100</f>
        <v>97</v>
      </c>
      <c r="K32" s="863">
        <v>3</v>
      </c>
      <c r="L32" s="2142"/>
      <c r="M32" s="2134"/>
      <c r="N32" s="2134"/>
      <c r="O32" s="2141"/>
      <c r="P32" s="3446" t="s">
        <v>550</v>
      </c>
      <c r="Q32" s="3179" t="str">
        <f t="shared" si="11"/>
        <v>建筑类型</v>
      </c>
      <c r="R32" s="1572" t="s">
        <v>11</v>
      </c>
      <c r="S32" s="1573">
        <f t="shared" si="12"/>
        <v>100</v>
      </c>
      <c r="T32" s="1572" t="s">
        <v>11</v>
      </c>
      <c r="U32" s="1573">
        <f t="shared" si="13"/>
        <v>97</v>
      </c>
      <c r="V32" s="1572" t="s">
        <v>11</v>
      </c>
      <c r="W32" s="1573">
        <f t="shared" si="14"/>
        <v>97</v>
      </c>
      <c r="X32" s="3178"/>
      <c r="Y32" s="3447"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47"/>
      <c r="Q33" s="1604" t="str">
        <f t="shared" si="11"/>
        <v>项目建筑规模</v>
      </c>
      <c r="R33" s="1576" t="s">
        <v>11</v>
      </c>
      <c r="S33" s="1577">
        <f t="shared" si="12"/>
        <v>100</v>
      </c>
      <c r="T33" s="1576" t="s">
        <v>11</v>
      </c>
      <c r="U33" s="1577">
        <f t="shared" si="13"/>
        <v>94</v>
      </c>
      <c r="V33" s="1576" t="s">
        <v>11</v>
      </c>
      <c r="W33" s="1577">
        <f t="shared" si="14"/>
        <v>96</v>
      </c>
      <c r="X33" s="1578"/>
      <c r="Y33" s="3447"/>
      <c r="Z33" s="1579" t="str">
        <f t="shared" si="15"/>
        <v>项目建筑规模</v>
      </c>
      <c r="AA33" s="3181">
        <f t="shared" si="3"/>
        <v>1</v>
      </c>
      <c r="AB33" s="3181">
        <f t="shared" si="4"/>
        <v>1.0638297872340425</v>
      </c>
      <c r="AC33" s="3181">
        <f t="shared" si="5"/>
        <v>1.0416666666666667</v>
      </c>
    </row>
    <row r="34" spans="1:29" ht="15">
      <c r="A34" s="593"/>
      <c r="B34" s="526" t="s">
        <v>727</v>
      </c>
      <c r="C34" s="880" t="s">
        <v>3407</v>
      </c>
      <c r="D34" s="539">
        <v>100</v>
      </c>
      <c r="E34" s="881" t="s">
        <v>3407</v>
      </c>
      <c r="F34" s="574">
        <f>SUMIF(105:105,E34,106:106)-SUMIF(105:105,C34,106:106)+100</f>
        <v>100</v>
      </c>
      <c r="G34" s="880" t="s">
        <v>3407</v>
      </c>
      <c r="H34" s="539">
        <f>SUMIF(105:105,G34,106:106)-SUMIF(105:105,C34,106:106)+100</f>
        <v>100</v>
      </c>
      <c r="I34" s="881" t="s">
        <v>3407</v>
      </c>
      <c r="J34" s="539">
        <f>SUMIF(105:105,I34,106:106)-SUMIF(105:105,C34,106:106)+100</f>
        <v>100</v>
      </c>
      <c r="K34" s="863">
        <v>2</v>
      </c>
      <c r="L34" s="2142"/>
      <c r="M34" s="2134"/>
      <c r="N34" s="2134"/>
      <c r="O34" s="2141"/>
      <c r="P34" s="3447"/>
      <c r="Q34" s="3179" t="str">
        <f t="shared" si="11"/>
        <v>建筑结构</v>
      </c>
      <c r="R34" s="1572" t="s">
        <v>11</v>
      </c>
      <c r="S34" s="1573">
        <f t="shared" si="12"/>
        <v>100</v>
      </c>
      <c r="T34" s="1572" t="s">
        <v>11</v>
      </c>
      <c r="U34" s="1573">
        <f t="shared" si="13"/>
        <v>100</v>
      </c>
      <c r="V34" s="1572" t="s">
        <v>11</v>
      </c>
      <c r="W34" s="1573">
        <f t="shared" si="14"/>
        <v>100</v>
      </c>
      <c r="X34" s="3178"/>
      <c r="Y34" s="3447"/>
      <c r="Z34" s="3180" t="str">
        <f t="shared" si="15"/>
        <v>建筑结构</v>
      </c>
      <c r="AA34" s="3181">
        <f t="shared" si="3"/>
        <v>1</v>
      </c>
      <c r="AB34" s="3181">
        <f t="shared" si="4"/>
        <v>1</v>
      </c>
      <c r="AC34" s="3181">
        <f t="shared" si="5"/>
        <v>1</v>
      </c>
    </row>
    <row r="35" spans="1:29" ht="15">
      <c r="A35" s="593"/>
      <c r="B35" s="526" t="s">
        <v>728</v>
      </c>
      <c r="C35" s="598" t="s">
        <v>3409</v>
      </c>
      <c r="D35" s="539">
        <v>100</v>
      </c>
      <c r="E35" s="873" t="s">
        <v>3409</v>
      </c>
      <c r="F35" s="574">
        <f>SUMIF(107:107,E35,108:108)-SUMIF(107:107,C35,108:108)+100</f>
        <v>100</v>
      </c>
      <c r="G35" s="598" t="s">
        <v>3409</v>
      </c>
      <c r="H35" s="539">
        <f>SUMIF(107:107,G35,108:108)-SUMIF(107:107,C35,108:108)+100</f>
        <v>100</v>
      </c>
      <c r="I35" s="873" t="s">
        <v>3409</v>
      </c>
      <c r="J35" s="539">
        <f>SUMIF(107:107,I35,108:108)-SUMIF(107:107,C35,108:108)+100</f>
        <v>100</v>
      </c>
      <c r="K35" s="863">
        <v>2</v>
      </c>
      <c r="L35" s="2142"/>
      <c r="M35" s="2134"/>
      <c r="N35" s="2134"/>
      <c r="O35" s="2141"/>
      <c r="P35" s="3447"/>
      <c r="Q35" s="3179" t="str">
        <f t="shared" si="11"/>
        <v>建筑品质</v>
      </c>
      <c r="R35" s="1572" t="s">
        <v>11</v>
      </c>
      <c r="S35" s="1573">
        <f t="shared" si="12"/>
        <v>100</v>
      </c>
      <c r="T35" s="1572" t="s">
        <v>11</v>
      </c>
      <c r="U35" s="1573">
        <f t="shared" si="13"/>
        <v>100</v>
      </c>
      <c r="V35" s="1572" t="s">
        <v>11</v>
      </c>
      <c r="W35" s="1573">
        <f t="shared" si="14"/>
        <v>100</v>
      </c>
      <c r="X35" s="3178"/>
      <c r="Y35" s="3447"/>
      <c r="Z35" s="3180" t="str">
        <f t="shared" si="15"/>
        <v>建筑品质</v>
      </c>
      <c r="AA35" s="3181">
        <f t="shared" si="3"/>
        <v>1</v>
      </c>
      <c r="AB35" s="3181">
        <f t="shared" si="4"/>
        <v>1</v>
      </c>
      <c r="AC35" s="3181">
        <f t="shared" si="5"/>
        <v>1</v>
      </c>
    </row>
    <row r="36" spans="1:29" ht="15">
      <c r="A36" s="593"/>
      <c r="B36" s="526" t="s">
        <v>729</v>
      </c>
      <c r="C36" s="598" t="s">
        <v>3400</v>
      </c>
      <c r="D36" s="539">
        <v>100</v>
      </c>
      <c r="E36" s="873" t="s">
        <v>3400</v>
      </c>
      <c r="F36" s="574">
        <f>SUMIF(109:109,E36,110:110)-SUMIF(109:109,C36,110:110)+100</f>
        <v>100</v>
      </c>
      <c r="G36" s="598" t="s">
        <v>3400</v>
      </c>
      <c r="H36" s="539">
        <f>SUMIF(109:109,G36,110:110)-SUMIF(109:109,C36,110:110)+100</f>
        <v>100</v>
      </c>
      <c r="I36" s="873" t="s">
        <v>3400</v>
      </c>
      <c r="J36" s="539">
        <f>SUMIF(109:109,I36,110:110)-SUMIF(109:109,C36,110:110)+100</f>
        <v>100</v>
      </c>
      <c r="K36" s="863">
        <v>1</v>
      </c>
      <c r="L36" s="2142"/>
      <c r="M36" s="2134"/>
      <c r="N36" s="2134"/>
      <c r="O36" s="2141"/>
      <c r="P36" s="3447"/>
      <c r="Q36" s="3179" t="str">
        <f t="shared" si="11"/>
        <v>公共部分装修</v>
      </c>
      <c r="R36" s="1572" t="s">
        <v>11</v>
      </c>
      <c r="S36" s="1573">
        <f t="shared" si="12"/>
        <v>100</v>
      </c>
      <c r="T36" s="1572" t="s">
        <v>11</v>
      </c>
      <c r="U36" s="1573">
        <f t="shared" si="13"/>
        <v>100</v>
      </c>
      <c r="V36" s="1572" t="s">
        <v>11</v>
      </c>
      <c r="W36" s="1573">
        <f t="shared" si="14"/>
        <v>100</v>
      </c>
      <c r="X36" s="3178"/>
      <c r="Y36" s="3447"/>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47"/>
      <c r="Q37" s="3177" t="str">
        <f t="shared" si="11"/>
        <v>成新度</v>
      </c>
      <c r="R37" s="1567" t="s">
        <v>11</v>
      </c>
      <c r="S37" s="1568">
        <f t="shared" si="12"/>
        <v>100</v>
      </c>
      <c r="T37" s="1567" t="s">
        <v>11</v>
      </c>
      <c r="U37" s="1568">
        <f t="shared" si="13"/>
        <v>100</v>
      </c>
      <c r="V37" s="1567" t="s">
        <v>11</v>
      </c>
      <c r="W37" s="1568">
        <f t="shared" si="14"/>
        <v>100</v>
      </c>
      <c r="X37" s="1569"/>
      <c r="Y37" s="3447"/>
      <c r="Z37" s="3176" t="str">
        <f t="shared" si="15"/>
        <v>成新度</v>
      </c>
      <c r="AA37" s="1570">
        <f t="shared" si="3"/>
        <v>1</v>
      </c>
      <c r="AB37" s="1570">
        <f t="shared" si="4"/>
        <v>1</v>
      </c>
      <c r="AC37" s="1570">
        <f t="shared" si="5"/>
        <v>1</v>
      </c>
    </row>
    <row r="38" spans="1:29" ht="15">
      <c r="A38" s="593"/>
      <c r="B38" s="526" t="s">
        <v>731</v>
      </c>
      <c r="C38" s="598" t="s">
        <v>3412</v>
      </c>
      <c r="D38" s="539">
        <v>100</v>
      </c>
      <c r="E38" s="873" t="s">
        <v>3412</v>
      </c>
      <c r="F38" s="574">
        <f>SUMIF(114:114,E38,115:115)-SUMIF(114:114,C38,115:115)+100</f>
        <v>100</v>
      </c>
      <c r="G38" s="598" t="s">
        <v>3412</v>
      </c>
      <c r="H38" s="539">
        <f>SUMIF(114:114,G38,115:115)-SUMIF(114:114,C38,115:115)+100</f>
        <v>100</v>
      </c>
      <c r="I38" s="873" t="s">
        <v>3412</v>
      </c>
      <c r="J38" s="539">
        <f>SUMIF(114:114,I38,115:115)-SUMIF(114:114,C38,115:115)+100</f>
        <v>100</v>
      </c>
      <c r="K38" s="863">
        <v>2</v>
      </c>
      <c r="L38" s="2142"/>
      <c r="M38" s="2134"/>
      <c r="N38" s="2134"/>
      <c r="O38" s="2141"/>
      <c r="P38" s="3447" t="s">
        <v>550</v>
      </c>
      <c r="Q38" s="3179" t="str">
        <f t="shared" si="11"/>
        <v>物业管理</v>
      </c>
      <c r="R38" s="1572" t="s">
        <v>11</v>
      </c>
      <c r="S38" s="1573">
        <f t="shared" si="12"/>
        <v>100</v>
      </c>
      <c r="T38" s="1572" t="s">
        <v>11</v>
      </c>
      <c r="U38" s="1573">
        <f t="shared" si="13"/>
        <v>100</v>
      </c>
      <c r="V38" s="1572" t="s">
        <v>11</v>
      </c>
      <c r="W38" s="1573">
        <f t="shared" si="14"/>
        <v>100</v>
      </c>
      <c r="X38" s="3178"/>
      <c r="Y38" s="3447" t="s">
        <v>550</v>
      </c>
      <c r="Z38" s="3180" t="str">
        <f t="shared" si="15"/>
        <v>物业管理</v>
      </c>
      <c r="AA38" s="3181">
        <f t="shared" si="3"/>
        <v>1</v>
      </c>
      <c r="AB38" s="3181">
        <f t="shared" si="4"/>
        <v>1</v>
      </c>
      <c r="AC38" s="3181">
        <f t="shared" si="5"/>
        <v>1</v>
      </c>
    </row>
    <row r="39" spans="1:29" ht="15">
      <c r="A39" s="593"/>
      <c r="B39" s="1895" t="s">
        <v>2564</v>
      </c>
      <c r="C39" s="598" t="s">
        <v>3330</v>
      </c>
      <c r="D39" s="539">
        <v>100</v>
      </c>
      <c r="E39" s="873" t="s">
        <v>3330</v>
      </c>
      <c r="F39" s="574">
        <f>SUMIF(116:116,E39,117:117)-SUMIF(116:116,C39,117:117)+100</f>
        <v>100</v>
      </c>
      <c r="G39" s="598" t="s">
        <v>3330</v>
      </c>
      <c r="H39" s="539">
        <f>SUMIF(116:116,G39,117:117)-SUMIF(116:116,C39,117:117)+100</f>
        <v>100</v>
      </c>
      <c r="I39" s="873" t="s">
        <v>3330</v>
      </c>
      <c r="J39" s="539">
        <f>SUMIF(116:116,I39,117:117)-SUMIF(116:116,C39,117:117)+100</f>
        <v>100</v>
      </c>
      <c r="K39" s="863">
        <v>2</v>
      </c>
      <c r="L39" s="2142"/>
      <c r="M39" s="2134"/>
      <c r="N39" s="2134"/>
      <c r="O39" s="2141"/>
      <c r="P39" s="3447"/>
      <c r="Q39" s="3179" t="str">
        <f t="shared" si="11"/>
        <v>市政基础设施</v>
      </c>
      <c r="R39" s="1572" t="s">
        <v>11</v>
      </c>
      <c r="S39" s="1573">
        <f t="shared" si="12"/>
        <v>100</v>
      </c>
      <c r="T39" s="1572" t="s">
        <v>11</v>
      </c>
      <c r="U39" s="1573">
        <f t="shared" si="13"/>
        <v>100</v>
      </c>
      <c r="V39" s="1572" t="s">
        <v>11</v>
      </c>
      <c r="W39" s="1573">
        <f t="shared" si="14"/>
        <v>100</v>
      </c>
      <c r="X39" s="3178"/>
      <c r="Y39" s="3447"/>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47"/>
      <c r="Q40" s="3179" t="str">
        <f t="shared" si="11"/>
        <v>房型</v>
      </c>
      <c r="R40" s="1572" t="s">
        <v>11</v>
      </c>
      <c r="S40" s="1573">
        <f t="shared" si="12"/>
        <v>100</v>
      </c>
      <c r="T40" s="1572" t="s">
        <v>11</v>
      </c>
      <c r="U40" s="1573">
        <f t="shared" si="13"/>
        <v>100</v>
      </c>
      <c r="V40" s="1572" t="s">
        <v>11</v>
      </c>
      <c r="W40" s="1573">
        <f t="shared" si="14"/>
        <v>100</v>
      </c>
      <c r="X40" s="3178"/>
      <c r="Y40" s="3447"/>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47"/>
      <c r="Q41" s="1604" t="str">
        <f t="shared" si="11"/>
        <v>单套/主力户型建筑面积</v>
      </c>
      <c r="R41" s="1576" t="s">
        <v>11</v>
      </c>
      <c r="S41" s="1577">
        <f t="shared" si="12"/>
        <v>100</v>
      </c>
      <c r="T41" s="1576" t="s">
        <v>11</v>
      </c>
      <c r="U41" s="1577">
        <f t="shared" si="13"/>
        <v>100</v>
      </c>
      <c r="V41" s="1576" t="s">
        <v>11</v>
      </c>
      <c r="W41" s="1577">
        <f t="shared" si="14"/>
        <v>100</v>
      </c>
      <c r="X41" s="1578"/>
      <c r="Y41" s="3447"/>
      <c r="Z41" s="1579" t="str">
        <f t="shared" si="15"/>
        <v>单套/主力户型建筑面积</v>
      </c>
      <c r="AA41" s="3181">
        <f t="shared" si="3"/>
        <v>1</v>
      </c>
      <c r="AB41" s="3181">
        <f t="shared" si="4"/>
        <v>1</v>
      </c>
      <c r="AC41" s="3181">
        <f t="shared" si="5"/>
        <v>1</v>
      </c>
    </row>
    <row r="42" spans="1:29" ht="15">
      <c r="A42" s="593"/>
      <c r="B42" s="526" t="s">
        <v>734</v>
      </c>
      <c r="C42" s="598" t="s">
        <v>3404</v>
      </c>
      <c r="D42" s="539">
        <v>100</v>
      </c>
      <c r="E42" s="873" t="s">
        <v>3404</v>
      </c>
      <c r="F42" s="574">
        <f>SUMIF(122:122,E42,123:123)-SUMIF(122:122,C42,123:123)+100</f>
        <v>100</v>
      </c>
      <c r="G42" s="598" t="s">
        <v>3404</v>
      </c>
      <c r="H42" s="539">
        <f>SUMIF(122:122,G42,123:123)-SUMIF(122:122,C42,123:123)+100</f>
        <v>100</v>
      </c>
      <c r="I42" s="873" t="s">
        <v>3404</v>
      </c>
      <c r="J42" s="539">
        <f>SUMIF(122:122,I42,123:123)-SUMIF(122:122,C42,123:123)+100</f>
        <v>100</v>
      </c>
      <c r="K42" s="863">
        <v>3</v>
      </c>
      <c r="L42" s="2142"/>
      <c r="M42" s="2134"/>
      <c r="N42" s="2134"/>
      <c r="O42" s="2141"/>
      <c r="P42" s="3447"/>
      <c r="Q42" s="3179" t="str">
        <f t="shared" si="11"/>
        <v>内部装修</v>
      </c>
      <c r="R42" s="1572" t="s">
        <v>11</v>
      </c>
      <c r="S42" s="1573">
        <f t="shared" si="12"/>
        <v>100</v>
      </c>
      <c r="T42" s="1572" t="s">
        <v>11</v>
      </c>
      <c r="U42" s="1573">
        <f t="shared" si="13"/>
        <v>100</v>
      </c>
      <c r="V42" s="1572" t="s">
        <v>11</v>
      </c>
      <c r="W42" s="1573">
        <f t="shared" si="14"/>
        <v>100</v>
      </c>
      <c r="X42" s="3178"/>
      <c r="Y42" s="3447"/>
      <c r="Z42" s="3180" t="str">
        <f t="shared" si="15"/>
        <v>内部装修</v>
      </c>
      <c r="AA42" s="3181">
        <f t="shared" si="3"/>
        <v>1</v>
      </c>
      <c r="AB42" s="3181">
        <f t="shared" si="4"/>
        <v>1</v>
      </c>
      <c r="AC42" s="3181">
        <f t="shared" si="5"/>
        <v>1</v>
      </c>
    </row>
    <row r="43" spans="1:29" ht="27">
      <c r="A43" s="593"/>
      <c r="B43" s="526" t="s">
        <v>735</v>
      </c>
      <c r="C43" s="598" t="s">
        <v>3369</v>
      </c>
      <c r="D43" s="539">
        <v>100</v>
      </c>
      <c r="E43" s="873" t="s">
        <v>3369</v>
      </c>
      <c r="F43" s="574">
        <f>SUMIF(124:124,E43,125:125)-SUMIF(124:124,C43,125:125)+100</f>
        <v>100</v>
      </c>
      <c r="G43" s="598" t="s">
        <v>3369</v>
      </c>
      <c r="H43" s="539">
        <f>SUMIF(124:124,G43,125:125)-SUMIF(124:124,C43,125:125)+100</f>
        <v>100</v>
      </c>
      <c r="I43" s="873" t="s">
        <v>3369</v>
      </c>
      <c r="J43" s="539">
        <f>SUMIF(124:124,I43,125:125)-SUMIF(124:124,C43,125:125)+100</f>
        <v>100</v>
      </c>
      <c r="K43" s="863">
        <v>2</v>
      </c>
      <c r="L43" s="2142"/>
      <c r="M43" s="2134"/>
      <c r="N43" s="2134"/>
      <c r="O43" s="2141"/>
      <c r="P43" s="3447"/>
      <c r="Q43" s="3179" t="str">
        <f t="shared" si="11"/>
        <v>内部装修维护情况</v>
      </c>
      <c r="R43" s="1572" t="s">
        <v>11</v>
      </c>
      <c r="S43" s="1573">
        <f t="shared" si="12"/>
        <v>100</v>
      </c>
      <c r="T43" s="1572" t="s">
        <v>11</v>
      </c>
      <c r="U43" s="1573">
        <f t="shared" si="13"/>
        <v>100</v>
      </c>
      <c r="V43" s="1572" t="s">
        <v>11</v>
      </c>
      <c r="W43" s="1573">
        <f t="shared" si="14"/>
        <v>100</v>
      </c>
      <c r="X43" s="3178"/>
      <c r="Y43" s="3447"/>
      <c r="Z43" s="3180" t="str">
        <f t="shared" si="15"/>
        <v>内部装修维护情况</v>
      </c>
      <c r="AA43" s="3181">
        <f t="shared" si="3"/>
        <v>1</v>
      </c>
      <c r="AB43" s="3181">
        <f t="shared" si="4"/>
        <v>1</v>
      </c>
      <c r="AC43" s="3181">
        <f t="shared" si="5"/>
        <v>1</v>
      </c>
    </row>
    <row r="44" spans="1:29" s="1219" customFormat="1" ht="15">
      <c r="A44" s="599"/>
      <c r="B44" s="3220" t="s">
        <v>3423</v>
      </c>
      <c r="C44" s="3221" t="s">
        <v>3426</v>
      </c>
      <c r="D44" s="254">
        <v>100</v>
      </c>
      <c r="E44" s="3221" t="s">
        <v>3424</v>
      </c>
      <c r="F44" s="862">
        <f>SUMIF(126:126,E44,127:127)-SUMIF(126:126,C44,127:127)+100</f>
        <v>100</v>
      </c>
      <c r="G44" s="3221" t="s">
        <v>3425</v>
      </c>
      <c r="H44" s="254">
        <f>SUMIF(126:126,G44,127:127)-SUMIF(126:126,C44,127:127)+100</f>
        <v>93</v>
      </c>
      <c r="I44" s="3221" t="s">
        <v>3425</v>
      </c>
      <c r="J44" s="254">
        <f>SUMIF(126:126,I44,127:127)-SUMIF(126:126,C44,127:127)+100</f>
        <v>93</v>
      </c>
      <c r="K44" s="864"/>
      <c r="L44" s="2135"/>
      <c r="M44" s="2136"/>
      <c r="N44" s="2136"/>
      <c r="O44" s="2137"/>
      <c r="P44" s="3447"/>
      <c r="Q44" s="3177" t="str">
        <f t="shared" si="11"/>
        <v>层高</v>
      </c>
      <c r="R44" s="1567" t="s">
        <v>11</v>
      </c>
      <c r="S44" s="1568">
        <f t="shared" si="12"/>
        <v>100</v>
      </c>
      <c r="T44" s="1567" t="s">
        <v>11</v>
      </c>
      <c r="U44" s="1568">
        <f t="shared" si="13"/>
        <v>93</v>
      </c>
      <c r="V44" s="1567" t="s">
        <v>11</v>
      </c>
      <c r="W44" s="1568">
        <f t="shared" si="14"/>
        <v>93</v>
      </c>
      <c r="X44" s="1569"/>
      <c r="Y44" s="3447"/>
      <c r="Z44" s="3176"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47"/>
      <c r="Q45" s="3179">
        <f t="shared" si="11"/>
        <v>111</v>
      </c>
      <c r="R45" s="1572" t="s">
        <v>11</v>
      </c>
      <c r="S45" s="1573">
        <f t="shared" si="12"/>
        <v>100</v>
      </c>
      <c r="T45" s="1572" t="s">
        <v>11</v>
      </c>
      <c r="U45" s="1573">
        <f t="shared" si="13"/>
        <v>100</v>
      </c>
      <c r="V45" s="1572" t="s">
        <v>11</v>
      </c>
      <c r="W45" s="1573">
        <f t="shared" si="14"/>
        <v>100</v>
      </c>
      <c r="X45" s="3178"/>
      <c r="Y45" s="3447"/>
      <c r="Z45" s="3180">
        <f t="shared" si="15"/>
        <v>111</v>
      </c>
      <c r="AA45" s="3181">
        <f t="shared" si="3"/>
        <v>1</v>
      </c>
      <c r="AB45" s="3181">
        <f t="shared" si="4"/>
        <v>1</v>
      </c>
      <c r="AC45" s="3181">
        <f t="shared" si="5"/>
        <v>1</v>
      </c>
    </row>
    <row r="46" spans="1:29" ht="15.75" thickBot="1">
      <c r="A46" s="885"/>
      <c r="B46" s="543">
        <v>0.95</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3179">
        <f t="shared" si="11"/>
        <v>0.95</v>
      </c>
      <c r="R46" s="1572" t="s">
        <v>10</v>
      </c>
      <c r="S46" s="1573">
        <f t="shared" si="12"/>
        <v>100</v>
      </c>
      <c r="T46" s="1572" t="s">
        <v>10</v>
      </c>
      <c r="U46" s="1573">
        <f t="shared" si="13"/>
        <v>100</v>
      </c>
      <c r="V46" s="1572" t="s">
        <v>10</v>
      </c>
      <c r="W46" s="1573">
        <f t="shared" si="14"/>
        <v>100</v>
      </c>
      <c r="X46" s="3178"/>
      <c r="Y46" s="3484"/>
      <c r="Z46" s="3180">
        <f t="shared" si="15"/>
        <v>0.95</v>
      </c>
      <c r="AA46" s="3181">
        <f t="shared" si="3"/>
        <v>1</v>
      </c>
      <c r="AB46" s="3181">
        <f t="shared" si="4"/>
        <v>1</v>
      </c>
      <c r="AC46" s="3181">
        <f t="shared" si="5"/>
        <v>1</v>
      </c>
    </row>
    <row r="47" spans="1:29" ht="15">
      <c r="A47" s="606" t="s">
        <v>736</v>
      </c>
      <c r="B47" s="886"/>
      <c r="C47" s="2651" t="s">
        <v>9</v>
      </c>
      <c r="D47" s="2652"/>
      <c r="E47" s="2653">
        <f>ROUND(31500*B46,0)</f>
        <v>29925</v>
      </c>
      <c r="F47" s="2654"/>
      <c r="G47" s="2655">
        <f>ROUND(33000*B46,0)</f>
        <v>31350</v>
      </c>
      <c r="H47" s="2656"/>
      <c r="I47" s="2653">
        <f>ROUND(30000*B46,0)</f>
        <v>28500</v>
      </c>
      <c r="J47" s="2656"/>
      <c r="K47" s="1605"/>
      <c r="L47" s="2144"/>
      <c r="M47" s="2145"/>
      <c r="N47" s="2134"/>
      <c r="O47" s="2145"/>
      <c r="P47" s="3410" t="str">
        <f>A47</f>
        <v>成交单价（元/平方米）</v>
      </c>
      <c r="Q47" s="3410"/>
      <c r="R47" s="3483">
        <f>E47</f>
        <v>29925</v>
      </c>
      <c r="S47" s="3483"/>
      <c r="T47" s="3483">
        <f>G47</f>
        <v>31350</v>
      </c>
      <c r="U47" s="3483"/>
      <c r="V47" s="3483">
        <f>I47</f>
        <v>28500</v>
      </c>
      <c r="W47" s="3483"/>
      <c r="X47" s="1558"/>
      <c r="Y47" s="1580"/>
      <c r="Z47" s="1558"/>
      <c r="AA47" s="1558"/>
      <c r="AB47" s="1558"/>
      <c r="AC47" s="1558"/>
    </row>
    <row r="48" spans="1:29" ht="15.75" thickBot="1">
      <c r="A48" s="614" t="s">
        <v>2692</v>
      </c>
      <c r="B48" s="887"/>
      <c r="C48" s="2657">
        <f>R49</f>
        <v>36078</v>
      </c>
      <c r="D48" s="2658"/>
      <c r="E48" s="2659">
        <f>R48</f>
        <v>33845</v>
      </c>
      <c r="F48" s="2659"/>
      <c r="G48" s="2657">
        <f>T48</f>
        <v>39723</v>
      </c>
      <c r="H48" s="2658"/>
      <c r="I48" s="2659">
        <f>V48</f>
        <v>34666</v>
      </c>
      <c r="J48" s="2658"/>
      <c r="K48" s="1606"/>
      <c r="L48" s="2144"/>
      <c r="M48" s="2145"/>
      <c r="N48" s="2145"/>
      <c r="O48" s="2145"/>
      <c r="P48" s="3410" t="str">
        <f>A48</f>
        <v>比较价格（元/平方米）</v>
      </c>
      <c r="Q48" s="3410"/>
      <c r="R48" s="3483">
        <f>IF(F1="售价",ROUND(PRODUCT(R47,AA7:AA46),0),ROUND(PRODUCT(R47,AA7:AA46),1))</f>
        <v>33845</v>
      </c>
      <c r="S48" s="3483"/>
      <c r="T48" s="3483">
        <f>IF(F1="售价",ROUND(PRODUCT(T47,AB7:AB46),0),ROUND(PRODUCT(T47,AB7:AB46),1))</f>
        <v>39723</v>
      </c>
      <c r="U48" s="3483"/>
      <c r="V48" s="3483">
        <f>IF(F1="售价",ROUND(PRODUCT(V47,AC7:AC46),0),ROUND(PRODUCT(V47,AC7:AC46),1))</f>
        <v>34666</v>
      </c>
      <c r="W48" s="3483"/>
      <c r="X48" s="1558"/>
      <c r="Y48" s="1558"/>
      <c r="Z48" s="1558"/>
      <c r="AA48" s="1558"/>
      <c r="AB48" s="1558"/>
      <c r="AC48" s="1558"/>
    </row>
    <row r="49" spans="1:29" ht="15.75" thickBot="1">
      <c r="A49" s="620" t="s">
        <v>2929</v>
      </c>
      <c r="B49" s="621"/>
      <c r="C49" s="2660">
        <f>R49</f>
        <v>36078</v>
      </c>
      <c r="D49" s="2660"/>
      <c r="E49" s="2660"/>
      <c r="F49" s="2660"/>
      <c r="G49" s="2660"/>
      <c r="H49" s="2660"/>
      <c r="I49" s="2660"/>
      <c r="J49" s="2660"/>
      <c r="K49" s="1607"/>
      <c r="L49" s="2144"/>
      <c r="M49" s="2145"/>
      <c r="N49" s="2145"/>
      <c r="O49" s="2145"/>
      <c r="P49" s="3407" t="str">
        <f>A49</f>
        <v>估价对象XX用房的比较价格（楼面单价，元/平方米）</v>
      </c>
      <c r="Q49" s="3408"/>
      <c r="R49" s="3482">
        <f>IF(F1="售价",ROUND(AVERAGE(R48:V48),0),ROUND(AVERAGE(R48:V48),1))</f>
        <v>36078</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0.13099415204678366</v>
      </c>
      <c r="F52" s="626" t="str">
        <f>IF(OR(E52&gt;=0.3,E52&lt;=-0.3),"超过30%","")</f>
        <v/>
      </c>
      <c r="G52" s="625">
        <f>IF(G47&lt;G48,G48/G47-1,G47/G48-1)</f>
        <v>0.26708133971291859</v>
      </c>
      <c r="H52" s="626" t="str">
        <f>IF(OR(G52&gt;=0.3,G52&lt;=-0.3),"超过30%","")</f>
        <v/>
      </c>
      <c r="I52" s="625">
        <f>IF(I47&lt;I48,I48/I47-1,I47/I48-1)</f>
        <v>0.21635087719298252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0.17367410252622251</v>
      </c>
      <c r="F53" s="626" t="str">
        <f>IF(OR(E53&gt;=0.2,E53&lt;=-0.2),"超过20%","")</f>
        <v/>
      </c>
      <c r="G53" s="625">
        <f>IF(G48&lt;I48,I48/G48-1,G48/I48-1)</f>
        <v>0.14587780534241035</v>
      </c>
      <c r="H53" s="626" t="str">
        <f>IF(OR(G53&gt;=0.2,G53&lt;=-0.2),"超过20%","")</f>
        <v/>
      </c>
      <c r="I53" s="625">
        <f>IF(I48&lt;E48,E48/I48-1,I48/E48-1)</f>
        <v>2.4257645146993578E-2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3406</v>
      </c>
      <c r="D100" s="3197" t="s">
        <v>3419</v>
      </c>
      <c r="E100" s="3197" t="s">
        <v>3428</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3408</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3410</v>
      </c>
      <c r="D107" s="3199" t="s">
        <v>3411</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3401</v>
      </c>
      <c r="D109" s="3198" t="s">
        <v>3402</v>
      </c>
      <c r="E109" s="3198" t="s">
        <v>3403</v>
      </c>
      <c r="F109" s="3199" t="s">
        <v>3405</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3413</v>
      </c>
      <c r="D114" s="3198" t="s">
        <v>3414</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3415</v>
      </c>
      <c r="D116" s="3198" t="s">
        <v>3416</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3401</v>
      </c>
      <c r="D122" s="3198" t="s">
        <v>3402</v>
      </c>
      <c r="E122" s="3198" t="s">
        <v>3403</v>
      </c>
      <c r="F122" s="3199" t="s">
        <v>3405</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3424</v>
      </c>
      <c r="D126" s="3198" t="s">
        <v>3425</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0.95</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255</v>
      </c>
      <c r="C2" s="1350"/>
      <c r="D2" s="2055"/>
      <c r="E2" s="2056"/>
      <c r="F2" s="2056"/>
      <c r="G2" s="1589"/>
      <c r="H2" s="1362"/>
      <c r="I2" s="2057"/>
      <c r="J2" s="2057"/>
      <c r="K2" s="2058"/>
      <c r="L2" s="2057"/>
      <c r="M2" s="2057"/>
    </row>
    <row r="3" spans="1:25" ht="18" customHeight="1">
      <c r="A3" s="1644" t="s">
        <v>1686</v>
      </c>
      <c r="B3" s="1391">
        <f ca="1">ROUND(B2*10000/'数据-汇总表'!E3,0)</f>
        <v>22</v>
      </c>
      <c r="C3" s="1350"/>
      <c r="D3" s="2055"/>
      <c r="E3" s="2056"/>
      <c r="F3" s="2056"/>
      <c r="G3" s="1589"/>
      <c r="H3" s="775" t="s">
        <v>695</v>
      </c>
      <c r="I3" s="2057"/>
      <c r="J3" s="2057"/>
      <c r="K3" s="2058"/>
      <c r="L3" s="2057"/>
      <c r="M3" s="2057"/>
    </row>
    <row r="4" spans="1:25" ht="18" customHeight="1">
      <c r="A4" s="1645" t="s">
        <v>696</v>
      </c>
      <c r="B4" s="1351">
        <f ca="1">ROUND(B2*10000/'数据-汇总表'!D3,0)</f>
        <v>68</v>
      </c>
      <c r="C4" s="427"/>
      <c r="D4" s="2055"/>
      <c r="E4" s="2056"/>
      <c r="F4" s="2056"/>
      <c r="G4" s="1589"/>
      <c r="H4" s="775"/>
      <c r="I4" s="2057"/>
      <c r="J4" s="2057"/>
      <c r="K4" s="2058"/>
      <c r="L4" s="2057"/>
      <c r="M4" s="2057"/>
    </row>
    <row r="5" spans="1:25" ht="18" customHeight="1" thickBot="1">
      <c r="A5" s="1646"/>
      <c r="B5" s="429">
        <f ca="1">ROUND(B2/('数据-汇总表'!D3/666.67),0)</f>
        <v>5</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88" t="s">
        <v>2463</v>
      </c>
      <c r="C8" s="1825">
        <f ca="1">ROUND(F8*F10*F9*(1-F11)/10000,0)</f>
        <v>312</v>
      </c>
      <c r="D8" s="1822" t="s">
        <v>2534</v>
      </c>
      <c r="E8" s="60" t="s">
        <v>637</v>
      </c>
      <c r="F8" s="784">
        <f ca="1">INDIRECT("'数据-取费表'!u"&amp;$G$1)</f>
        <v>1</v>
      </c>
      <c r="G8" s="1591"/>
      <c r="H8" s="2528" t="s">
        <v>1824</v>
      </c>
      <c r="I8" s="3488" t="s">
        <v>2463</v>
      </c>
      <c r="J8" s="782">
        <f ca="1">ROUND(M8*M10*M9*(1-M11)/10000,0)</f>
        <v>0</v>
      </c>
      <c r="K8" s="340" t="s">
        <v>2534</v>
      </c>
      <c r="L8" s="783" t="s">
        <v>1738</v>
      </c>
      <c r="M8" s="784">
        <f ca="1">INDIRECT("'数据-取费表'!z"&amp;$G$1)</f>
        <v>0</v>
      </c>
    </row>
    <row r="9" spans="1:25" ht="18" customHeight="1">
      <c r="A9" s="2524"/>
      <c r="B9" s="3489"/>
      <c r="C9" s="1826"/>
      <c r="D9" s="1823"/>
      <c r="E9" s="60" t="s">
        <v>638</v>
      </c>
      <c r="F9" s="784">
        <f ca="1">IF(INDIRECT("'数据-取费表'!ah"&amp;$G$1)="",INDIRECT("'数据-取费表'!k"&amp;$G$1),INDIRECT("'数据-取费表'!ah"&amp;$G$1))</f>
        <v>9512.2999999999993</v>
      </c>
      <c r="G9" s="1591"/>
      <c r="H9" s="2513"/>
      <c r="I9" s="3489"/>
      <c r="J9" s="787"/>
      <c r="K9" s="788"/>
      <c r="L9" s="783" t="s">
        <v>1739</v>
      </c>
      <c r="M9" s="784">
        <f ca="1">F9</f>
        <v>9512.2999999999993</v>
      </c>
    </row>
    <row r="10" spans="1:25" ht="18" customHeight="1">
      <c r="A10" s="2517"/>
      <c r="B10" s="3490"/>
      <c r="C10" s="1826"/>
      <c r="D10" s="1823"/>
      <c r="E10" s="60" t="s">
        <v>639</v>
      </c>
      <c r="F10" s="784">
        <f ca="1">INDIRECT("'数据-取费表'!ai"&amp;$G$1)</f>
        <v>365</v>
      </c>
      <c r="G10" s="1591"/>
      <c r="H10" s="2513"/>
      <c r="I10" s="3490"/>
      <c r="J10" s="787"/>
      <c r="K10" s="788"/>
      <c r="L10" s="783" t="s">
        <v>1740</v>
      </c>
      <c r="M10" s="784">
        <f ca="1">INDIRECT("'数据-取费表'!ai"&amp;$G$1)</f>
        <v>365</v>
      </c>
    </row>
    <row r="11" spans="1:25" ht="18" customHeight="1">
      <c r="A11" s="785"/>
      <c r="B11" s="3491"/>
      <c r="C11" s="1826"/>
      <c r="D11" s="1823"/>
      <c r="E11" s="60" t="s">
        <v>640</v>
      </c>
      <c r="F11" s="793">
        <f ca="1">INDIRECT("'数据-取费表'!w"&amp;$G$1)</f>
        <v>0.1</v>
      </c>
      <c r="G11" s="1591"/>
      <c r="H11" s="2529"/>
      <c r="I11" s="3490"/>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2352</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2352</v>
      </c>
      <c r="K16" s="25"/>
      <c r="L16" s="800"/>
      <c r="M16" s="801"/>
    </row>
    <row r="17" spans="1:25" s="2064" customFormat="1" ht="18" customHeight="1">
      <c r="A17" s="802" t="s">
        <v>1849</v>
      </c>
      <c r="B17" s="783" t="s">
        <v>647</v>
      </c>
      <c r="C17" s="52">
        <f ca="1">ROUND(C16*F17,0)</f>
        <v>52</v>
      </c>
      <c r="D17" s="805" t="s">
        <v>648</v>
      </c>
      <c r="E17" s="805" t="s">
        <v>649</v>
      </c>
      <c r="F17" s="806">
        <f>'数据-取费表'!B33</f>
        <v>0.03</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235</v>
      </c>
      <c r="K18" s="25" t="s">
        <v>652</v>
      </c>
      <c r="L18" s="1982"/>
      <c r="M18" s="55"/>
    </row>
    <row r="19" spans="1:25" s="2064" customFormat="1" ht="18" customHeight="1">
      <c r="A19" s="802" t="s">
        <v>1851</v>
      </c>
      <c r="B19" s="783" t="s">
        <v>653</v>
      </c>
      <c r="C19" s="52">
        <f ca="1">ROUND(F19*(INDIRECT("'数据-取费表'!k"&amp;$G$1)+INDIRECT("'数据-取费表'!S"&amp;$G$1))/10000,0)</f>
        <v>143</v>
      </c>
      <c r="D19" s="783" t="s">
        <v>654</v>
      </c>
      <c r="E19" s="783" t="s">
        <v>655</v>
      </c>
      <c r="F19" s="55">
        <f>'数据-取费表'!B35</f>
        <v>150</v>
      </c>
      <c r="G19" s="1592"/>
      <c r="H19" s="802" t="s">
        <v>2069</v>
      </c>
      <c r="I19" s="783" t="s">
        <v>656</v>
      </c>
      <c r="J19" s="52">
        <f ca="1">ROUND(IF(项目基本情况!B11="自然人",J7*M19,J20+J21+J22),0)</f>
        <v>200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1943</v>
      </c>
      <c r="D21" s="260" t="s">
        <v>663</v>
      </c>
      <c r="E21" s="1982"/>
      <c r="F21" s="55"/>
      <c r="G21" s="1591"/>
      <c r="H21" s="1830" t="s">
        <v>1849</v>
      </c>
      <c r="I21" s="783" t="s">
        <v>664</v>
      </c>
      <c r="J21" s="52">
        <f ca="1">IF(K21="按租金收入计税",ROUND(J7*M21,1),ROUND(C31*F35*0.7,1))</f>
        <v>197.6</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0.02</v>
      </c>
      <c r="G23" s="1592"/>
      <c r="H23" s="1833"/>
      <c r="I23" s="1824"/>
      <c r="J23" s="68"/>
      <c r="K23" s="815"/>
      <c r="L23" s="783" t="s">
        <v>674</v>
      </c>
      <c r="M23" s="784">
        <f ca="1">INDIRECT("'数据-取费表'!r"&amp;$G$1)</f>
        <v>3025.01</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35</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94</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-235</v>
      </c>
      <c r="K27" s="1979" t="s">
        <v>700</v>
      </c>
      <c r="L27" s="1981"/>
      <c r="M27" s="819"/>
    </row>
    <row r="28" spans="1:25" ht="18" customHeight="1">
      <c r="A28" s="802" t="s">
        <v>1875</v>
      </c>
      <c r="B28" s="783" t="s">
        <v>2438</v>
      </c>
      <c r="C28" s="52">
        <f ca="1">ROUND((C21+C22)*F28,0)</f>
        <v>99</v>
      </c>
      <c r="D28" s="811" t="s">
        <v>701</v>
      </c>
      <c r="E28" s="794" t="s">
        <v>702</v>
      </c>
      <c r="F28" s="793">
        <f ca="1">INDIRECT("'数据-取费表'!q"&amp;$G$1)</f>
        <v>0.05</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1E-3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2352</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99</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55.5</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3434</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1.5</v>
      </c>
      <c r="D36" s="813" t="s">
        <v>669</v>
      </c>
      <c r="E36" s="783" t="s">
        <v>670</v>
      </c>
      <c r="F36" s="639">
        <f>'数据-取费表'!B52</f>
        <v>5</v>
      </c>
      <c r="G36" s="2062"/>
      <c r="H36" s="2065"/>
      <c r="I36" s="3487"/>
      <c r="J36" s="2079"/>
      <c r="K36" s="2080"/>
      <c r="L36" s="2079"/>
      <c r="M36" s="2079"/>
    </row>
    <row r="37" spans="1:18" ht="18" customHeight="1">
      <c r="A37" s="814"/>
      <c r="B37" s="792"/>
      <c r="C37" s="68"/>
      <c r="D37" s="815"/>
      <c r="E37" s="783" t="s">
        <v>674</v>
      </c>
      <c r="F37" s="784">
        <f ca="1">INDIRECT("'数据-取费表'!r"&amp;$G$1)</f>
        <v>3025.01</v>
      </c>
      <c r="G37" s="2062"/>
      <c r="H37" s="2065"/>
      <c r="I37" s="3487"/>
      <c r="J37" s="2077"/>
      <c r="K37" s="2078"/>
      <c r="L37" s="2077"/>
      <c r="M37" s="2077"/>
    </row>
    <row r="38" spans="1:18" ht="18" customHeight="1">
      <c r="A38" s="802" t="s">
        <v>1877</v>
      </c>
      <c r="B38" s="783" t="s">
        <v>676</v>
      </c>
      <c r="C38" s="52">
        <f ca="1">ROUND(C31*F38,1)</f>
        <v>35.299999999999997</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3.5</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213</v>
      </c>
      <c r="D42" s="1979" t="s">
        <v>694</v>
      </c>
      <c r="E42" s="1981"/>
      <c r="F42" s="819"/>
      <c r="G42" s="2062"/>
      <c r="H42" s="2062"/>
      <c r="I42" s="2062"/>
      <c r="J42" s="2062"/>
      <c r="K42" s="2083"/>
      <c r="L42" s="2062"/>
      <c r="M42" s="2062"/>
    </row>
    <row r="43" spans="1:18" ht="18" customHeight="1">
      <c r="A43" s="802" t="s">
        <v>1877</v>
      </c>
      <c r="B43" s="834" t="s">
        <v>711</v>
      </c>
      <c r="C43" s="835">
        <f ca="1">ROUND(C15*F43,0)</f>
        <v>200</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13</v>
      </c>
      <c r="D44" s="462" t="s">
        <v>714</v>
      </c>
      <c r="E44" s="463"/>
      <c r="F44" s="464"/>
      <c r="G44" s="2062"/>
      <c r="H44" s="2062"/>
      <c r="I44" s="2062"/>
      <c r="J44" s="2062"/>
      <c r="K44" s="2083"/>
      <c r="L44" s="2062"/>
      <c r="M44" s="2062"/>
    </row>
    <row r="45" spans="1:18" ht="18" customHeight="1">
      <c r="A45" s="802" t="s">
        <v>1879</v>
      </c>
      <c r="B45" s="1355" t="s">
        <v>715</v>
      </c>
      <c r="C45" s="3059">
        <f ca="1">ROUND(-PV(F45,F46,C44,0),0)</f>
        <v>255</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3435</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3436</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2352</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92"/>
      <c r="L54" s="3493"/>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13</v>
      </c>
      <c r="R70" s="2427"/>
    </row>
    <row r="71" spans="1:18" s="2059" customFormat="1" ht="15.75" thickBot="1">
      <c r="A71" s="2096"/>
      <c r="B71" s="2097"/>
      <c r="C71" s="2097"/>
      <c r="K71" s="2086"/>
      <c r="O71" s="2425" t="s">
        <v>2399</v>
      </c>
      <c r="P71" s="2431" t="s">
        <v>2400</v>
      </c>
      <c r="Q71" s="2424">
        <f ca="1">C42</f>
        <v>213</v>
      </c>
      <c r="R71" s="2423" t="s">
        <v>2380</v>
      </c>
    </row>
    <row r="72" spans="1:18" s="2059" customFormat="1" ht="15.75" thickBot="1">
      <c r="A72" s="2096"/>
      <c r="B72" s="2097"/>
      <c r="C72" s="2097"/>
      <c r="K72" s="2086"/>
      <c r="O72" s="2425" t="s">
        <v>2401</v>
      </c>
      <c r="P72" s="2431" t="s">
        <v>2402</v>
      </c>
      <c r="Q72" s="2424">
        <f ca="1">C15</f>
        <v>2352</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00" t="s">
        <v>2576</v>
      </c>
      <c r="C1" s="3500"/>
      <c r="D1" s="3500"/>
      <c r="E1" s="3500"/>
      <c r="F1" s="3500"/>
      <c r="G1" s="3499" t="s">
        <v>2577</v>
      </c>
      <c r="H1" s="3499"/>
      <c r="I1" s="3499"/>
      <c r="J1" s="3499"/>
      <c r="K1" s="3499"/>
      <c r="L1" s="3499"/>
      <c r="N1" s="3499" t="s">
        <v>2578</v>
      </c>
      <c r="O1" s="3499"/>
      <c r="P1" s="3499"/>
      <c r="Q1" s="3499"/>
      <c r="R1" s="2678"/>
      <c r="S1" s="3499" t="s">
        <v>2579</v>
      </c>
      <c r="T1" s="3499"/>
      <c r="U1" s="3499"/>
      <c r="V1" s="3499"/>
      <c r="X1" s="3498" t="s">
        <v>2639</v>
      </c>
      <c r="Y1" s="3499"/>
      <c r="Z1" s="3499"/>
      <c r="AA1" s="3499"/>
      <c r="AB1" s="3499"/>
      <c r="AD1" s="3498" t="s">
        <v>2643</v>
      </c>
      <c r="AE1" s="3499"/>
      <c r="AF1" s="3499"/>
      <c r="AG1" s="3499"/>
      <c r="AH1" s="3499"/>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97">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95"/>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95"/>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96"/>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94">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95"/>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95"/>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96"/>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94">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95"/>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95"/>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96"/>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501">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02"/>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502"/>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03"/>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94">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95"/>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95"/>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96"/>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94">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95">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95">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96">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94">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95">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95">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96">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94">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95">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95">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96">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94">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95">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95">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96">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94">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95">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95">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96">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94">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95">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95">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96">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94">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95">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95">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96">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94">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95">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95">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96">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94">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95">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95">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96">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94">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95">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95">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96">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7" sqref="D3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4905</v>
      </c>
      <c r="C2" s="2057"/>
      <c r="D2" s="2055"/>
      <c r="E2" s="2056"/>
      <c r="F2" s="2056"/>
      <c r="G2" s="1589"/>
      <c r="H2" s="2057"/>
      <c r="I2" s="2057"/>
      <c r="J2" s="2057"/>
      <c r="K2" s="2058"/>
      <c r="L2" s="2057"/>
      <c r="M2" s="2057"/>
    </row>
    <row r="3" spans="1:33" ht="18" customHeight="1" thickBot="1">
      <c r="A3" s="832" t="s">
        <v>1727</v>
      </c>
      <c r="B3" s="833">
        <f ca="1">IF(ISERROR(B2*10000/F43),0,ROUND(B2*10000/F43,0))</f>
        <v>5156</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88" t="s">
        <v>2463</v>
      </c>
      <c r="C6" s="782">
        <f ca="1">ROUND(F6*F8*F7*(1-F9)/10000,0)</f>
        <v>312</v>
      </c>
      <c r="D6" s="2521" t="s">
        <v>2462</v>
      </c>
      <c r="E6" s="783" t="s">
        <v>1738</v>
      </c>
      <c r="F6" s="784">
        <f ca="1">INDIRECT("'数据-取费表'!u"&amp;$G$1)</f>
        <v>1</v>
      </c>
      <c r="G6" s="1591"/>
      <c r="H6" s="2528" t="s">
        <v>2468</v>
      </c>
      <c r="I6" s="3488" t="s">
        <v>2463</v>
      </c>
      <c r="J6" s="782">
        <f ca="1">ROUND(M6*M8*M7*(1-M9)/10000,0)</f>
        <v>0</v>
      </c>
      <c r="K6" s="340" t="s">
        <v>1737</v>
      </c>
      <c r="L6" s="783" t="s">
        <v>1738</v>
      </c>
      <c r="M6" s="784">
        <f ca="1">INDIRECT("'数据-取费表'!z"&amp;$G$1)</f>
        <v>0</v>
      </c>
    </row>
    <row r="7" spans="1:33" ht="18" customHeight="1">
      <c r="A7" s="2524"/>
      <c r="B7" s="3489"/>
      <c r="C7" s="787"/>
      <c r="D7" s="788"/>
      <c r="E7" s="783" t="s">
        <v>1739</v>
      </c>
      <c r="F7" s="784">
        <f ca="1">IF(INDIRECT("'数据-取费表'!ah"&amp;$G$1)="",INDIRECT("'数据-取费表'!k"&amp;$G$1),INDIRECT("'数据-取费表'!ah"&amp;$G$1))</f>
        <v>9512.2999999999993</v>
      </c>
      <c r="G7" s="1591"/>
      <c r="H7" s="2513"/>
      <c r="I7" s="3489"/>
      <c r="J7" s="787"/>
      <c r="K7" s="788"/>
      <c r="L7" s="783" t="s">
        <v>1739</v>
      </c>
      <c r="M7" s="784">
        <f ca="1">F7</f>
        <v>9512.2999999999993</v>
      </c>
    </row>
    <row r="8" spans="1:33" ht="18" customHeight="1">
      <c r="A8" s="2517"/>
      <c r="B8" s="3490"/>
      <c r="C8" s="787"/>
      <c r="D8" s="788"/>
      <c r="E8" s="783" t="s">
        <v>1740</v>
      </c>
      <c r="F8" s="784">
        <f ca="1">INDIRECT("'数据-取费表'!ai"&amp;$G$1)</f>
        <v>365</v>
      </c>
      <c r="G8" s="1591"/>
      <c r="H8" s="2513"/>
      <c r="I8" s="3490"/>
      <c r="J8" s="787"/>
      <c r="K8" s="788"/>
      <c r="L8" s="783" t="s">
        <v>1740</v>
      </c>
      <c r="M8" s="784">
        <f ca="1">INDIRECT("'数据-取费表'!ai"&amp;$G$1)</f>
        <v>365</v>
      </c>
    </row>
    <row r="9" spans="1:33" ht="18" customHeight="1">
      <c r="A9" s="785"/>
      <c r="B9" s="3491"/>
      <c r="C9" s="787"/>
      <c r="D9" s="788"/>
      <c r="E9" s="783" t="s">
        <v>1741</v>
      </c>
      <c r="F9" s="793">
        <f ca="1">INDIRECT("'数据-取费表'!w"&amp;$G$1)</f>
        <v>0.1</v>
      </c>
      <c r="G9" s="1591"/>
      <c r="H9" s="2529"/>
      <c r="I9" s="3490"/>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2352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2352</v>
      </c>
      <c r="K14" s="25"/>
      <c r="L14" s="800"/>
      <c r="M14" s="801"/>
    </row>
    <row r="15" spans="1:33" s="2064" customFormat="1" ht="18" customHeight="1" thickBot="1">
      <c r="A15" s="1647" t="s">
        <v>1885</v>
      </c>
      <c r="B15" s="783" t="s">
        <v>647</v>
      </c>
      <c r="C15" s="52">
        <f ca="1">ROUND(C14*F15,0)</f>
        <v>52</v>
      </c>
      <c r="D15" s="805" t="s">
        <v>1746</v>
      </c>
      <c r="E15" s="805" t="s">
        <v>1747</v>
      </c>
      <c r="F15" s="806">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235</v>
      </c>
      <c r="K16" s="1821" t="s">
        <v>1750</v>
      </c>
      <c r="L16" s="2510"/>
      <c r="M16" s="2515"/>
    </row>
    <row r="17" spans="1:33" s="2064" customFormat="1" ht="18" customHeight="1">
      <c r="A17" s="1647" t="s">
        <v>1887</v>
      </c>
      <c r="B17" s="783" t="s">
        <v>653</v>
      </c>
      <c r="C17" s="52">
        <f ca="1">ROUND(F17*(F43+INDIRECT("'数据-取费表'!S"&amp;$G$1))/10000,0)</f>
        <v>143</v>
      </c>
      <c r="D17" s="783" t="s">
        <v>1751</v>
      </c>
      <c r="E17" s="783" t="s">
        <v>1752</v>
      </c>
      <c r="F17" s="55">
        <f>'数据-取费表'!B35</f>
        <v>150</v>
      </c>
      <c r="G17" s="1592"/>
      <c r="H17" s="1648" t="s">
        <v>1830</v>
      </c>
      <c r="I17" s="783" t="s">
        <v>656</v>
      </c>
      <c r="J17" s="52">
        <f ca="1">ROUND(IF(项目基本情况!B11="自然人",J5*M17,J18+J19+J20),0)</f>
        <v>200</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1943</v>
      </c>
      <c r="D19" s="260" t="s">
        <v>1757</v>
      </c>
      <c r="E19" s="1982"/>
      <c r="F19" s="55"/>
      <c r="G19" s="1591"/>
      <c r="H19" s="1647" t="s">
        <v>1885</v>
      </c>
      <c r="I19" s="783" t="s">
        <v>1758</v>
      </c>
      <c r="J19" s="52">
        <f ca="1">IF(K19="按租金收入计税",ROUND(J5*M19,1),ROUND(C29*F33*0.7,1))</f>
        <v>197.6</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0.02</v>
      </c>
      <c r="G21" s="1592"/>
      <c r="H21" s="2530"/>
      <c r="I21" s="792"/>
      <c r="J21" s="68"/>
      <c r="K21" s="815"/>
      <c r="L21" s="783" t="s">
        <v>1766</v>
      </c>
      <c r="M21" s="784">
        <f ca="1">INDIRECT("'数据-取费表'!r"&amp;$G$1)</f>
        <v>3025.01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35</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94</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-235</v>
      </c>
      <c r="K25" s="2572" t="s">
        <v>1777</v>
      </c>
      <c r="L25" s="2573"/>
      <c r="M25" s="2574"/>
    </row>
    <row r="26" spans="1:33" ht="18" customHeight="1">
      <c r="A26" s="1647" t="s">
        <v>1831</v>
      </c>
      <c r="B26" s="783" t="s">
        <v>2438</v>
      </c>
      <c r="C26" s="52">
        <f ca="1">ROUND((C19+C20)*F26,0)</f>
        <v>99</v>
      </c>
      <c r="D26" s="811" t="s">
        <v>1778</v>
      </c>
      <c r="E26" s="794" t="s">
        <v>1779</v>
      </c>
      <c r="F26" s="793">
        <f ca="1">INDIRECT("'数据-取费表'!q"&amp;$G$1)</f>
        <v>0.05</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1E-3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2352</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99</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3434</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1.5</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3025.01</v>
      </c>
      <c r="G35" s="2062"/>
      <c r="H35" s="2065"/>
      <c r="I35" s="836" t="s">
        <v>1814</v>
      </c>
      <c r="J35" s="837">
        <f ca="1">ROUND(C13*J36,0)</f>
        <v>200</v>
      </c>
      <c r="K35" s="2078"/>
      <c r="L35" s="2077"/>
      <c r="M35" s="2077"/>
    </row>
    <row r="36" spans="1:18" ht="18" customHeight="1">
      <c r="A36" s="1648" t="s">
        <v>1889</v>
      </c>
      <c r="B36" s="783" t="s">
        <v>1802</v>
      </c>
      <c r="C36" s="52">
        <f ca="1">ROUND(C29*F36,1)</f>
        <v>35.299999999999997</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3.5</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213</v>
      </c>
      <c r="D39" s="2572" t="s">
        <v>1806</v>
      </c>
      <c r="E39" s="2573"/>
      <c r="F39" s="2574"/>
      <c r="G39" s="2062"/>
      <c r="H39" s="2077"/>
      <c r="I39" s="836" t="s">
        <v>1818</v>
      </c>
      <c r="J39" s="844">
        <f ca="1">ROUND(J35/C39,3)</f>
        <v>0.93899999999999995</v>
      </c>
      <c r="K39" s="2083"/>
      <c r="L39" s="2077"/>
      <c r="M39" s="2077"/>
    </row>
    <row r="40" spans="1:18" ht="18" customHeight="1">
      <c r="A40" s="780" t="s">
        <v>1895</v>
      </c>
      <c r="B40" s="2232" t="s">
        <v>2301</v>
      </c>
      <c r="C40" s="782">
        <f ca="1">ROUND(C39*(1-((1+F42)/(1+F40))^F41)/(F40-F42),0)</f>
        <v>4905</v>
      </c>
      <c r="D40" s="813" t="s">
        <v>1807</v>
      </c>
      <c r="E40" s="783" t="s">
        <v>2419</v>
      </c>
      <c r="F40" s="793">
        <f ca="1">INDIRECT("'数据-取费表'!I"&amp;$G$1)</f>
        <v>0.05</v>
      </c>
      <c r="G40" s="2062"/>
      <c r="H40" s="2062"/>
      <c r="I40" s="836" t="s">
        <v>1819</v>
      </c>
      <c r="J40" s="844">
        <f ca="1">1-J39</f>
        <v>6.1000000000000054E-2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0.48</v>
      </c>
      <c r="K42" s="2082"/>
      <c r="L42" s="1988"/>
      <c r="M42" s="1988"/>
    </row>
    <row r="43" spans="1:18" ht="18" customHeight="1" thickBot="1">
      <c r="A43" s="822" t="s">
        <v>1787</v>
      </c>
      <c r="B43" s="823" t="s">
        <v>1810</v>
      </c>
      <c r="C43" s="824">
        <f ca="1">ROUND(C40*10000/F43,0)</f>
        <v>5156</v>
      </c>
      <c r="D43" s="825" t="s">
        <v>1811</v>
      </c>
      <c r="E43" s="826" t="s">
        <v>1812</v>
      </c>
      <c r="F43" s="827">
        <f ca="1">INDIRECT("'数据-取费表'!k"&amp;$G$1)</f>
        <v>9512.2999999999993</v>
      </c>
      <c r="G43" s="2062"/>
      <c r="H43" s="1988"/>
      <c r="I43" s="846" t="s">
        <v>1822</v>
      </c>
      <c r="J43" s="847">
        <f ca="1">1-J42</f>
        <v>0.52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-5629</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3407</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4905</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2352</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256</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504" t="s">
        <v>2963</v>
      </c>
      <c r="L53" s="3505"/>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4905</v>
      </c>
      <c r="R54" s="2427" t="s">
        <v>2392</v>
      </c>
    </row>
    <row r="55" spans="1:18" s="2059" customFormat="1" ht="18" customHeight="1" thickTop="1" thickBot="1">
      <c r="A55" s="796">
        <v>2</v>
      </c>
      <c r="B55" s="797" t="s">
        <v>644</v>
      </c>
      <c r="C55" s="798">
        <f ca="1">C13</f>
        <v>2352</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2352</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40</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4905</v>
      </c>
      <c r="R57" s="2423" t="s">
        <v>2380</v>
      </c>
    </row>
    <row r="58" spans="1:18" s="2059" customFormat="1" ht="28.5" customHeight="1" thickBot="1">
      <c r="A58" s="1648" t="s">
        <v>1824</v>
      </c>
      <c r="B58" s="783" t="s">
        <v>656</v>
      </c>
      <c r="C58" s="52">
        <f ca="1">ROUND(IF(项目基本情况!B11="自然人",C47*F58,C59+C60+C61),1)</f>
        <v>1.5</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1.5</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3025.01</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35.299999999999997</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4905</v>
      </c>
      <c r="R63" s="2427" t="s">
        <v>2392</v>
      </c>
    </row>
    <row r="64" spans="1:18" s="2059" customFormat="1" ht="16.5" thickBot="1">
      <c r="A64" s="1648" t="s">
        <v>1890</v>
      </c>
      <c r="B64" s="783" t="s">
        <v>679</v>
      </c>
      <c r="C64" s="52">
        <f ca="1">ROUND(C55*F64,1)</f>
        <v>3.5</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-40</v>
      </c>
      <c r="D66" s="2662" t="s">
        <v>700</v>
      </c>
      <c r="E66" s="2661"/>
      <c r="F66" s="819"/>
      <c r="K66" s="2086"/>
      <c r="O66" s="2422" t="s">
        <v>2379</v>
      </c>
      <c r="P66" s="2423" t="s">
        <v>2409</v>
      </c>
      <c r="Q66" s="2424">
        <f ca="1">C40+J29</f>
        <v>4905</v>
      </c>
      <c r="R66" s="2423" t="s">
        <v>2380</v>
      </c>
    </row>
    <row r="67" spans="1:18" s="2059" customFormat="1" ht="20.25" thickBot="1">
      <c r="A67" s="780" t="s">
        <v>1780</v>
      </c>
      <c r="B67" s="2232" t="s">
        <v>2301</v>
      </c>
      <c r="C67" s="782">
        <f ca="1">ROUND(C66*(1-((1+F69)/(1+F67))^F68)/(F67-F69),0)</f>
        <v>-724</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256</v>
      </c>
      <c r="R68" s="2430" t="s">
        <v>2416</v>
      </c>
    </row>
    <row r="69" spans="1:18" ht="20.25" thickBot="1">
      <c r="A69" s="789"/>
      <c r="B69" s="790"/>
      <c r="C69" s="791"/>
      <c r="D69" s="815"/>
      <c r="E69" s="783" t="s">
        <v>710</v>
      </c>
      <c r="F69" s="2371"/>
      <c r="O69" s="2425" t="s">
        <v>2384</v>
      </c>
      <c r="P69" s="2431" t="s">
        <v>2398</v>
      </c>
      <c r="Q69" s="2424">
        <f ca="1">ROUND(Q70-Q71*Q72,0)</f>
        <v>13</v>
      </c>
      <c r="R69" s="2427"/>
    </row>
    <row r="70" spans="1:18" ht="15.75" thickBot="1">
      <c r="A70" s="822" t="s">
        <v>1787</v>
      </c>
      <c r="B70" s="823" t="s">
        <v>1810</v>
      </c>
      <c r="C70" s="824">
        <f ca="1">ROUND(C67*10000/F70,0)</f>
        <v>-761</v>
      </c>
      <c r="D70" s="825" t="s">
        <v>1811</v>
      </c>
      <c r="E70" s="826" t="s">
        <v>1812</v>
      </c>
      <c r="F70" s="827">
        <f ca="1">F43</f>
        <v>9512.2999999999993</v>
      </c>
      <c r="O70" s="2425" t="s">
        <v>2399</v>
      </c>
      <c r="P70" s="2431" t="s">
        <v>2400</v>
      </c>
      <c r="Q70" s="2424">
        <f ca="1">C39</f>
        <v>213</v>
      </c>
      <c r="R70" s="2423" t="s">
        <v>2380</v>
      </c>
    </row>
    <row r="71" spans="1:18" ht="15.75" thickBot="1">
      <c r="O71" s="2425" t="s">
        <v>2401</v>
      </c>
      <c r="P71" s="2431" t="s">
        <v>2402</v>
      </c>
      <c r="Q71" s="2424">
        <f ca="1">C13</f>
        <v>2352</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4905</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6" t="s">
        <v>2471</v>
      </c>
      <c r="B1" s="3507"/>
      <c r="C1" s="3508"/>
      <c r="D1" s="3509">
        <f>SUM(I10,I15,I20,I21,I23)</f>
        <v>0</v>
      </c>
      <c r="E1" s="3509"/>
      <c r="F1" s="3509"/>
      <c r="G1" s="3509"/>
      <c r="H1" s="3509"/>
      <c r="I1" s="3510"/>
    </row>
    <row r="2" spans="1:9">
      <c r="A2" s="3511" t="s">
        <v>2472</v>
      </c>
      <c r="B2" s="3512" t="s">
        <v>2473</v>
      </c>
      <c r="C2" s="3512"/>
      <c r="D2" s="2531" t="s">
        <v>2474</v>
      </c>
      <c r="E2" s="2531" t="s">
        <v>2475</v>
      </c>
      <c r="F2" s="2531" t="s">
        <v>2476</v>
      </c>
      <c r="G2" s="2531" t="s">
        <v>2477</v>
      </c>
      <c r="H2" s="2531" t="s">
        <v>2478</v>
      </c>
      <c r="I2" s="2532" t="s">
        <v>2479</v>
      </c>
    </row>
    <row r="3" spans="1:9">
      <c r="A3" s="3511"/>
      <c r="B3" s="3512" t="s">
        <v>2480</v>
      </c>
      <c r="C3" s="3512"/>
      <c r="D3" s="2533"/>
      <c r="E3" s="2531"/>
      <c r="F3" s="2534"/>
      <c r="G3" s="2534"/>
      <c r="H3" s="2535"/>
      <c r="I3" s="2536">
        <f>ROUND(D3*E3*F3*G3*H3/10000,0)</f>
        <v>0</v>
      </c>
    </row>
    <row r="4" spans="1:9">
      <c r="A4" s="3511"/>
      <c r="B4" s="3512" t="s">
        <v>2481</v>
      </c>
      <c r="C4" s="3512"/>
      <c r="D4" s="2533"/>
      <c r="E4" s="2531"/>
      <c r="F4" s="2534"/>
      <c r="G4" s="2534"/>
      <c r="H4" s="2535"/>
      <c r="I4" s="2536">
        <f t="shared" ref="I4:I9" si="0">ROUND(D4*E4*F4*G4*H4/10000,0)</f>
        <v>0</v>
      </c>
    </row>
    <row r="5" spans="1:9">
      <c r="A5" s="3511"/>
      <c r="B5" s="3512" t="s">
        <v>2482</v>
      </c>
      <c r="C5" s="3512"/>
      <c r="D5" s="2533"/>
      <c r="E5" s="2531"/>
      <c r="F5" s="2534"/>
      <c r="G5" s="2534"/>
      <c r="H5" s="2535"/>
      <c r="I5" s="2536">
        <f t="shared" si="0"/>
        <v>0</v>
      </c>
    </row>
    <row r="6" spans="1:9">
      <c r="A6" s="3511"/>
      <c r="B6" s="3512" t="s">
        <v>2483</v>
      </c>
      <c r="C6" s="3512"/>
      <c r="D6" s="2533"/>
      <c r="E6" s="2531"/>
      <c r="F6" s="2534"/>
      <c r="G6" s="2534"/>
      <c r="H6" s="2535"/>
      <c r="I6" s="2536">
        <f t="shared" si="0"/>
        <v>0</v>
      </c>
    </row>
    <row r="7" spans="1:9">
      <c r="A7" s="3511"/>
      <c r="B7" s="3512" t="s">
        <v>2484</v>
      </c>
      <c r="C7" s="3512"/>
      <c r="D7" s="2533"/>
      <c r="E7" s="2531"/>
      <c r="F7" s="2534"/>
      <c r="G7" s="2534"/>
      <c r="H7" s="2535"/>
      <c r="I7" s="2536">
        <f t="shared" si="0"/>
        <v>0</v>
      </c>
    </row>
    <row r="8" spans="1:9">
      <c r="A8" s="3511"/>
      <c r="B8" s="3512" t="s">
        <v>2485</v>
      </c>
      <c r="C8" s="3512"/>
      <c r="D8" s="2533"/>
      <c r="E8" s="2531"/>
      <c r="F8" s="2534"/>
      <c r="G8" s="2534"/>
      <c r="H8" s="2535"/>
      <c r="I8" s="2536">
        <f t="shared" si="0"/>
        <v>0</v>
      </c>
    </row>
    <row r="9" spans="1:9">
      <c r="A9" s="3511"/>
      <c r="B9" s="3512" t="s">
        <v>2486</v>
      </c>
      <c r="C9" s="3512"/>
      <c r="D9" s="2533"/>
      <c r="E9" s="2531"/>
      <c r="F9" s="2534"/>
      <c r="G9" s="2534"/>
      <c r="H9" s="2535"/>
      <c r="I9" s="2536">
        <f t="shared" si="0"/>
        <v>0</v>
      </c>
    </row>
    <row r="10" spans="1:9">
      <c r="A10" s="3511"/>
      <c r="B10" s="3513" t="s">
        <v>2487</v>
      </c>
      <c r="C10" s="3513"/>
      <c r="D10" s="2537">
        <v>527</v>
      </c>
      <c r="E10" s="2537" t="e">
        <f>ROUND(D1*10000/D10/H9,0)</f>
        <v>#DIV/0!</v>
      </c>
      <c r="F10" s="2538"/>
      <c r="G10" s="2538"/>
      <c r="H10" s="2539"/>
      <c r="I10" s="2540">
        <f>SUM(I3:I9)</f>
        <v>0</v>
      </c>
    </row>
    <row r="11" spans="1:9" ht="14.25">
      <c r="A11" s="3511" t="s">
        <v>2488</v>
      </c>
      <c r="B11" s="3512" t="s">
        <v>2489</v>
      </c>
      <c r="C11" s="3512"/>
      <c r="D11" s="2533" t="s">
        <v>2490</v>
      </c>
      <c r="E11" s="2533" t="s">
        <v>2491</v>
      </c>
      <c r="F11" s="2534" t="s">
        <v>2492</v>
      </c>
      <c r="G11" s="2534" t="s">
        <v>2493</v>
      </c>
      <c r="H11" s="2541" t="s">
        <v>2494</v>
      </c>
      <c r="I11" s="2532" t="s">
        <v>2495</v>
      </c>
    </row>
    <row r="12" spans="1:9">
      <c r="A12" s="3511"/>
      <c r="B12" s="3512" t="s">
        <v>2496</v>
      </c>
      <c r="C12" s="3512"/>
      <c r="D12" s="2533"/>
      <c r="E12" s="2533"/>
      <c r="F12" s="2534"/>
      <c r="G12" s="2535"/>
      <c r="H12" s="2542"/>
      <c r="I12" s="2532">
        <f>ROUND(D12*E12*F12*G12/10000,0)</f>
        <v>0</v>
      </c>
    </row>
    <row r="13" spans="1:9">
      <c r="A13" s="3511"/>
      <c r="B13" s="3512" t="s">
        <v>2497</v>
      </c>
      <c r="C13" s="3512"/>
      <c r="D13" s="2533"/>
      <c r="E13" s="2533"/>
      <c r="F13" s="2534"/>
      <c r="G13" s="2535"/>
      <c r="H13" s="2542"/>
      <c r="I13" s="2532">
        <f>ROUND(D13*E13*F13*G13/10000,0)</f>
        <v>0</v>
      </c>
    </row>
    <row r="14" spans="1:9">
      <c r="A14" s="3511"/>
      <c r="B14" s="3512" t="s">
        <v>2498</v>
      </c>
      <c r="C14" s="3512"/>
      <c r="D14" s="2533"/>
      <c r="E14" s="2533"/>
      <c r="F14" s="2534"/>
      <c r="G14" s="2535"/>
      <c r="H14" s="2542"/>
      <c r="I14" s="2532">
        <f>ROUND(D14*E14*F14*G14/10000,0)</f>
        <v>0</v>
      </c>
    </row>
    <row r="15" spans="1:9">
      <c r="A15" s="3511"/>
      <c r="B15" s="3513" t="s">
        <v>2487</v>
      </c>
      <c r="C15" s="3513"/>
      <c r="D15" s="2537"/>
      <c r="E15" s="2537">
        <f>SUM(E12:E14)</f>
        <v>0</v>
      </c>
      <c r="F15" s="2538"/>
      <c r="G15" s="2535"/>
      <c r="H15" s="2542"/>
      <c r="I15" s="2543">
        <f>SUM(I12:I14)</f>
        <v>0</v>
      </c>
    </row>
    <row r="16" spans="1:9" ht="24">
      <c r="A16" s="3511" t="s">
        <v>2499</v>
      </c>
      <c r="B16" s="3512" t="s">
        <v>2500</v>
      </c>
      <c r="C16" s="3512"/>
      <c r="D16" s="2533" t="s">
        <v>2501</v>
      </c>
      <c r="E16" s="2544" t="s">
        <v>2502</v>
      </c>
      <c r="F16" s="2534" t="s">
        <v>2503</v>
      </c>
      <c r="G16" s="2535" t="s">
        <v>2493</v>
      </c>
      <c r="H16" s="2541" t="s">
        <v>2494</v>
      </c>
      <c r="I16" s="2532" t="s">
        <v>2495</v>
      </c>
    </row>
    <row r="17" spans="1:9" ht="14.25">
      <c r="A17" s="3511"/>
      <c r="B17" s="3512" t="s">
        <v>2504</v>
      </c>
      <c r="C17" s="3512"/>
      <c r="D17" s="2533"/>
      <c r="E17" s="2533"/>
      <c r="F17" s="2534"/>
      <c r="G17" s="2535"/>
      <c r="H17" s="2545"/>
      <c r="I17" s="2546">
        <f>ROUND(D17*E17*F17*G17/10000,0)</f>
        <v>0</v>
      </c>
    </row>
    <row r="18" spans="1:9" ht="14.25">
      <c r="A18" s="3511"/>
      <c r="B18" s="3512" t="s">
        <v>2505</v>
      </c>
      <c r="C18" s="3512"/>
      <c r="D18" s="2533"/>
      <c r="E18" s="2533"/>
      <c r="F18" s="2534"/>
      <c r="G18" s="2535"/>
      <c r="H18" s="2545"/>
      <c r="I18" s="2546">
        <f>ROUND(D18*E18*F18*G18/10000,0)</f>
        <v>0</v>
      </c>
    </row>
    <row r="19" spans="1:9" ht="14.25">
      <c r="A19" s="3511"/>
      <c r="B19" s="3512" t="s">
        <v>2506</v>
      </c>
      <c r="C19" s="3512"/>
      <c r="D19" s="2533"/>
      <c r="E19" s="2533"/>
      <c r="F19" s="2534"/>
      <c r="G19" s="2535"/>
      <c r="H19" s="2545"/>
      <c r="I19" s="2546">
        <f>ROUND(D19*E19*F19*G19/10000,0)</f>
        <v>0</v>
      </c>
    </row>
    <row r="20" spans="1:9">
      <c r="A20" s="3511"/>
      <c r="B20" s="3513" t="s">
        <v>2487</v>
      </c>
      <c r="C20" s="3513"/>
      <c r="D20" s="2537">
        <f>SUM(D17:D19)</f>
        <v>0</v>
      </c>
      <c r="E20" s="2537"/>
      <c r="F20" s="2538"/>
      <c r="G20" s="2535"/>
      <c r="H20" s="2542"/>
      <c r="I20" s="2543">
        <f>SUM(I17:I19)</f>
        <v>0</v>
      </c>
    </row>
    <row r="21" spans="1:9">
      <c r="A21" s="3511" t="s">
        <v>2507</v>
      </c>
      <c r="B21" s="3515"/>
      <c r="C21" s="3515"/>
      <c r="D21" s="3515"/>
      <c r="E21" s="3515"/>
      <c r="F21" s="3515"/>
      <c r="G21" s="3515"/>
      <c r="H21" s="2547">
        <v>0.1</v>
      </c>
      <c r="I21" s="2540">
        <f>ROUND(I10*H21,0)</f>
        <v>0</v>
      </c>
    </row>
    <row r="22" spans="1:9" ht="14.25">
      <c r="A22" s="3516" t="s">
        <v>2508</v>
      </c>
      <c r="B22" s="3517"/>
      <c r="C22" s="3518"/>
      <c r="D22" s="2548" t="s">
        <v>2509</v>
      </c>
      <c r="E22" s="2548" t="s">
        <v>2510</v>
      </c>
      <c r="F22" s="2549" t="s">
        <v>2511</v>
      </c>
      <c r="G22" s="2549" t="s">
        <v>2512</v>
      </c>
      <c r="H22" s="2541" t="s">
        <v>2513</v>
      </c>
      <c r="I22" s="2532" t="s">
        <v>2514</v>
      </c>
    </row>
    <row r="23" spans="1:9" ht="14.25" thickBot="1">
      <c r="A23" s="3519"/>
      <c r="B23" s="3520"/>
      <c r="C23" s="3521"/>
      <c r="D23" s="2550"/>
      <c r="E23" s="2550"/>
      <c r="F23" s="2550"/>
      <c r="G23" s="2551"/>
      <c r="H23" s="2552"/>
      <c r="I23" s="2553">
        <f>ROUND(E23*D23*F23*(1-G23)/10000,0)</f>
        <v>0</v>
      </c>
    </row>
    <row r="26" spans="1:9">
      <c r="A26" s="2554" t="s">
        <v>2515</v>
      </c>
      <c r="B26" s="2554"/>
      <c r="C26" s="2554"/>
      <c r="D26" s="2554"/>
      <c r="E26" s="3522">
        <f>C27-C30-C31-C32</f>
        <v>0</v>
      </c>
      <c r="F26" s="3522"/>
      <c r="G26" s="3522"/>
      <c r="H26" s="3065" t="s">
        <v>2842</v>
      </c>
    </row>
    <row r="27" spans="1:9">
      <c r="A27" s="2555">
        <v>1</v>
      </c>
      <c r="B27" s="2556" t="s">
        <v>2516</v>
      </c>
      <c r="C27" s="2556"/>
      <c r="D27" s="2556"/>
      <c r="E27" s="3523"/>
      <c r="F27" s="3523"/>
      <c r="G27" s="3523"/>
    </row>
    <row r="28" spans="1:9">
      <c r="A28" s="2557" t="s">
        <v>2517</v>
      </c>
      <c r="B28" s="2556" t="s">
        <v>2518</v>
      </c>
      <c r="C28" s="2556"/>
      <c r="D28" s="2556"/>
      <c r="E28" s="3523"/>
      <c r="F28" s="3523"/>
      <c r="G28" s="3523"/>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14"/>
      <c r="F32" s="3514"/>
      <c r="G32" s="3514"/>
    </row>
    <row r="33" spans="1:7" hidden="1">
      <c r="A33" s="3524" t="s">
        <v>2526</v>
      </c>
      <c r="B33" s="3525"/>
      <c r="C33" s="3525"/>
      <c r="D33" s="3526"/>
      <c r="E33" s="3522"/>
      <c r="F33" s="3522"/>
      <c r="G33" s="3522"/>
    </row>
    <row r="34" spans="1:7" hidden="1">
      <c r="A34" s="2559">
        <v>1</v>
      </c>
      <c r="B34" s="2556" t="s">
        <v>2527</v>
      </c>
      <c r="C34" s="2556"/>
      <c r="D34" s="2556"/>
      <c r="E34" s="3523"/>
      <c r="F34" s="3523"/>
      <c r="G34" s="3523"/>
    </row>
    <row r="35" spans="1:7" hidden="1">
      <c r="A35" s="2559">
        <v>2</v>
      </c>
      <c r="B35" s="2556" t="s">
        <v>2528</v>
      </c>
      <c r="C35" s="2556"/>
      <c r="D35" s="2556"/>
      <c r="E35" s="3523"/>
      <c r="F35" s="3523"/>
      <c r="G35" s="3523"/>
    </row>
    <row r="36" spans="1:7" hidden="1">
      <c r="A36" s="2559">
        <v>3</v>
      </c>
      <c r="B36" s="2556" t="s">
        <v>2529</v>
      </c>
      <c r="C36" s="2556"/>
      <c r="D36" s="2556"/>
      <c r="E36" s="3523"/>
      <c r="F36" s="3523"/>
      <c r="G36" s="3523"/>
    </row>
    <row r="37" spans="1:7" hidden="1">
      <c r="A37" s="2559">
        <v>4</v>
      </c>
      <c r="B37" s="2556" t="s">
        <v>2530</v>
      </c>
      <c r="C37" s="2556"/>
      <c r="D37" s="2556"/>
      <c r="E37" s="3523"/>
      <c r="F37" s="3523"/>
      <c r="G37" s="3523"/>
    </row>
    <row r="38" spans="1:7" hidden="1">
      <c r="A38" s="3524" t="s">
        <v>2531</v>
      </c>
      <c r="B38" s="3525"/>
      <c r="C38" s="3525"/>
      <c r="D38" s="3526"/>
      <c r="E38" s="3522"/>
      <c r="F38" s="3522"/>
      <c r="G38" s="35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16" t="s">
        <v>522</v>
      </c>
      <c r="D4" s="3417"/>
      <c r="E4" s="3450" t="s">
        <v>523</v>
      </c>
      <c r="F4" s="3451"/>
      <c r="G4" s="3416" t="s">
        <v>524</v>
      </c>
      <c r="H4" s="3417"/>
      <c r="I4" s="3416" t="s">
        <v>525</v>
      </c>
      <c r="J4" s="3417"/>
      <c r="K4" s="513" t="s">
        <v>526</v>
      </c>
      <c r="L4" s="2133"/>
      <c r="M4" s="2134"/>
      <c r="N4" s="2134"/>
      <c r="O4" s="2134"/>
      <c r="P4" s="3418" t="s">
        <v>527</v>
      </c>
      <c r="Q4" s="3419"/>
      <c r="R4" s="3424" t="s">
        <v>523</v>
      </c>
      <c r="S4" s="3425"/>
      <c r="T4" s="3424" t="s">
        <v>524</v>
      </c>
      <c r="U4" s="3425"/>
      <c r="V4" s="3411" t="s">
        <v>525</v>
      </c>
      <c r="W4" s="3411"/>
      <c r="X4" s="1566"/>
      <c r="Y4" s="3424" t="s">
        <v>527</v>
      </c>
      <c r="Z4" s="3425"/>
      <c r="AA4" s="3413" t="s">
        <v>523</v>
      </c>
      <c r="AB4" s="3411" t="s">
        <v>524</v>
      </c>
      <c r="AC4" s="3413" t="s">
        <v>525</v>
      </c>
    </row>
    <row r="5" spans="1:29" ht="15">
      <c r="A5" s="514"/>
      <c r="B5" s="515"/>
      <c r="C5" s="3432" t="s">
        <v>2923</v>
      </c>
      <c r="D5" s="3433"/>
      <c r="E5" s="3452" t="s">
        <v>2924</v>
      </c>
      <c r="F5" s="3453"/>
      <c r="G5" s="3432" t="s">
        <v>2925</v>
      </c>
      <c r="H5" s="3433"/>
      <c r="I5" s="3432" t="s">
        <v>2926</v>
      </c>
      <c r="J5" s="3433"/>
      <c r="K5" s="513"/>
      <c r="L5" s="2133"/>
      <c r="M5" s="2134"/>
      <c r="N5" s="2134"/>
      <c r="O5" s="2134"/>
      <c r="P5" s="3420"/>
      <c r="Q5" s="3421"/>
      <c r="R5" s="3426"/>
      <c r="S5" s="3427"/>
      <c r="T5" s="3426"/>
      <c r="U5" s="3427"/>
      <c r="V5" s="3411"/>
      <c r="W5" s="3411"/>
      <c r="X5" s="1566"/>
      <c r="Y5" s="3426"/>
      <c r="Z5" s="3427"/>
      <c r="AA5" s="3414"/>
      <c r="AB5" s="3411"/>
      <c r="AC5" s="3414"/>
    </row>
    <row r="6" spans="1:29" ht="15.75" thickBot="1">
      <c r="A6" s="516"/>
      <c r="B6" s="517"/>
      <c r="C6" s="3430" t="s">
        <v>2927</v>
      </c>
      <c r="D6" s="3431"/>
      <c r="E6" s="3448" t="s">
        <v>2927</v>
      </c>
      <c r="F6" s="3449"/>
      <c r="G6" s="3430" t="s">
        <v>2927</v>
      </c>
      <c r="H6" s="3431"/>
      <c r="I6" s="3430" t="s">
        <v>2927</v>
      </c>
      <c r="J6" s="3431"/>
      <c r="K6" s="513" t="s">
        <v>528</v>
      </c>
      <c r="L6" s="2133"/>
      <c r="M6" s="2134"/>
      <c r="N6" s="2134"/>
      <c r="O6" s="2134"/>
      <c r="P6" s="3422"/>
      <c r="Q6" s="3423"/>
      <c r="R6" s="3426"/>
      <c r="S6" s="3427"/>
      <c r="T6" s="3428"/>
      <c r="U6" s="3429"/>
      <c r="V6" s="3411"/>
      <c r="W6" s="3411"/>
      <c r="X6" s="1566"/>
      <c r="Y6" s="3428"/>
      <c r="Z6" s="3429"/>
      <c r="AA6" s="3415"/>
      <c r="AB6" s="3411"/>
      <c r="AC6" s="3415"/>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41" t="s">
        <v>530</v>
      </c>
      <c r="Q7" s="3443"/>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41" t="s">
        <v>533</v>
      </c>
      <c r="Q8" s="3442"/>
      <c r="R8" s="1567" t="s">
        <v>8</v>
      </c>
      <c r="S8" s="1568">
        <f t="shared" si="0"/>
        <v>0</v>
      </c>
      <c r="T8" s="1567" t="s">
        <v>8</v>
      </c>
      <c r="U8" s="1568">
        <f t="shared" si="1"/>
        <v>0</v>
      </c>
      <c r="V8" s="1567" t="s">
        <v>8</v>
      </c>
      <c r="W8" s="1568">
        <f t="shared" si="2"/>
        <v>0</v>
      </c>
      <c r="X8" s="1569"/>
      <c r="Y8" s="3441" t="s">
        <v>533</v>
      </c>
      <c r="Z8" s="3442"/>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10"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10"/>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44" t="s">
        <v>540</v>
      </c>
      <c r="Q15" s="1571" t="str">
        <f t="shared" si="6"/>
        <v>商业繁华度</v>
      </c>
      <c r="R15" s="1572" t="s">
        <v>8</v>
      </c>
      <c r="S15" s="1573">
        <f t="shared" si="0"/>
        <v>100</v>
      </c>
      <c r="T15" s="1572" t="s">
        <v>8</v>
      </c>
      <c r="U15" s="1573">
        <f t="shared" si="1"/>
        <v>100</v>
      </c>
      <c r="V15" s="1572" t="s">
        <v>8</v>
      </c>
      <c r="W15" s="1573">
        <f t="shared" si="2"/>
        <v>100</v>
      </c>
      <c r="X15" s="1566"/>
      <c r="Y15" s="3444"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5"/>
      <c r="Q16" s="1571"/>
      <c r="R16" s="1572"/>
      <c r="S16" s="1573"/>
      <c r="T16" s="1572"/>
      <c r="U16" s="1573"/>
      <c r="V16" s="1572"/>
      <c r="W16" s="1573"/>
      <c r="X16" s="1566"/>
      <c r="Y16" s="3445"/>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45"/>
      <c r="Q17" s="1571" t="str">
        <f>B17</f>
        <v>交通便捷度</v>
      </c>
      <c r="R17" s="1572" t="s">
        <v>8</v>
      </c>
      <c r="S17" s="1573">
        <f>F17</f>
        <v>100</v>
      </c>
      <c r="T17" s="1572" t="s">
        <v>8</v>
      </c>
      <c r="U17" s="1573">
        <f>H17</f>
        <v>100</v>
      </c>
      <c r="V17" s="1572" t="s">
        <v>8</v>
      </c>
      <c r="W17" s="1573">
        <f>J17</f>
        <v>100</v>
      </c>
      <c r="X17" s="1566"/>
      <c r="Y17" s="344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5"/>
      <c r="Q18" s="1571"/>
      <c r="R18" s="1572"/>
      <c r="S18" s="1573"/>
      <c r="T18" s="1572"/>
      <c r="U18" s="1573"/>
      <c r="V18" s="1572"/>
      <c r="W18" s="1573"/>
      <c r="X18" s="1566"/>
      <c r="Y18" s="3445"/>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45"/>
      <c r="Q20" s="1571"/>
      <c r="R20" s="1572"/>
      <c r="S20" s="1573"/>
      <c r="T20" s="1572"/>
      <c r="U20" s="1573"/>
      <c r="V20" s="1572"/>
      <c r="W20" s="1573"/>
      <c r="X20" s="1566"/>
      <c r="Y20" s="3445"/>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45"/>
      <c r="Q21" s="2603" t="str">
        <f>B21</f>
        <v>基础设施水平</v>
      </c>
      <c r="R21" s="1572" t="s">
        <v>8</v>
      </c>
      <c r="S21" s="1573">
        <f>F21</f>
        <v>100</v>
      </c>
      <c r="T21" s="1572" t="s">
        <v>8</v>
      </c>
      <c r="U21" s="1573">
        <f>H21</f>
        <v>100</v>
      </c>
      <c r="V21" s="1572" t="s">
        <v>8</v>
      </c>
      <c r="W21" s="1573">
        <f>J21</f>
        <v>100</v>
      </c>
      <c r="X21" s="2605"/>
      <c r="Y21" s="3445"/>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45"/>
      <c r="Q22" s="2603"/>
      <c r="R22" s="1572"/>
      <c r="S22" s="1573"/>
      <c r="T22" s="1572"/>
      <c r="U22" s="1573"/>
      <c r="V22" s="1572"/>
      <c r="W22" s="1573"/>
      <c r="X22" s="2605"/>
      <c r="Y22" s="3445"/>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45"/>
      <c r="Q23" s="1571" t="str">
        <f>B23</f>
        <v>自然及人文环境</v>
      </c>
      <c r="R23" s="1572" t="s">
        <v>8</v>
      </c>
      <c r="S23" s="1573">
        <f>F23</f>
        <v>100</v>
      </c>
      <c r="T23" s="1572" t="s">
        <v>8</v>
      </c>
      <c r="U23" s="1573">
        <f>H23</f>
        <v>100</v>
      </c>
      <c r="V23" s="1572" t="s">
        <v>8</v>
      </c>
      <c r="W23" s="1573">
        <f>J23</f>
        <v>100</v>
      </c>
      <c r="X23" s="1566"/>
      <c r="Y23" s="3445"/>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45"/>
      <c r="Q24" s="1571"/>
      <c r="R24" s="1572"/>
      <c r="S24" s="1573"/>
      <c r="T24" s="1572"/>
      <c r="U24" s="1573"/>
      <c r="V24" s="1572"/>
      <c r="W24" s="1573"/>
      <c r="X24" s="1566"/>
      <c r="Y24" s="3445"/>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45"/>
      <c r="Q25" s="1571" t="str">
        <f t="shared" ref="Q25:Q46" si="11">B25</f>
        <v>临街状况</v>
      </c>
      <c r="R25" s="1572" t="s">
        <v>8</v>
      </c>
      <c r="S25" s="1573">
        <f>F25</f>
        <v>100</v>
      </c>
      <c r="T25" s="1572" t="s">
        <v>8</v>
      </c>
      <c r="U25" s="1573">
        <f>H25</f>
        <v>100</v>
      </c>
      <c r="V25" s="1572" t="s">
        <v>8</v>
      </c>
      <c r="W25" s="1573">
        <f>J25</f>
        <v>100</v>
      </c>
      <c r="X25" s="1566"/>
      <c r="Y25" s="3445"/>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45"/>
      <c r="Q26" s="1571" t="str">
        <f t="shared" si="11"/>
        <v>平面位置/可视性</v>
      </c>
      <c r="R26" s="1572" t="s">
        <v>8</v>
      </c>
      <c r="S26" s="1573">
        <f>F26</f>
        <v>100</v>
      </c>
      <c r="T26" s="1572" t="s">
        <v>8</v>
      </c>
      <c r="U26" s="1573">
        <f>H26</f>
        <v>100</v>
      </c>
      <c r="V26" s="1572" t="s">
        <v>8</v>
      </c>
      <c r="W26" s="1573">
        <f>J26</f>
        <v>100</v>
      </c>
      <c r="X26" s="1566"/>
      <c r="Y26" s="3445"/>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45"/>
      <c r="Q27" s="1150" t="str">
        <f t="shared" si="11"/>
        <v>人流量</v>
      </c>
      <c r="R27" s="1567" t="s">
        <v>8</v>
      </c>
      <c r="S27" s="1568">
        <f>F27</f>
        <v>100</v>
      </c>
      <c r="T27" s="1567" t="s">
        <v>8</v>
      </c>
      <c r="U27" s="1568">
        <f>H27</f>
        <v>100</v>
      </c>
      <c r="V27" s="1567" t="s">
        <v>8</v>
      </c>
      <c r="W27" s="1568">
        <f>J27</f>
        <v>100</v>
      </c>
      <c r="X27" s="1569"/>
      <c r="Y27" s="3445"/>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4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5"/>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45"/>
      <c r="Q29" s="1571">
        <f t="shared" si="11"/>
        <v>111</v>
      </c>
      <c r="R29" s="1572" t="s">
        <v>8</v>
      </c>
      <c r="S29" s="1573">
        <f t="shared" si="12"/>
        <v>100</v>
      </c>
      <c r="T29" s="1572" t="s">
        <v>8</v>
      </c>
      <c r="U29" s="1573">
        <f t="shared" si="13"/>
        <v>100</v>
      </c>
      <c r="V29" s="1572" t="s">
        <v>8</v>
      </c>
      <c r="W29" s="1573">
        <f t="shared" si="14"/>
        <v>100</v>
      </c>
      <c r="X29" s="1566"/>
      <c r="Y29" s="344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45"/>
      <c r="Q30" s="1571">
        <f t="shared" si="11"/>
        <v>111</v>
      </c>
      <c r="R30" s="1572" t="s">
        <v>8</v>
      </c>
      <c r="S30" s="1573">
        <f t="shared" si="12"/>
        <v>100</v>
      </c>
      <c r="T30" s="1572" t="s">
        <v>8</v>
      </c>
      <c r="U30" s="1573">
        <f t="shared" si="13"/>
        <v>100</v>
      </c>
      <c r="V30" s="1572" t="s">
        <v>8</v>
      </c>
      <c r="W30" s="1573">
        <f t="shared" si="14"/>
        <v>100</v>
      </c>
      <c r="X30" s="1566"/>
      <c r="Y30" s="3445"/>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45"/>
      <c r="Q31" s="1571">
        <f t="shared" si="11"/>
        <v>111</v>
      </c>
      <c r="R31" s="1572" t="s">
        <v>8</v>
      </c>
      <c r="S31" s="1573">
        <f t="shared" si="12"/>
        <v>100</v>
      </c>
      <c r="T31" s="1572" t="s">
        <v>8</v>
      </c>
      <c r="U31" s="1573">
        <f t="shared" si="13"/>
        <v>100</v>
      </c>
      <c r="V31" s="1572" t="s">
        <v>8</v>
      </c>
      <c r="W31" s="1573">
        <f t="shared" si="14"/>
        <v>100</v>
      </c>
      <c r="X31" s="1566"/>
      <c r="Y31" s="3445"/>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46" t="s">
        <v>550</v>
      </c>
      <c r="Q32" s="1571" t="str">
        <f t="shared" si="11"/>
        <v>商业类型</v>
      </c>
      <c r="R32" s="1572" t="s">
        <v>8</v>
      </c>
      <c r="S32" s="1573">
        <f t="shared" si="12"/>
        <v>100</v>
      </c>
      <c r="T32" s="1572" t="s">
        <v>8</v>
      </c>
      <c r="U32" s="1573">
        <f t="shared" si="13"/>
        <v>100</v>
      </c>
      <c r="V32" s="1572" t="s">
        <v>8</v>
      </c>
      <c r="W32" s="1573">
        <f t="shared" si="14"/>
        <v>100</v>
      </c>
      <c r="X32" s="1566"/>
      <c r="Y32" s="3447"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47"/>
      <c r="Q33" s="1604" t="str">
        <f t="shared" si="11"/>
        <v>项目建筑规模</v>
      </c>
      <c r="R33" s="1576" t="s">
        <v>8</v>
      </c>
      <c r="S33" s="1577" t="e">
        <f t="shared" si="12"/>
        <v>#N/A</v>
      </c>
      <c r="T33" s="1576" t="s">
        <v>8</v>
      </c>
      <c r="U33" s="1577" t="e">
        <f t="shared" si="13"/>
        <v>#N/A</v>
      </c>
      <c r="V33" s="1576" t="s">
        <v>8</v>
      </c>
      <c r="W33" s="1577" t="e">
        <f t="shared" si="14"/>
        <v>#N/A</v>
      </c>
      <c r="X33" s="1578"/>
      <c r="Y33" s="3447"/>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47"/>
      <c r="Q34" s="1571" t="str">
        <f t="shared" si="11"/>
        <v>建筑结构</v>
      </c>
      <c r="R34" s="1572" t="s">
        <v>8</v>
      </c>
      <c r="S34" s="1573">
        <f t="shared" si="12"/>
        <v>100</v>
      </c>
      <c r="T34" s="1572" t="s">
        <v>8</v>
      </c>
      <c r="U34" s="1573">
        <f t="shared" si="13"/>
        <v>100</v>
      </c>
      <c r="V34" s="1572" t="s">
        <v>8</v>
      </c>
      <c r="W34" s="1573">
        <f t="shared" si="14"/>
        <v>100</v>
      </c>
      <c r="X34" s="1566"/>
      <c r="Y34" s="3447"/>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47"/>
      <c r="Q35" s="1571" t="str">
        <f t="shared" si="11"/>
        <v>公共部分装修</v>
      </c>
      <c r="R35" s="1572" t="s">
        <v>8</v>
      </c>
      <c r="S35" s="1573">
        <f t="shared" si="12"/>
        <v>100</v>
      </c>
      <c r="T35" s="1572" t="s">
        <v>8</v>
      </c>
      <c r="U35" s="1573">
        <f t="shared" si="13"/>
        <v>100</v>
      </c>
      <c r="V35" s="1572" t="s">
        <v>8</v>
      </c>
      <c r="W35" s="1573">
        <f t="shared" si="14"/>
        <v>100</v>
      </c>
      <c r="X35" s="1566"/>
      <c r="Y35" s="3447"/>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47"/>
      <c r="Q36" s="1571" t="str">
        <f t="shared" si="11"/>
        <v>成新度</v>
      </c>
      <c r="R36" s="1572" t="s">
        <v>8</v>
      </c>
      <c r="S36" s="1573" t="e">
        <f t="shared" si="12"/>
        <v>#N/A</v>
      </c>
      <c r="T36" s="1572" t="s">
        <v>8</v>
      </c>
      <c r="U36" s="1573" t="e">
        <f t="shared" si="13"/>
        <v>#N/A</v>
      </c>
      <c r="V36" s="1572" t="s">
        <v>8</v>
      </c>
      <c r="W36" s="1573" t="e">
        <f t="shared" si="14"/>
        <v>#N/A</v>
      </c>
      <c r="X36" s="1566"/>
      <c r="Y36" s="3447"/>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47"/>
      <c r="Q37" s="1150" t="str">
        <f t="shared" si="11"/>
        <v>市政基础设施</v>
      </c>
      <c r="R37" s="1567" t="s">
        <v>8</v>
      </c>
      <c r="S37" s="1568">
        <f t="shared" si="12"/>
        <v>100</v>
      </c>
      <c r="T37" s="1567" t="s">
        <v>8</v>
      </c>
      <c r="U37" s="1568">
        <f t="shared" si="13"/>
        <v>100</v>
      </c>
      <c r="V37" s="1567" t="s">
        <v>8</v>
      </c>
      <c r="W37" s="1568">
        <f t="shared" si="14"/>
        <v>100</v>
      </c>
      <c r="X37" s="1569"/>
      <c r="Y37" s="3447"/>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47" t="s">
        <v>766</v>
      </c>
      <c r="Q38" s="1571" t="str">
        <f t="shared" si="11"/>
        <v>业态</v>
      </c>
      <c r="R38" s="1572" t="s">
        <v>8</v>
      </c>
      <c r="S38" s="1573">
        <f t="shared" si="12"/>
        <v>100</v>
      </c>
      <c r="T38" s="1572" t="s">
        <v>8</v>
      </c>
      <c r="U38" s="1573">
        <f t="shared" si="13"/>
        <v>100</v>
      </c>
      <c r="V38" s="1572" t="s">
        <v>8</v>
      </c>
      <c r="W38" s="1573">
        <f t="shared" si="14"/>
        <v>100</v>
      </c>
      <c r="X38" s="1566"/>
      <c r="Y38" s="3447"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7"/>
      <c r="Q39" s="1571" t="str">
        <f t="shared" si="11"/>
        <v>层高</v>
      </c>
      <c r="R39" s="1572" t="s">
        <v>8</v>
      </c>
      <c r="S39" s="1573">
        <f t="shared" si="12"/>
        <v>100</v>
      </c>
      <c r="T39" s="1572" t="s">
        <v>8</v>
      </c>
      <c r="U39" s="1573">
        <f t="shared" si="13"/>
        <v>100</v>
      </c>
      <c r="V39" s="1572" t="s">
        <v>8</v>
      </c>
      <c r="W39" s="1573">
        <f t="shared" si="14"/>
        <v>100</v>
      </c>
      <c r="X39" s="1566"/>
      <c r="Y39" s="3447"/>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47"/>
      <c r="Q40" s="1571" t="str">
        <f t="shared" si="11"/>
        <v>单套建筑面积</v>
      </c>
      <c r="R40" s="1572" t="s">
        <v>8</v>
      </c>
      <c r="S40" s="1573">
        <f t="shared" si="12"/>
        <v>100</v>
      </c>
      <c r="T40" s="1572" t="s">
        <v>8</v>
      </c>
      <c r="U40" s="1573">
        <f t="shared" si="13"/>
        <v>100</v>
      </c>
      <c r="V40" s="1572" t="s">
        <v>8</v>
      </c>
      <c r="W40" s="1573">
        <f t="shared" si="14"/>
        <v>100</v>
      </c>
      <c r="X40" s="1566"/>
      <c r="Y40" s="3447"/>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47"/>
      <c r="Q41" s="1604" t="str">
        <f t="shared" si="11"/>
        <v>进深比</v>
      </c>
      <c r="R41" s="1576" t="s">
        <v>8</v>
      </c>
      <c r="S41" s="1577">
        <f t="shared" si="12"/>
        <v>100</v>
      </c>
      <c r="T41" s="1576" t="s">
        <v>8</v>
      </c>
      <c r="U41" s="1577">
        <f t="shared" si="13"/>
        <v>100</v>
      </c>
      <c r="V41" s="1576" t="s">
        <v>8</v>
      </c>
      <c r="W41" s="1577">
        <f t="shared" si="14"/>
        <v>100</v>
      </c>
      <c r="X41" s="1578"/>
      <c r="Y41" s="3447"/>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47"/>
      <c r="Q42" s="1571" t="str">
        <f t="shared" si="11"/>
        <v>内部装修</v>
      </c>
      <c r="R42" s="1572" t="s">
        <v>8</v>
      </c>
      <c r="S42" s="1573">
        <f t="shared" si="12"/>
        <v>100</v>
      </c>
      <c r="T42" s="1572" t="s">
        <v>8</v>
      </c>
      <c r="U42" s="1573">
        <f t="shared" si="13"/>
        <v>100</v>
      </c>
      <c r="V42" s="1572" t="s">
        <v>8</v>
      </c>
      <c r="W42" s="1573">
        <f t="shared" si="14"/>
        <v>100</v>
      </c>
      <c r="X42" s="1566"/>
      <c r="Y42" s="3447"/>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47"/>
      <c r="Q43" s="1571" t="str">
        <f t="shared" si="11"/>
        <v>内部装修维护情况</v>
      </c>
      <c r="R43" s="1572" t="s">
        <v>8</v>
      </c>
      <c r="S43" s="1573">
        <f t="shared" si="12"/>
        <v>100</v>
      </c>
      <c r="T43" s="1572" t="s">
        <v>8</v>
      </c>
      <c r="U43" s="1573">
        <f t="shared" si="13"/>
        <v>100</v>
      </c>
      <c r="V43" s="1572" t="s">
        <v>8</v>
      </c>
      <c r="W43" s="1573">
        <f t="shared" si="14"/>
        <v>100</v>
      </c>
      <c r="X43" s="1566"/>
      <c r="Y43" s="3447"/>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47"/>
      <c r="Q44" s="1150">
        <f t="shared" si="11"/>
        <v>111</v>
      </c>
      <c r="R44" s="1567" t="s">
        <v>8</v>
      </c>
      <c r="S44" s="1568">
        <f t="shared" si="12"/>
        <v>100</v>
      </c>
      <c r="T44" s="1567" t="s">
        <v>8</v>
      </c>
      <c r="U44" s="1568">
        <f t="shared" si="13"/>
        <v>100</v>
      </c>
      <c r="V44" s="1567" t="s">
        <v>8</v>
      </c>
      <c r="W44" s="1568">
        <f t="shared" si="14"/>
        <v>100</v>
      </c>
      <c r="X44" s="1569"/>
      <c r="Y44" s="3447"/>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47"/>
      <c r="Q45" s="1571">
        <f t="shared" si="11"/>
        <v>111</v>
      </c>
      <c r="R45" s="1572" t="s">
        <v>8</v>
      </c>
      <c r="S45" s="1573">
        <f t="shared" si="12"/>
        <v>100</v>
      </c>
      <c r="T45" s="1572" t="s">
        <v>8</v>
      </c>
      <c r="U45" s="1573">
        <f t="shared" si="13"/>
        <v>100</v>
      </c>
      <c r="V45" s="1572" t="s">
        <v>8</v>
      </c>
      <c r="W45" s="1573">
        <f t="shared" si="14"/>
        <v>100</v>
      </c>
      <c r="X45" s="1566"/>
      <c r="Y45" s="3447"/>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4"/>
      <c r="Q46" s="1571">
        <f t="shared" si="11"/>
        <v>111</v>
      </c>
      <c r="R46" s="1572" t="s">
        <v>8</v>
      </c>
      <c r="S46" s="1573">
        <f t="shared" si="12"/>
        <v>100</v>
      </c>
      <c r="T46" s="1572" t="s">
        <v>8</v>
      </c>
      <c r="U46" s="1573">
        <f t="shared" si="13"/>
        <v>100</v>
      </c>
      <c r="V46" s="1572" t="s">
        <v>8</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10" t="str">
        <f>A47</f>
        <v>成交单价（元/平方米）</v>
      </c>
      <c r="Q47" s="3410"/>
      <c r="R47" s="3483">
        <f>E47</f>
        <v>0</v>
      </c>
      <c r="S47" s="3483"/>
      <c r="T47" s="3483">
        <f>G47</f>
        <v>0</v>
      </c>
      <c r="U47" s="3483"/>
      <c r="V47" s="3483">
        <f>I47</f>
        <v>0</v>
      </c>
      <c r="W47" s="3483"/>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10" t="str">
        <f>A48</f>
        <v>比较价格（元/平方米）</v>
      </c>
      <c r="Q48" s="3410"/>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407" t="str">
        <f>A49</f>
        <v>估价对象XX用房的比较价格（楼面单价，元/平方米）</v>
      </c>
      <c r="Q49" s="3408"/>
      <c r="R49" s="3482" t="e">
        <f>IF(F1="售价",ROUND(AVERAGE(R48:V48),0),ROUND(AVERAGE(R48:V48),1))</f>
        <v>#DIV/0!</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16" t="s">
        <v>522</v>
      </c>
      <c r="D4" s="3417"/>
      <c r="E4" s="3450" t="s">
        <v>523</v>
      </c>
      <c r="F4" s="3451"/>
      <c r="G4" s="3416" t="s">
        <v>524</v>
      </c>
      <c r="H4" s="3417"/>
      <c r="I4" s="3416" t="s">
        <v>525</v>
      </c>
      <c r="J4" s="3417"/>
      <c r="K4" s="513" t="s">
        <v>526</v>
      </c>
      <c r="L4" s="2133"/>
      <c r="M4" s="2134"/>
      <c r="N4" s="2134"/>
      <c r="O4" s="2134"/>
      <c r="P4" s="3528" t="s">
        <v>527</v>
      </c>
      <c r="Q4" s="3419"/>
      <c r="R4" s="3424" t="s">
        <v>523</v>
      </c>
      <c r="S4" s="3425"/>
      <c r="T4" s="3424" t="s">
        <v>524</v>
      </c>
      <c r="U4" s="3425"/>
      <c r="V4" s="3411" t="s">
        <v>525</v>
      </c>
      <c r="W4" s="3411"/>
      <c r="X4" s="1566"/>
      <c r="Y4" s="3424" t="s">
        <v>527</v>
      </c>
      <c r="Z4" s="3425"/>
      <c r="AA4" s="3413" t="s">
        <v>523</v>
      </c>
      <c r="AB4" s="3413" t="s">
        <v>524</v>
      </c>
      <c r="AC4" s="3413" t="s">
        <v>525</v>
      </c>
    </row>
    <row r="5" spans="1:29" ht="15">
      <c r="A5" s="514"/>
      <c r="B5" s="515"/>
      <c r="C5" s="3432" t="s">
        <v>2923</v>
      </c>
      <c r="D5" s="3433"/>
      <c r="E5" s="3452" t="s">
        <v>2924</v>
      </c>
      <c r="F5" s="3453"/>
      <c r="G5" s="3432" t="s">
        <v>2925</v>
      </c>
      <c r="H5" s="3433"/>
      <c r="I5" s="3432" t="s">
        <v>2926</v>
      </c>
      <c r="J5" s="3433"/>
      <c r="K5" s="513"/>
      <c r="L5" s="2133"/>
      <c r="M5" s="2134"/>
      <c r="N5" s="2134"/>
      <c r="O5" s="2134"/>
      <c r="P5" s="3529"/>
      <c r="Q5" s="3421"/>
      <c r="R5" s="3426"/>
      <c r="S5" s="3427"/>
      <c r="T5" s="3426"/>
      <c r="U5" s="3427"/>
      <c r="V5" s="3411"/>
      <c r="W5" s="3411"/>
      <c r="X5" s="1566"/>
      <c r="Y5" s="3426"/>
      <c r="Z5" s="3427"/>
      <c r="AA5" s="3414"/>
      <c r="AB5" s="3414"/>
      <c r="AC5" s="3414"/>
    </row>
    <row r="6" spans="1:29" ht="15.75" thickBot="1">
      <c r="A6" s="516"/>
      <c r="B6" s="517"/>
      <c r="C6" s="3430" t="s">
        <v>2927</v>
      </c>
      <c r="D6" s="3431"/>
      <c r="E6" s="3448" t="s">
        <v>2927</v>
      </c>
      <c r="F6" s="3449"/>
      <c r="G6" s="3430" t="s">
        <v>2927</v>
      </c>
      <c r="H6" s="3431"/>
      <c r="I6" s="3430" t="s">
        <v>2927</v>
      </c>
      <c r="J6" s="3431"/>
      <c r="K6" s="513" t="s">
        <v>528</v>
      </c>
      <c r="L6" s="2133"/>
      <c r="M6" s="2134"/>
      <c r="N6" s="2134"/>
      <c r="O6" s="2134"/>
      <c r="P6" s="3530"/>
      <c r="Q6" s="3423"/>
      <c r="R6" s="3426"/>
      <c r="S6" s="3427"/>
      <c r="T6" s="3428"/>
      <c r="U6" s="3429"/>
      <c r="V6" s="3411"/>
      <c r="W6" s="3411"/>
      <c r="X6" s="1566"/>
      <c r="Y6" s="3428"/>
      <c r="Z6" s="3429"/>
      <c r="AA6" s="3415"/>
      <c r="AB6" s="3415"/>
      <c r="AC6" s="3415"/>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43" t="s">
        <v>530</v>
      </c>
      <c r="Q7" s="3443"/>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43" t="s">
        <v>533</v>
      </c>
      <c r="Q8" s="3442"/>
      <c r="R8" s="1567" t="s">
        <v>8</v>
      </c>
      <c r="S8" s="1568">
        <f t="shared" si="0"/>
        <v>0</v>
      </c>
      <c r="T8" s="1567" t="s">
        <v>8</v>
      </c>
      <c r="U8" s="1568">
        <f t="shared" si="1"/>
        <v>0</v>
      </c>
      <c r="V8" s="1567" t="s">
        <v>8</v>
      </c>
      <c r="W8" s="1568">
        <f t="shared" si="2"/>
        <v>0</v>
      </c>
      <c r="X8" s="1569"/>
      <c r="Y8" s="3441" t="s">
        <v>533</v>
      </c>
      <c r="Z8" s="3442"/>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10"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10"/>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44" t="s">
        <v>540</v>
      </c>
      <c r="Q15" s="1571" t="str">
        <f t="shared" si="6"/>
        <v>办公集聚程度</v>
      </c>
      <c r="R15" s="1572" t="s">
        <v>8</v>
      </c>
      <c r="S15" s="1573">
        <f t="shared" si="0"/>
        <v>100</v>
      </c>
      <c r="T15" s="1572" t="s">
        <v>8</v>
      </c>
      <c r="U15" s="1573">
        <f t="shared" si="1"/>
        <v>100</v>
      </c>
      <c r="V15" s="1572" t="s">
        <v>8</v>
      </c>
      <c r="W15" s="1573">
        <f t="shared" si="2"/>
        <v>100</v>
      </c>
      <c r="X15" s="1566"/>
      <c r="Y15" s="3444"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45"/>
      <c r="Q16" s="1571"/>
      <c r="R16" s="1572"/>
      <c r="S16" s="1573"/>
      <c r="T16" s="1572"/>
      <c r="U16" s="1573"/>
      <c r="V16" s="1572"/>
      <c r="W16" s="1573"/>
      <c r="X16" s="1566"/>
      <c r="Y16" s="3445"/>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45"/>
      <c r="Q17" s="1571" t="str">
        <f>B17</f>
        <v>交通便捷度</v>
      </c>
      <c r="R17" s="1572" t="s">
        <v>8</v>
      </c>
      <c r="S17" s="1573">
        <f>F17</f>
        <v>100</v>
      </c>
      <c r="T17" s="1572" t="s">
        <v>8</v>
      </c>
      <c r="U17" s="1573">
        <f>H17</f>
        <v>100</v>
      </c>
      <c r="V17" s="1572" t="s">
        <v>8</v>
      </c>
      <c r="W17" s="1573">
        <f>J17</f>
        <v>100</v>
      </c>
      <c r="X17" s="1566"/>
      <c r="Y17" s="3445"/>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45"/>
      <c r="Q18" s="1571"/>
      <c r="R18" s="1572"/>
      <c r="S18" s="1573"/>
      <c r="T18" s="1572"/>
      <c r="U18" s="1573"/>
      <c r="V18" s="1572"/>
      <c r="W18" s="1573"/>
      <c r="X18" s="1566"/>
      <c r="Y18" s="3445"/>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45"/>
      <c r="Q20" s="1571"/>
      <c r="R20" s="1572"/>
      <c r="S20" s="1573"/>
      <c r="T20" s="1572"/>
      <c r="U20" s="1573"/>
      <c r="V20" s="1572"/>
      <c r="W20" s="1573"/>
      <c r="X20" s="1566"/>
      <c r="Y20" s="3445"/>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45"/>
      <c r="Q21" s="2603" t="str">
        <f>B21</f>
        <v>基础设施水平</v>
      </c>
      <c r="R21" s="1572" t="s">
        <v>8</v>
      </c>
      <c r="S21" s="1573">
        <f>F21</f>
        <v>100</v>
      </c>
      <c r="T21" s="1572" t="s">
        <v>8</v>
      </c>
      <c r="U21" s="1573">
        <f>H21</f>
        <v>100</v>
      </c>
      <c r="V21" s="1572" t="s">
        <v>8</v>
      </c>
      <c r="W21" s="1573">
        <f>J21</f>
        <v>100</v>
      </c>
      <c r="X21" s="2605"/>
      <c r="Y21" s="3445"/>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45"/>
      <c r="Q22" s="2603"/>
      <c r="R22" s="1572"/>
      <c r="S22" s="1573"/>
      <c r="T22" s="1572"/>
      <c r="U22" s="1573"/>
      <c r="V22" s="1572"/>
      <c r="W22" s="1573"/>
      <c r="X22" s="2605"/>
      <c r="Y22" s="3445"/>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45"/>
      <c r="Q23" s="1571" t="str">
        <f>B23</f>
        <v>环境质量</v>
      </c>
      <c r="R23" s="1572" t="s">
        <v>8</v>
      </c>
      <c r="S23" s="1573">
        <f>F23</f>
        <v>100</v>
      </c>
      <c r="T23" s="1572" t="s">
        <v>8</v>
      </c>
      <c r="U23" s="1573">
        <f>H23</f>
        <v>100</v>
      </c>
      <c r="V23" s="1572" t="s">
        <v>8</v>
      </c>
      <c r="W23" s="1573">
        <f>J23</f>
        <v>100</v>
      </c>
      <c r="X23" s="1566"/>
      <c r="Y23" s="3445"/>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45"/>
      <c r="Q24" s="1571"/>
      <c r="R24" s="1572"/>
      <c r="S24" s="1573"/>
      <c r="T24" s="1572"/>
      <c r="U24" s="1573"/>
      <c r="V24" s="1572"/>
      <c r="W24" s="1573"/>
      <c r="X24" s="1566"/>
      <c r="Y24" s="3445"/>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45"/>
      <c r="Q25" s="1571" t="str">
        <f>B25</f>
        <v>毗邻道路的类型与等级</v>
      </c>
      <c r="R25" s="1572" t="s">
        <v>8</v>
      </c>
      <c r="S25" s="1573">
        <f>F25</f>
        <v>100</v>
      </c>
      <c r="T25" s="1572" t="s">
        <v>8</v>
      </c>
      <c r="U25" s="1573">
        <f>H25</f>
        <v>100</v>
      </c>
      <c r="V25" s="1572" t="s">
        <v>8</v>
      </c>
      <c r="W25" s="1573">
        <f>J25</f>
        <v>100</v>
      </c>
      <c r="X25" s="1566"/>
      <c r="Y25" s="3445"/>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45"/>
      <c r="Q26" s="1571"/>
      <c r="R26" s="1572"/>
      <c r="S26" s="1573"/>
      <c r="T26" s="1572"/>
      <c r="U26" s="1573"/>
      <c r="V26" s="1572"/>
      <c r="W26" s="1573"/>
      <c r="X26" s="1566"/>
      <c r="Y26" s="3445"/>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45"/>
      <c r="Q27" s="1571" t="str">
        <f t="shared" ref="Q27:Q47" si="11">B27</f>
        <v>楼层</v>
      </c>
      <c r="R27" s="1572" t="s">
        <v>8</v>
      </c>
      <c r="S27" s="1573">
        <f>F27</f>
        <v>100</v>
      </c>
      <c r="T27" s="1572" t="s">
        <v>8</v>
      </c>
      <c r="U27" s="1573">
        <f>H27</f>
        <v>100</v>
      </c>
      <c r="V27" s="1572" t="s">
        <v>8</v>
      </c>
      <c r="W27" s="1573">
        <f>J27</f>
        <v>100</v>
      </c>
      <c r="X27" s="1566"/>
      <c r="Y27" s="3445"/>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45"/>
      <c r="Q28" s="1150" t="str">
        <f t="shared" si="11"/>
        <v>朝向</v>
      </c>
      <c r="R28" s="1567" t="s">
        <v>8</v>
      </c>
      <c r="S28" s="1568">
        <f>F28</f>
        <v>100</v>
      </c>
      <c r="T28" s="1567" t="s">
        <v>8</v>
      </c>
      <c r="U28" s="1568">
        <f>H28</f>
        <v>100</v>
      </c>
      <c r="V28" s="1567" t="s">
        <v>8</v>
      </c>
      <c r="W28" s="1568">
        <f>J28</f>
        <v>100</v>
      </c>
      <c r="X28" s="1569"/>
      <c r="Y28" s="3445"/>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45"/>
      <c r="Q29" s="1571">
        <f t="shared" si="11"/>
        <v>111</v>
      </c>
      <c r="R29" s="1572" t="s">
        <v>8</v>
      </c>
      <c r="S29" s="1573">
        <f t="shared" ref="S29:S47" si="12">F29</f>
        <v>100</v>
      </c>
      <c r="T29" s="1572" t="s">
        <v>8</v>
      </c>
      <c r="U29" s="1573">
        <f t="shared" ref="U29:U47" si="13">H29</f>
        <v>100</v>
      </c>
      <c r="V29" s="1572" t="s">
        <v>8</v>
      </c>
      <c r="W29" s="1573">
        <f t="shared" ref="W29:W47" si="14">J29</f>
        <v>100</v>
      </c>
      <c r="X29" s="1566"/>
      <c r="Y29" s="3445"/>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45"/>
      <c r="Q30" s="1571">
        <f t="shared" si="11"/>
        <v>111</v>
      </c>
      <c r="R30" s="1572" t="s">
        <v>8</v>
      </c>
      <c r="S30" s="1573">
        <f t="shared" si="12"/>
        <v>100</v>
      </c>
      <c r="T30" s="1572" t="s">
        <v>8</v>
      </c>
      <c r="U30" s="1573">
        <f t="shared" si="13"/>
        <v>100</v>
      </c>
      <c r="V30" s="1572" t="s">
        <v>8</v>
      </c>
      <c r="W30" s="1573">
        <f t="shared" si="14"/>
        <v>100</v>
      </c>
      <c r="X30" s="1566"/>
      <c r="Y30" s="3445"/>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45"/>
      <c r="Q31" s="1571">
        <f t="shared" si="11"/>
        <v>111</v>
      </c>
      <c r="R31" s="1572" t="s">
        <v>8</v>
      </c>
      <c r="S31" s="1573">
        <f t="shared" si="12"/>
        <v>100</v>
      </c>
      <c r="T31" s="1572" t="s">
        <v>8</v>
      </c>
      <c r="U31" s="1573">
        <f t="shared" si="13"/>
        <v>100</v>
      </c>
      <c r="V31" s="1572" t="s">
        <v>8</v>
      </c>
      <c r="W31" s="1573">
        <f t="shared" si="14"/>
        <v>100</v>
      </c>
      <c r="X31" s="1566"/>
      <c r="Y31" s="3445"/>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45"/>
      <c r="Q32" s="1571">
        <f t="shared" si="11"/>
        <v>111</v>
      </c>
      <c r="R32" s="1572" t="s">
        <v>8</v>
      </c>
      <c r="S32" s="1573">
        <f t="shared" si="12"/>
        <v>100</v>
      </c>
      <c r="T32" s="1572" t="s">
        <v>8</v>
      </c>
      <c r="U32" s="1573">
        <f t="shared" si="13"/>
        <v>100</v>
      </c>
      <c r="V32" s="1572" t="s">
        <v>8</v>
      </c>
      <c r="W32" s="1573">
        <f t="shared" si="14"/>
        <v>100</v>
      </c>
      <c r="X32" s="1566"/>
      <c r="Y32" s="3445"/>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46" t="s">
        <v>550</v>
      </c>
      <c r="Q33" s="1571" t="str">
        <f t="shared" si="11"/>
        <v>建筑类型</v>
      </c>
      <c r="R33" s="1572" t="s">
        <v>8</v>
      </c>
      <c r="S33" s="1573">
        <f t="shared" si="12"/>
        <v>100</v>
      </c>
      <c r="T33" s="1572" t="s">
        <v>8</v>
      </c>
      <c r="U33" s="1573">
        <f t="shared" si="13"/>
        <v>100</v>
      </c>
      <c r="V33" s="1572" t="s">
        <v>8</v>
      </c>
      <c r="W33" s="1573">
        <f t="shared" si="14"/>
        <v>100</v>
      </c>
      <c r="X33" s="1566"/>
      <c r="Y33" s="3447"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47"/>
      <c r="Q34" s="1604" t="str">
        <f t="shared" si="11"/>
        <v>项目建筑规模</v>
      </c>
      <c r="R34" s="1576" t="s">
        <v>8</v>
      </c>
      <c r="S34" s="1577" t="e">
        <f t="shared" si="12"/>
        <v>#N/A</v>
      </c>
      <c r="T34" s="1576" t="s">
        <v>8</v>
      </c>
      <c r="U34" s="1577" t="e">
        <f t="shared" si="13"/>
        <v>#N/A</v>
      </c>
      <c r="V34" s="1576" t="s">
        <v>8</v>
      </c>
      <c r="W34" s="1577" t="e">
        <f t="shared" si="14"/>
        <v>#N/A</v>
      </c>
      <c r="X34" s="1578"/>
      <c r="Y34" s="3447"/>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47"/>
      <c r="Q35" s="1571" t="str">
        <f t="shared" si="11"/>
        <v>建筑结构</v>
      </c>
      <c r="R35" s="1572" t="s">
        <v>8</v>
      </c>
      <c r="S35" s="1573">
        <f t="shared" si="12"/>
        <v>100</v>
      </c>
      <c r="T35" s="1572" t="s">
        <v>8</v>
      </c>
      <c r="U35" s="1573">
        <f t="shared" si="13"/>
        <v>100</v>
      </c>
      <c r="V35" s="1572" t="s">
        <v>8</v>
      </c>
      <c r="W35" s="1573">
        <f t="shared" si="14"/>
        <v>100</v>
      </c>
      <c r="X35" s="1566"/>
      <c r="Y35" s="3447"/>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47"/>
      <c r="Q36" s="1571" t="str">
        <f t="shared" si="11"/>
        <v>公共部分装修</v>
      </c>
      <c r="R36" s="1572" t="s">
        <v>8</v>
      </c>
      <c r="S36" s="1573">
        <f t="shared" si="12"/>
        <v>100</v>
      </c>
      <c r="T36" s="1572" t="s">
        <v>8</v>
      </c>
      <c r="U36" s="1573">
        <f t="shared" si="13"/>
        <v>100</v>
      </c>
      <c r="V36" s="1572" t="s">
        <v>8</v>
      </c>
      <c r="W36" s="1573">
        <f t="shared" si="14"/>
        <v>100</v>
      </c>
      <c r="X36" s="1566"/>
      <c r="Y36" s="3447"/>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47"/>
      <c r="Q37" s="1571" t="str">
        <f t="shared" si="11"/>
        <v>成新度</v>
      </c>
      <c r="R37" s="1572" t="s">
        <v>8</v>
      </c>
      <c r="S37" s="1573" t="e">
        <f t="shared" si="12"/>
        <v>#N/A</v>
      </c>
      <c r="T37" s="1572" t="s">
        <v>8</v>
      </c>
      <c r="U37" s="1573" t="e">
        <f t="shared" si="13"/>
        <v>#N/A</v>
      </c>
      <c r="V37" s="1572" t="s">
        <v>8</v>
      </c>
      <c r="W37" s="1573" t="e">
        <f t="shared" si="14"/>
        <v>#N/A</v>
      </c>
      <c r="X37" s="1566"/>
      <c r="Y37" s="3447"/>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47"/>
      <c r="Q38" s="1150" t="str">
        <f t="shared" si="11"/>
        <v>写字楼等级</v>
      </c>
      <c r="R38" s="1567" t="s">
        <v>8</v>
      </c>
      <c r="S38" s="1568">
        <f t="shared" si="12"/>
        <v>100</v>
      </c>
      <c r="T38" s="1567" t="s">
        <v>8</v>
      </c>
      <c r="U38" s="1568">
        <f t="shared" si="13"/>
        <v>100</v>
      </c>
      <c r="V38" s="1567" t="s">
        <v>8</v>
      </c>
      <c r="W38" s="1568">
        <f t="shared" si="14"/>
        <v>100</v>
      </c>
      <c r="X38" s="1569"/>
      <c r="Y38" s="3447"/>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47" t="s">
        <v>550</v>
      </c>
      <c r="Q39" s="1571" t="str">
        <f t="shared" si="11"/>
        <v>物业管理</v>
      </c>
      <c r="R39" s="1572" t="s">
        <v>8</v>
      </c>
      <c r="S39" s="1573">
        <f t="shared" si="12"/>
        <v>100</v>
      </c>
      <c r="T39" s="1572" t="s">
        <v>8</v>
      </c>
      <c r="U39" s="1573">
        <f t="shared" si="13"/>
        <v>100</v>
      </c>
      <c r="V39" s="1572" t="s">
        <v>8</v>
      </c>
      <c r="W39" s="1573">
        <f t="shared" si="14"/>
        <v>100</v>
      </c>
      <c r="X39" s="1566"/>
      <c r="Y39" s="3447"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47"/>
      <c r="Q40" s="1571" t="str">
        <f t="shared" si="11"/>
        <v>市政基础设施</v>
      </c>
      <c r="R40" s="1572" t="s">
        <v>8</v>
      </c>
      <c r="S40" s="1573">
        <f t="shared" si="12"/>
        <v>100</v>
      </c>
      <c r="T40" s="1572" t="s">
        <v>8</v>
      </c>
      <c r="U40" s="1573">
        <f t="shared" si="13"/>
        <v>100</v>
      </c>
      <c r="V40" s="1572" t="s">
        <v>8</v>
      </c>
      <c r="W40" s="1573">
        <f t="shared" si="14"/>
        <v>100</v>
      </c>
      <c r="X40" s="1566"/>
      <c r="Y40" s="3447"/>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47"/>
      <c r="Q41" s="1571" t="str">
        <f t="shared" si="11"/>
        <v>层高</v>
      </c>
      <c r="R41" s="1572" t="s">
        <v>8</v>
      </c>
      <c r="S41" s="1573">
        <f t="shared" si="12"/>
        <v>100</v>
      </c>
      <c r="T41" s="1572" t="s">
        <v>8</v>
      </c>
      <c r="U41" s="1573">
        <f t="shared" si="13"/>
        <v>100</v>
      </c>
      <c r="V41" s="1572" t="s">
        <v>8</v>
      </c>
      <c r="W41" s="1573">
        <f t="shared" si="14"/>
        <v>100</v>
      </c>
      <c r="X41" s="1566"/>
      <c r="Y41" s="3447"/>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47"/>
      <c r="Q42" s="1604" t="str">
        <f t="shared" si="11"/>
        <v>单套建筑面积</v>
      </c>
      <c r="R42" s="1576" t="s">
        <v>8</v>
      </c>
      <c r="S42" s="1577">
        <f t="shared" si="12"/>
        <v>100</v>
      </c>
      <c r="T42" s="1576" t="s">
        <v>8</v>
      </c>
      <c r="U42" s="1577">
        <f t="shared" si="13"/>
        <v>100</v>
      </c>
      <c r="V42" s="1576" t="s">
        <v>8</v>
      </c>
      <c r="W42" s="1577">
        <f t="shared" si="14"/>
        <v>100</v>
      </c>
      <c r="X42" s="1578"/>
      <c r="Y42" s="3447"/>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47"/>
      <c r="Q43" s="1571" t="str">
        <f t="shared" si="11"/>
        <v>内部装修</v>
      </c>
      <c r="R43" s="1572" t="s">
        <v>8</v>
      </c>
      <c r="S43" s="1573">
        <f t="shared" si="12"/>
        <v>100</v>
      </c>
      <c r="T43" s="1572" t="s">
        <v>8</v>
      </c>
      <c r="U43" s="1573">
        <f t="shared" si="13"/>
        <v>100</v>
      </c>
      <c r="V43" s="1572" t="s">
        <v>8</v>
      </c>
      <c r="W43" s="1573">
        <f t="shared" si="14"/>
        <v>100</v>
      </c>
      <c r="X43" s="1566"/>
      <c r="Y43" s="3447"/>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47"/>
      <c r="Q44" s="1571" t="str">
        <f t="shared" si="11"/>
        <v>内部装修维护情况</v>
      </c>
      <c r="R44" s="1572" t="s">
        <v>8</v>
      </c>
      <c r="S44" s="1573">
        <f t="shared" si="12"/>
        <v>100</v>
      </c>
      <c r="T44" s="1572" t="s">
        <v>8</v>
      </c>
      <c r="U44" s="1573">
        <f t="shared" si="13"/>
        <v>100</v>
      </c>
      <c r="V44" s="1572" t="s">
        <v>8</v>
      </c>
      <c r="W44" s="1573">
        <f t="shared" si="14"/>
        <v>100</v>
      </c>
      <c r="X44" s="1566"/>
      <c r="Y44" s="3447"/>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47"/>
      <c r="Q45" s="1150">
        <f t="shared" si="11"/>
        <v>111</v>
      </c>
      <c r="R45" s="1567" t="s">
        <v>8</v>
      </c>
      <c r="S45" s="1568">
        <f t="shared" si="12"/>
        <v>100</v>
      </c>
      <c r="T45" s="1567" t="s">
        <v>8</v>
      </c>
      <c r="U45" s="1568">
        <f t="shared" si="13"/>
        <v>100</v>
      </c>
      <c r="V45" s="1567" t="s">
        <v>8</v>
      </c>
      <c r="W45" s="1568">
        <f t="shared" si="14"/>
        <v>100</v>
      </c>
      <c r="X45" s="1569"/>
      <c r="Y45" s="3447"/>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47"/>
      <c r="Q46" s="1571">
        <f t="shared" si="11"/>
        <v>111</v>
      </c>
      <c r="R46" s="1572" t="s">
        <v>8</v>
      </c>
      <c r="S46" s="1573">
        <f t="shared" si="12"/>
        <v>100</v>
      </c>
      <c r="T46" s="1572" t="s">
        <v>8</v>
      </c>
      <c r="U46" s="1573">
        <f t="shared" si="13"/>
        <v>100</v>
      </c>
      <c r="V46" s="1572" t="s">
        <v>8</v>
      </c>
      <c r="W46" s="1573">
        <f t="shared" si="14"/>
        <v>100</v>
      </c>
      <c r="X46" s="1566"/>
      <c r="Y46" s="3447"/>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4"/>
      <c r="Q47" s="1571">
        <f t="shared" si="11"/>
        <v>111</v>
      </c>
      <c r="R47" s="1572" t="s">
        <v>8</v>
      </c>
      <c r="S47" s="1573">
        <f t="shared" si="12"/>
        <v>100</v>
      </c>
      <c r="T47" s="1572" t="s">
        <v>8</v>
      </c>
      <c r="U47" s="1573">
        <f t="shared" si="13"/>
        <v>100</v>
      </c>
      <c r="V47" s="1572" t="s">
        <v>8</v>
      </c>
      <c r="W47" s="1573">
        <f t="shared" si="14"/>
        <v>100</v>
      </c>
      <c r="X47" s="1566"/>
      <c r="Y47" s="3484"/>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08" t="str">
        <f>A48</f>
        <v>成交单价（元/平方米）</v>
      </c>
      <c r="Q48" s="3410"/>
      <c r="R48" s="3483">
        <f>E48</f>
        <v>0</v>
      </c>
      <c r="S48" s="3483"/>
      <c r="T48" s="3483">
        <f>G48</f>
        <v>0</v>
      </c>
      <c r="U48" s="3483"/>
      <c r="V48" s="3483">
        <f>I48</f>
        <v>0</v>
      </c>
      <c r="W48" s="3483"/>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408" t="str">
        <f>A49</f>
        <v>比较价格（元/平方米）</v>
      </c>
      <c r="Q49" s="3410"/>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27" t="str">
        <f>A50</f>
        <v>估价对象XX用房的比较价格（楼面单价，元/平方米）</v>
      </c>
      <c r="Q50" s="3408"/>
      <c r="R50" s="3482" t="e">
        <f>IF(F1="售价",ROUND(AVERAGE(R49:V49),0),ROUND(AVERAGE(R49:V49),1))</f>
        <v>#DIV/0!</v>
      </c>
      <c r="S50" s="3482"/>
      <c r="T50" s="3482"/>
      <c r="U50" s="3482"/>
      <c r="V50" s="3482"/>
      <c r="W50" s="348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16" t="s">
        <v>522</v>
      </c>
      <c r="D4" s="3417"/>
      <c r="E4" s="3450" t="s">
        <v>523</v>
      </c>
      <c r="F4" s="3451"/>
      <c r="G4" s="3416" t="s">
        <v>524</v>
      </c>
      <c r="H4" s="3417"/>
      <c r="I4" s="3416" t="s">
        <v>525</v>
      </c>
      <c r="J4" s="3417"/>
      <c r="K4" s="513" t="s">
        <v>526</v>
      </c>
      <c r="L4" s="2133"/>
      <c r="M4" s="2134"/>
      <c r="N4" s="2134"/>
      <c r="O4" s="2134"/>
      <c r="P4" s="3418" t="s">
        <v>527</v>
      </c>
      <c r="Q4" s="3419"/>
      <c r="R4" s="3424" t="s">
        <v>523</v>
      </c>
      <c r="S4" s="3425"/>
      <c r="T4" s="3424" t="s">
        <v>524</v>
      </c>
      <c r="U4" s="3425"/>
      <c r="V4" s="3411" t="s">
        <v>525</v>
      </c>
      <c r="W4" s="3411"/>
      <c r="X4" s="1566"/>
      <c r="Y4" s="3424" t="s">
        <v>527</v>
      </c>
      <c r="Z4" s="3425"/>
      <c r="AA4" s="3413" t="s">
        <v>523</v>
      </c>
      <c r="AB4" s="3414" t="s">
        <v>524</v>
      </c>
      <c r="AC4" s="3413" t="s">
        <v>525</v>
      </c>
    </row>
    <row r="5" spans="1:29" ht="15">
      <c r="A5" s="514"/>
      <c r="B5" s="515"/>
      <c r="C5" s="3432" t="s">
        <v>2923</v>
      </c>
      <c r="D5" s="3433"/>
      <c r="E5" s="3452" t="s">
        <v>2924</v>
      </c>
      <c r="F5" s="3453"/>
      <c r="G5" s="3432" t="s">
        <v>2925</v>
      </c>
      <c r="H5" s="3433"/>
      <c r="I5" s="3432" t="s">
        <v>2926</v>
      </c>
      <c r="J5" s="3433"/>
      <c r="K5" s="513"/>
      <c r="L5" s="2133"/>
      <c r="M5" s="2134"/>
      <c r="N5" s="2134"/>
      <c r="O5" s="2134"/>
      <c r="P5" s="3420"/>
      <c r="Q5" s="3421"/>
      <c r="R5" s="3426"/>
      <c r="S5" s="3427"/>
      <c r="T5" s="3426"/>
      <c r="U5" s="3427"/>
      <c r="V5" s="3411"/>
      <c r="W5" s="3411"/>
      <c r="X5" s="1566"/>
      <c r="Y5" s="3426"/>
      <c r="Z5" s="3427"/>
      <c r="AA5" s="3414"/>
      <c r="AB5" s="3414"/>
      <c r="AC5" s="3414"/>
    </row>
    <row r="6" spans="1:29" ht="15.75" thickBot="1">
      <c r="A6" s="516"/>
      <c r="B6" s="517"/>
      <c r="C6" s="3430" t="s">
        <v>2927</v>
      </c>
      <c r="D6" s="3431"/>
      <c r="E6" s="3448" t="s">
        <v>2927</v>
      </c>
      <c r="F6" s="3449"/>
      <c r="G6" s="3430" t="s">
        <v>2927</v>
      </c>
      <c r="H6" s="3431"/>
      <c r="I6" s="3430" t="s">
        <v>2927</v>
      </c>
      <c r="J6" s="3431"/>
      <c r="K6" s="513" t="s">
        <v>528</v>
      </c>
      <c r="L6" s="2133"/>
      <c r="M6" s="2134"/>
      <c r="N6" s="2134"/>
      <c r="O6" s="2134"/>
      <c r="P6" s="3422"/>
      <c r="Q6" s="3423"/>
      <c r="R6" s="3426"/>
      <c r="S6" s="3427"/>
      <c r="T6" s="3428"/>
      <c r="U6" s="3429"/>
      <c r="V6" s="3411"/>
      <c r="W6" s="3411"/>
      <c r="X6" s="1566"/>
      <c r="Y6" s="3428"/>
      <c r="Z6" s="3429"/>
      <c r="AA6" s="3415"/>
      <c r="AB6" s="3415"/>
      <c r="AC6" s="3415"/>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41" t="s">
        <v>530</v>
      </c>
      <c r="Q7" s="3443"/>
      <c r="R7" s="1567" t="s">
        <v>8</v>
      </c>
      <c r="S7" s="1568">
        <f t="shared" ref="S7:S15" si="0">F7</f>
        <v>0</v>
      </c>
      <c r="T7" s="1567" t="s">
        <v>8</v>
      </c>
      <c r="U7" s="1568">
        <f t="shared" ref="U7:U15" si="1">H7</f>
        <v>0</v>
      </c>
      <c r="V7" s="1567" t="s">
        <v>8</v>
      </c>
      <c r="W7" s="1568">
        <f t="shared" ref="W7:W15" si="2">J7</f>
        <v>0</v>
      </c>
      <c r="X7" s="1569"/>
      <c r="Y7" s="3441" t="s">
        <v>530</v>
      </c>
      <c r="Z7" s="3442"/>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41" t="s">
        <v>533</v>
      </c>
      <c r="Q8" s="3442"/>
      <c r="R8" s="1567" t="s">
        <v>8</v>
      </c>
      <c r="S8" s="1568">
        <f t="shared" si="0"/>
        <v>0</v>
      </c>
      <c r="T8" s="1567" t="s">
        <v>8</v>
      </c>
      <c r="U8" s="1568">
        <f t="shared" si="1"/>
        <v>0</v>
      </c>
      <c r="V8" s="1567" t="s">
        <v>8</v>
      </c>
      <c r="W8" s="1568">
        <f t="shared" si="2"/>
        <v>0</v>
      </c>
      <c r="X8" s="1569"/>
      <c r="Y8" s="3441" t="s">
        <v>533</v>
      </c>
      <c r="Z8" s="3442"/>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10"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10"/>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10"/>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44" t="s">
        <v>540</v>
      </c>
      <c r="Q15" s="1571" t="str">
        <f t="shared" si="6"/>
        <v>产业集聚程度</v>
      </c>
      <c r="R15" s="1572" t="s">
        <v>8</v>
      </c>
      <c r="S15" s="1573">
        <f t="shared" si="0"/>
        <v>100</v>
      </c>
      <c r="T15" s="1572" t="s">
        <v>8</v>
      </c>
      <c r="U15" s="1573">
        <f t="shared" si="1"/>
        <v>100</v>
      </c>
      <c r="V15" s="1572" t="s">
        <v>8</v>
      </c>
      <c r="W15" s="1573">
        <f t="shared" si="2"/>
        <v>100</v>
      </c>
      <c r="X15" s="1566"/>
      <c r="Y15" s="3444"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5"/>
      <c r="Q16" s="1571"/>
      <c r="R16" s="1572"/>
      <c r="S16" s="1573"/>
      <c r="T16" s="1572"/>
      <c r="U16" s="1573"/>
      <c r="V16" s="1572"/>
      <c r="W16" s="1573"/>
      <c r="X16" s="1566"/>
      <c r="Y16" s="3445"/>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45"/>
      <c r="Q17" s="1571" t="str">
        <f>B17</f>
        <v>交通便捷度</v>
      </c>
      <c r="R17" s="1572" t="s">
        <v>8</v>
      </c>
      <c r="S17" s="1573">
        <f>F17</f>
        <v>100</v>
      </c>
      <c r="T17" s="1572" t="s">
        <v>8</v>
      </c>
      <c r="U17" s="1573">
        <f>H17</f>
        <v>100</v>
      </c>
      <c r="V17" s="1572" t="s">
        <v>8</v>
      </c>
      <c r="W17" s="1573">
        <f>J17</f>
        <v>100</v>
      </c>
      <c r="X17" s="1566"/>
      <c r="Y17" s="344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5"/>
      <c r="Q18" s="1571"/>
      <c r="R18" s="1572"/>
      <c r="S18" s="1573"/>
      <c r="T18" s="1572"/>
      <c r="U18" s="1573"/>
      <c r="V18" s="1572"/>
      <c r="W18" s="1573"/>
      <c r="X18" s="1566"/>
      <c r="Y18" s="3445"/>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45"/>
      <c r="Q19" s="1571" t="str">
        <f>B19</f>
        <v>公共配套设施</v>
      </c>
      <c r="R19" s="1572" t="s">
        <v>8</v>
      </c>
      <c r="S19" s="1573">
        <f>F19</f>
        <v>100</v>
      </c>
      <c r="T19" s="1572" t="s">
        <v>8</v>
      </c>
      <c r="U19" s="1573">
        <f>H19</f>
        <v>100</v>
      </c>
      <c r="V19" s="1572" t="s">
        <v>8</v>
      </c>
      <c r="W19" s="1573">
        <f>J19</f>
        <v>100</v>
      </c>
      <c r="X19" s="1566"/>
      <c r="Y19" s="3445"/>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45"/>
      <c r="Q20" s="1571"/>
      <c r="R20" s="1572"/>
      <c r="S20" s="1573"/>
      <c r="T20" s="1572"/>
      <c r="U20" s="1573"/>
      <c r="V20" s="1572"/>
      <c r="W20" s="1573"/>
      <c r="X20" s="1566"/>
      <c r="Y20" s="3445"/>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45"/>
      <c r="Q21" s="2603" t="str">
        <f>B21</f>
        <v>基础设施水平</v>
      </c>
      <c r="R21" s="1572" t="s">
        <v>8</v>
      </c>
      <c r="S21" s="1573">
        <f>F21</f>
        <v>100</v>
      </c>
      <c r="T21" s="1572" t="s">
        <v>8</v>
      </c>
      <c r="U21" s="1573">
        <f>H21</f>
        <v>100</v>
      </c>
      <c r="V21" s="1572" t="s">
        <v>8</v>
      </c>
      <c r="W21" s="1573">
        <f>J21</f>
        <v>100</v>
      </c>
      <c r="X21" s="2605"/>
      <c r="Y21" s="3445"/>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45"/>
      <c r="Q22" s="2603"/>
      <c r="R22" s="1572"/>
      <c r="S22" s="1573"/>
      <c r="T22" s="1572"/>
      <c r="U22" s="1573"/>
      <c r="V22" s="1572"/>
      <c r="W22" s="1573"/>
      <c r="X22" s="2605"/>
      <c r="Y22" s="3445"/>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45"/>
      <c r="Q23" s="1571" t="str">
        <f>B23</f>
        <v>环境质量</v>
      </c>
      <c r="R23" s="1572" t="s">
        <v>8</v>
      </c>
      <c r="S23" s="1573">
        <f>F23</f>
        <v>100</v>
      </c>
      <c r="T23" s="1572" t="s">
        <v>8</v>
      </c>
      <c r="U23" s="1573">
        <f>H23</f>
        <v>100</v>
      </c>
      <c r="V23" s="1572" t="s">
        <v>8</v>
      </c>
      <c r="W23" s="1573">
        <f>J23</f>
        <v>100</v>
      </c>
      <c r="X23" s="1566"/>
      <c r="Y23" s="3445"/>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45"/>
      <c r="Q24" s="1571"/>
      <c r="R24" s="1572"/>
      <c r="S24" s="1573"/>
      <c r="T24" s="1572"/>
      <c r="U24" s="1573"/>
      <c r="V24" s="1572"/>
      <c r="W24" s="1573"/>
      <c r="X24" s="1566"/>
      <c r="Y24" s="3445"/>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45"/>
      <c r="Q25" s="1571">
        <f>B25</f>
        <v>111</v>
      </c>
      <c r="R25" s="1572" t="s">
        <v>8</v>
      </c>
      <c r="S25" s="1573">
        <f>F25</f>
        <v>100</v>
      </c>
      <c r="T25" s="1572" t="s">
        <v>8</v>
      </c>
      <c r="U25" s="1573">
        <f>H25</f>
        <v>100</v>
      </c>
      <c r="V25" s="1572" t="s">
        <v>8</v>
      </c>
      <c r="W25" s="1573">
        <f>J25</f>
        <v>100</v>
      </c>
      <c r="X25" s="1566"/>
      <c r="Y25" s="3445"/>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45"/>
      <c r="Q26" s="1571">
        <f t="shared" ref="Q26:Q40" si="11">B26</f>
        <v>111</v>
      </c>
      <c r="R26" s="1572" t="s">
        <v>8</v>
      </c>
      <c r="S26" s="1573">
        <f>F26</f>
        <v>100</v>
      </c>
      <c r="T26" s="1572" t="s">
        <v>8</v>
      </c>
      <c r="U26" s="1573">
        <f>H26</f>
        <v>100</v>
      </c>
      <c r="V26" s="1572" t="s">
        <v>8</v>
      </c>
      <c r="W26" s="1573">
        <f>J26</f>
        <v>100</v>
      </c>
      <c r="X26" s="1566"/>
      <c r="Y26" s="3445"/>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45"/>
      <c r="Q27" s="1150">
        <f t="shared" si="11"/>
        <v>111</v>
      </c>
      <c r="R27" s="1567" t="s">
        <v>8</v>
      </c>
      <c r="S27" s="1568">
        <f>F27</f>
        <v>100</v>
      </c>
      <c r="T27" s="1567" t="s">
        <v>8</v>
      </c>
      <c r="U27" s="1568">
        <f>H27</f>
        <v>100</v>
      </c>
      <c r="V27" s="1567" t="s">
        <v>8</v>
      </c>
      <c r="W27" s="1568">
        <f>J27</f>
        <v>100</v>
      </c>
      <c r="X27" s="1569"/>
      <c r="Y27" s="3445"/>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45"/>
      <c r="Q28" s="1571">
        <f t="shared" si="11"/>
        <v>111</v>
      </c>
      <c r="R28" s="1572" t="s">
        <v>8</v>
      </c>
      <c r="S28" s="1573">
        <f t="shared" ref="S28:S40" si="12">F28</f>
        <v>100</v>
      </c>
      <c r="T28" s="1572" t="s">
        <v>8</v>
      </c>
      <c r="U28" s="1573">
        <f t="shared" ref="U28:U40" si="13">H28</f>
        <v>100</v>
      </c>
      <c r="V28" s="1572" t="s">
        <v>8</v>
      </c>
      <c r="W28" s="1573">
        <f t="shared" ref="W28:W40" si="14">J28</f>
        <v>100</v>
      </c>
      <c r="X28" s="1566"/>
      <c r="Y28" s="3445"/>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46" t="s">
        <v>550</v>
      </c>
      <c r="Q29" s="1571" t="str">
        <f t="shared" si="11"/>
        <v>建筑类型</v>
      </c>
      <c r="R29" s="1572" t="s">
        <v>8</v>
      </c>
      <c r="S29" s="1573">
        <f t="shared" si="12"/>
        <v>100</v>
      </c>
      <c r="T29" s="1572" t="s">
        <v>8</v>
      </c>
      <c r="U29" s="1573">
        <f t="shared" si="13"/>
        <v>100</v>
      </c>
      <c r="V29" s="1572" t="s">
        <v>8</v>
      </c>
      <c r="W29" s="1573">
        <f t="shared" si="14"/>
        <v>100</v>
      </c>
      <c r="X29" s="1566"/>
      <c r="Y29" s="3447"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47"/>
      <c r="Q30" s="1604" t="str">
        <f t="shared" si="11"/>
        <v>项目建筑规模</v>
      </c>
      <c r="R30" s="1576" t="s">
        <v>8</v>
      </c>
      <c r="S30" s="1577" t="e">
        <f t="shared" si="12"/>
        <v>#N/A</v>
      </c>
      <c r="T30" s="1576" t="s">
        <v>8</v>
      </c>
      <c r="U30" s="1577" t="e">
        <f t="shared" si="13"/>
        <v>#N/A</v>
      </c>
      <c r="V30" s="1576" t="s">
        <v>8</v>
      </c>
      <c r="W30" s="1577" t="e">
        <f t="shared" si="14"/>
        <v>#N/A</v>
      </c>
      <c r="X30" s="1578"/>
      <c r="Y30" s="3447"/>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47"/>
      <c r="Q31" s="1571" t="str">
        <f t="shared" si="11"/>
        <v>建筑结构</v>
      </c>
      <c r="R31" s="1572" t="s">
        <v>8</v>
      </c>
      <c r="S31" s="1573">
        <f t="shared" si="12"/>
        <v>100</v>
      </c>
      <c r="T31" s="1572" t="s">
        <v>8</v>
      </c>
      <c r="U31" s="1573">
        <f t="shared" si="13"/>
        <v>100</v>
      </c>
      <c r="V31" s="1572" t="s">
        <v>8</v>
      </c>
      <c r="W31" s="1573">
        <f t="shared" si="14"/>
        <v>100</v>
      </c>
      <c r="X31" s="1566"/>
      <c r="Y31" s="3447"/>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47"/>
      <c r="Q32" s="1571" t="str">
        <f t="shared" si="11"/>
        <v>公共部分装修</v>
      </c>
      <c r="R32" s="1572" t="s">
        <v>8</v>
      </c>
      <c r="S32" s="1573">
        <f t="shared" si="12"/>
        <v>100</v>
      </c>
      <c r="T32" s="1572" t="s">
        <v>8</v>
      </c>
      <c r="U32" s="1573">
        <f t="shared" si="13"/>
        <v>100</v>
      </c>
      <c r="V32" s="1572" t="s">
        <v>8</v>
      </c>
      <c r="W32" s="1573">
        <f t="shared" si="14"/>
        <v>100</v>
      </c>
      <c r="X32" s="1566"/>
      <c r="Y32" s="3447"/>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47"/>
      <c r="Q33" s="1571" t="str">
        <f t="shared" si="11"/>
        <v>成新度</v>
      </c>
      <c r="R33" s="1572" t="s">
        <v>8</v>
      </c>
      <c r="S33" s="1573" t="e">
        <f t="shared" si="12"/>
        <v>#N/A</v>
      </c>
      <c r="T33" s="1572" t="s">
        <v>8</v>
      </c>
      <c r="U33" s="1573" t="e">
        <f t="shared" si="13"/>
        <v>#N/A</v>
      </c>
      <c r="V33" s="1572" t="s">
        <v>8</v>
      </c>
      <c r="W33" s="1573" t="e">
        <f t="shared" si="14"/>
        <v>#N/A</v>
      </c>
      <c r="X33" s="1566"/>
      <c r="Y33" s="3447"/>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47"/>
      <c r="Q34" s="1150" t="str">
        <f t="shared" si="11"/>
        <v>物业管理</v>
      </c>
      <c r="R34" s="1567" t="s">
        <v>8</v>
      </c>
      <c r="S34" s="1568">
        <f t="shared" si="12"/>
        <v>100</v>
      </c>
      <c r="T34" s="1567" t="s">
        <v>8</v>
      </c>
      <c r="U34" s="1568">
        <f t="shared" si="13"/>
        <v>100</v>
      </c>
      <c r="V34" s="1567" t="s">
        <v>8</v>
      </c>
      <c r="W34" s="1568">
        <f t="shared" si="14"/>
        <v>100</v>
      </c>
      <c r="X34" s="1569"/>
      <c r="Y34" s="3447"/>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47" t="s">
        <v>550</v>
      </c>
      <c r="Q35" s="1571" t="str">
        <f t="shared" si="11"/>
        <v>市政基础设施</v>
      </c>
      <c r="R35" s="1572" t="s">
        <v>8</v>
      </c>
      <c r="S35" s="1573">
        <f t="shared" si="12"/>
        <v>100</v>
      </c>
      <c r="T35" s="1572" t="s">
        <v>8</v>
      </c>
      <c r="U35" s="1573">
        <f t="shared" si="13"/>
        <v>100</v>
      </c>
      <c r="V35" s="1572" t="s">
        <v>8</v>
      </c>
      <c r="W35" s="1573">
        <f t="shared" si="14"/>
        <v>100</v>
      </c>
      <c r="X35" s="1566"/>
      <c r="Y35" s="3447"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47"/>
      <c r="Q36" s="1571" t="str">
        <f t="shared" si="11"/>
        <v>内部装修</v>
      </c>
      <c r="R36" s="1572" t="s">
        <v>8</v>
      </c>
      <c r="S36" s="1573">
        <f t="shared" si="12"/>
        <v>100</v>
      </c>
      <c r="T36" s="1572" t="s">
        <v>8</v>
      </c>
      <c r="U36" s="1573">
        <f t="shared" si="13"/>
        <v>100</v>
      </c>
      <c r="V36" s="1572" t="s">
        <v>8</v>
      </c>
      <c r="W36" s="1573">
        <f t="shared" si="14"/>
        <v>100</v>
      </c>
      <c r="X36" s="1566"/>
      <c r="Y36" s="3447"/>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47"/>
      <c r="Q37" s="1571" t="str">
        <f t="shared" si="11"/>
        <v>内部装修状况</v>
      </c>
      <c r="R37" s="1572" t="s">
        <v>8</v>
      </c>
      <c r="S37" s="1573">
        <f t="shared" si="12"/>
        <v>100</v>
      </c>
      <c r="T37" s="1572" t="s">
        <v>8</v>
      </c>
      <c r="U37" s="1573">
        <f t="shared" si="13"/>
        <v>100</v>
      </c>
      <c r="V37" s="1572" t="s">
        <v>8</v>
      </c>
      <c r="W37" s="1573">
        <f t="shared" si="14"/>
        <v>100</v>
      </c>
      <c r="X37" s="1566"/>
      <c r="Y37" s="3447"/>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47"/>
      <c r="Q38" s="1604">
        <f t="shared" si="11"/>
        <v>111</v>
      </c>
      <c r="R38" s="1576" t="s">
        <v>8</v>
      </c>
      <c r="S38" s="1577">
        <f t="shared" si="12"/>
        <v>100</v>
      </c>
      <c r="T38" s="1576" t="s">
        <v>8</v>
      </c>
      <c r="U38" s="1577">
        <f t="shared" si="13"/>
        <v>100</v>
      </c>
      <c r="V38" s="1576" t="s">
        <v>8</v>
      </c>
      <c r="W38" s="1577">
        <f t="shared" si="14"/>
        <v>100</v>
      </c>
      <c r="X38" s="1578"/>
      <c r="Y38" s="3447"/>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47"/>
      <c r="Q39" s="1571">
        <f t="shared" si="11"/>
        <v>111</v>
      </c>
      <c r="R39" s="1572" t="s">
        <v>8</v>
      </c>
      <c r="S39" s="1573">
        <f t="shared" si="12"/>
        <v>100</v>
      </c>
      <c r="T39" s="1572" t="s">
        <v>8</v>
      </c>
      <c r="U39" s="1573">
        <f t="shared" si="13"/>
        <v>100</v>
      </c>
      <c r="V39" s="1572" t="s">
        <v>8</v>
      </c>
      <c r="W39" s="1573">
        <f t="shared" si="14"/>
        <v>100</v>
      </c>
      <c r="X39" s="1566"/>
      <c r="Y39" s="3447"/>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4"/>
      <c r="Q40" s="1571">
        <f t="shared" si="11"/>
        <v>111</v>
      </c>
      <c r="R40" s="1572" t="s">
        <v>8</v>
      </c>
      <c r="S40" s="1573">
        <f t="shared" si="12"/>
        <v>100</v>
      </c>
      <c r="T40" s="1572" t="s">
        <v>8</v>
      </c>
      <c r="U40" s="1573">
        <f t="shared" si="13"/>
        <v>100</v>
      </c>
      <c r="V40" s="1572" t="s">
        <v>8</v>
      </c>
      <c r="W40" s="1573">
        <f t="shared" si="14"/>
        <v>100</v>
      </c>
      <c r="X40" s="1566"/>
      <c r="Y40" s="3484"/>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10" t="str">
        <f>A41</f>
        <v>成交单价（元/平方米）</v>
      </c>
      <c r="Q41" s="3410"/>
      <c r="R41" s="3483">
        <f>E41</f>
        <v>0</v>
      </c>
      <c r="S41" s="3483"/>
      <c r="T41" s="3483">
        <f>G41</f>
        <v>0</v>
      </c>
      <c r="U41" s="3483"/>
      <c r="V41" s="3483">
        <f>I41</f>
        <v>0</v>
      </c>
      <c r="W41" s="3483"/>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10" t="str">
        <f>A42</f>
        <v>比较价格（元/平方米）</v>
      </c>
      <c r="Q42" s="3410"/>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407" t="str">
        <f>A43</f>
        <v>估价对象XX用房的比较价格（楼面单价，元/平方米）</v>
      </c>
      <c r="Q43" s="3408"/>
      <c r="R43" s="3482" t="e">
        <f>IF(F1="售价",ROUND(AVERAGE(R42:V42),0),ROUND(AVERAGE(R42:V42),1))</f>
        <v>#DIV/0!</v>
      </c>
      <c r="S43" s="3482"/>
      <c r="T43" s="3482"/>
      <c r="U43" s="3482"/>
      <c r="V43" s="3482"/>
      <c r="W43" s="348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3417</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6" t="s">
        <v>798</v>
      </c>
      <c r="D4" s="3417"/>
      <c r="E4" s="3416" t="s">
        <v>799</v>
      </c>
      <c r="F4" s="3417"/>
      <c r="G4" s="3416" t="s">
        <v>800</v>
      </c>
      <c r="H4" s="3417"/>
      <c r="I4" s="3416" t="s">
        <v>801</v>
      </c>
      <c r="J4" s="3417"/>
      <c r="K4" s="513" t="s">
        <v>802</v>
      </c>
      <c r="L4" s="2133"/>
      <c r="M4" s="2134"/>
      <c r="N4" s="2134"/>
      <c r="O4" s="2134"/>
      <c r="P4" s="3418" t="s">
        <v>803</v>
      </c>
      <c r="Q4" s="3419"/>
      <c r="R4" s="3424" t="s">
        <v>799</v>
      </c>
      <c r="S4" s="3425"/>
      <c r="T4" s="3424" t="s">
        <v>800</v>
      </c>
      <c r="U4" s="3425"/>
      <c r="V4" s="3411" t="s">
        <v>801</v>
      </c>
      <c r="W4" s="3411"/>
      <c r="X4" s="1566"/>
      <c r="Y4" s="3424" t="s">
        <v>803</v>
      </c>
      <c r="Z4" s="3425"/>
      <c r="AA4" s="3413" t="s">
        <v>799</v>
      </c>
      <c r="AB4" s="3414" t="s">
        <v>800</v>
      </c>
      <c r="AC4" s="3413" t="s">
        <v>801</v>
      </c>
    </row>
    <row r="5" spans="1:29" ht="15">
      <c r="A5" s="514"/>
      <c r="B5" s="515"/>
      <c r="C5" s="3432" t="s">
        <v>2923</v>
      </c>
      <c r="D5" s="3433"/>
      <c r="E5" s="3432" t="s">
        <v>2924</v>
      </c>
      <c r="F5" s="3433"/>
      <c r="G5" s="3432" t="s">
        <v>2925</v>
      </c>
      <c r="H5" s="3433"/>
      <c r="I5" s="3432" t="s">
        <v>2926</v>
      </c>
      <c r="J5" s="3433"/>
      <c r="K5" s="513"/>
      <c r="L5" s="2133"/>
      <c r="M5" s="2134"/>
      <c r="N5" s="2134"/>
      <c r="O5" s="2134"/>
      <c r="P5" s="3420"/>
      <c r="Q5" s="3421"/>
      <c r="R5" s="3426"/>
      <c r="S5" s="3427"/>
      <c r="T5" s="3426"/>
      <c r="U5" s="3427"/>
      <c r="V5" s="3411"/>
      <c r="W5" s="3411"/>
      <c r="X5" s="1566"/>
      <c r="Y5" s="3426"/>
      <c r="Z5" s="3427"/>
      <c r="AA5" s="3414"/>
      <c r="AB5" s="3414"/>
      <c r="AC5" s="3414"/>
    </row>
    <row r="6" spans="1:29" ht="15.75" thickBot="1">
      <c r="A6" s="516"/>
      <c r="B6" s="517"/>
      <c r="C6" s="3430" t="s">
        <v>2927</v>
      </c>
      <c r="D6" s="3431"/>
      <c r="E6" s="3434" t="s">
        <v>2927</v>
      </c>
      <c r="F6" s="3435"/>
      <c r="G6" s="3430" t="s">
        <v>2927</v>
      </c>
      <c r="H6" s="3431"/>
      <c r="I6" s="3430" t="s">
        <v>2927</v>
      </c>
      <c r="J6" s="3431"/>
      <c r="K6" s="513" t="s">
        <v>528</v>
      </c>
      <c r="L6" s="2133"/>
      <c r="M6" s="2134"/>
      <c r="N6" s="2134"/>
      <c r="O6" s="2134"/>
      <c r="P6" s="3422"/>
      <c r="Q6" s="3423"/>
      <c r="R6" s="3426"/>
      <c r="S6" s="3427"/>
      <c r="T6" s="3428"/>
      <c r="U6" s="3429"/>
      <c r="V6" s="3411"/>
      <c r="W6" s="3411"/>
      <c r="X6" s="1566"/>
      <c r="Y6" s="3428"/>
      <c r="Z6" s="3429"/>
      <c r="AA6" s="3415"/>
      <c r="AB6" s="3415"/>
      <c r="AC6" s="3415"/>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41" t="s">
        <v>530</v>
      </c>
      <c r="Q7" s="3443"/>
      <c r="R7" s="1567" t="s">
        <v>8</v>
      </c>
      <c r="S7" s="1568">
        <f t="shared" ref="S7:S14" si="0">F7</f>
        <v>100</v>
      </c>
      <c r="T7" s="1567" t="s">
        <v>8</v>
      </c>
      <c r="U7" s="1568">
        <f t="shared" ref="U7:U14" si="1">H7</f>
        <v>100</v>
      </c>
      <c r="V7" s="1567" t="s">
        <v>8</v>
      </c>
      <c r="W7" s="1568">
        <f t="shared" ref="W7:W14" si="2">J7</f>
        <v>100</v>
      </c>
      <c r="X7" s="1569"/>
      <c r="Y7" s="3441" t="s">
        <v>530</v>
      </c>
      <c r="Z7" s="3442"/>
      <c r="AA7" s="1570">
        <f>D7/F7</f>
        <v>1</v>
      </c>
      <c r="AB7" s="1570">
        <f>D7/H7</f>
        <v>1</v>
      </c>
      <c r="AC7" s="1570">
        <f>D7/J7</f>
        <v>1</v>
      </c>
    </row>
    <row r="8" spans="1:29" s="1219" customFormat="1" ht="15.75" thickBot="1">
      <c r="A8" s="2936"/>
      <c r="B8" s="2943" t="s">
        <v>531</v>
      </c>
      <c r="C8" s="524" t="s">
        <v>576</v>
      </c>
      <c r="D8" s="519">
        <v>100</v>
      </c>
      <c r="E8" s="524" t="s">
        <v>3316</v>
      </c>
      <c r="F8" s="521">
        <f>SUMIF(51:51,E8,52:52)-SUMIF(51:51,C8,52:52)+100</f>
        <v>100</v>
      </c>
      <c r="G8" s="524" t="s">
        <v>3316</v>
      </c>
      <c r="H8" s="519">
        <f>SUMIF(51:51,G8,52:52)-SUMIF(51:51,C8,52:52)+100</f>
        <v>100</v>
      </c>
      <c r="I8" s="524" t="s">
        <v>3316</v>
      </c>
      <c r="J8" s="519">
        <f>SUMIF(51:51,I8,52:52)-SUMIF(51:51,C8,52:52)+100</f>
        <v>100</v>
      </c>
      <c r="K8" s="523"/>
      <c r="L8" s="2135"/>
      <c r="M8" s="2136"/>
      <c r="N8" s="2136"/>
      <c r="O8" s="2136"/>
      <c r="P8" s="3441" t="s">
        <v>533</v>
      </c>
      <c r="Q8" s="3442"/>
      <c r="R8" s="1567" t="s">
        <v>8</v>
      </c>
      <c r="S8" s="1568">
        <f t="shared" si="0"/>
        <v>100</v>
      </c>
      <c r="T8" s="1567" t="s">
        <v>8</v>
      </c>
      <c r="U8" s="1568">
        <f t="shared" si="1"/>
        <v>100</v>
      </c>
      <c r="V8" s="1567" t="s">
        <v>8</v>
      </c>
      <c r="W8" s="1568">
        <f t="shared" si="2"/>
        <v>100</v>
      </c>
      <c r="X8" s="1569"/>
      <c r="Y8" s="3441" t="s">
        <v>533</v>
      </c>
      <c r="Z8" s="3442"/>
      <c r="AA8" s="1570">
        <f t="shared" ref="AA8:AA36" si="3">D8/F8</f>
        <v>1</v>
      </c>
      <c r="AB8" s="1570">
        <f t="shared" ref="AB8:AB36" si="4">D8/H8</f>
        <v>1</v>
      </c>
      <c r="AC8" s="1570">
        <f t="shared" ref="AC8:AC36" si="5">D8/J8</f>
        <v>1</v>
      </c>
    </row>
    <row r="9" spans="1:29" s="1219" customFormat="1" ht="15">
      <c r="A9" s="2937"/>
      <c r="B9" s="2944" t="s">
        <v>2755</v>
      </c>
      <c r="C9" s="3217" t="s">
        <v>3437</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10" t="s">
        <v>535</v>
      </c>
      <c r="Q9" s="1150" t="str">
        <f t="shared" ref="Q9:Q14" si="6">B9</f>
        <v>用途</v>
      </c>
      <c r="R9" s="1567" t="s">
        <v>8</v>
      </c>
      <c r="S9" s="1568">
        <f t="shared" si="0"/>
        <v>100</v>
      </c>
      <c r="T9" s="1567" t="s">
        <v>8</v>
      </c>
      <c r="U9" s="1568">
        <f t="shared" si="1"/>
        <v>100</v>
      </c>
      <c r="V9" s="1567" t="s">
        <v>8</v>
      </c>
      <c r="W9" s="1568">
        <f t="shared" si="2"/>
        <v>100</v>
      </c>
      <c r="X9" s="1569"/>
      <c r="Y9" s="3356"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10"/>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44" t="s">
        <v>540</v>
      </c>
      <c r="Q14" s="1571" t="str">
        <f t="shared" si="6"/>
        <v>交通便捷度</v>
      </c>
      <c r="R14" s="1572" t="s">
        <v>8</v>
      </c>
      <c r="S14" s="1573">
        <f t="shared" si="0"/>
        <v>100</v>
      </c>
      <c r="T14" s="1572" t="s">
        <v>8</v>
      </c>
      <c r="U14" s="1573">
        <f t="shared" si="1"/>
        <v>100</v>
      </c>
      <c r="V14" s="1572" t="s">
        <v>8</v>
      </c>
      <c r="W14" s="1573">
        <f t="shared" si="2"/>
        <v>100</v>
      </c>
      <c r="X14" s="1566"/>
      <c r="Y14" s="3444"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45"/>
      <c r="Q15" s="1571"/>
      <c r="R15" s="1572"/>
      <c r="S15" s="1573"/>
      <c r="T15" s="1572"/>
      <c r="U15" s="1573"/>
      <c r="V15" s="1572"/>
      <c r="W15" s="1573"/>
      <c r="X15" s="1566"/>
      <c r="Y15" s="3445"/>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45"/>
      <c r="Q16" s="1571" t="str">
        <f>B16</f>
        <v>公共配套设施</v>
      </c>
      <c r="R16" s="1572" t="s">
        <v>8</v>
      </c>
      <c r="S16" s="1573">
        <f>F16</f>
        <v>100</v>
      </c>
      <c r="T16" s="1572" t="s">
        <v>8</v>
      </c>
      <c r="U16" s="1573">
        <f>H16</f>
        <v>100</v>
      </c>
      <c r="V16" s="1572" t="s">
        <v>8</v>
      </c>
      <c r="W16" s="1573">
        <f>J16</f>
        <v>100</v>
      </c>
      <c r="X16" s="1566"/>
      <c r="Y16" s="3445"/>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45"/>
      <c r="Q17" s="1571"/>
      <c r="R17" s="1572"/>
      <c r="S17" s="1573"/>
      <c r="T17" s="1572"/>
      <c r="U17" s="1573"/>
      <c r="V17" s="1572"/>
      <c r="W17" s="1573"/>
      <c r="X17" s="1566"/>
      <c r="Y17" s="3445"/>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45"/>
      <c r="Q18" s="2603" t="str">
        <f>B18</f>
        <v>基础设施水平</v>
      </c>
      <c r="R18" s="1572" t="s">
        <v>8</v>
      </c>
      <c r="S18" s="1573">
        <f>F18</f>
        <v>100</v>
      </c>
      <c r="T18" s="1572" t="s">
        <v>8</v>
      </c>
      <c r="U18" s="1573">
        <f>H18</f>
        <v>100</v>
      </c>
      <c r="V18" s="1572" t="s">
        <v>8</v>
      </c>
      <c r="W18" s="1573">
        <f>J18</f>
        <v>100</v>
      </c>
      <c r="X18" s="2605"/>
      <c r="Y18" s="3445"/>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45"/>
      <c r="Q19" s="2603"/>
      <c r="R19" s="1572"/>
      <c r="S19" s="1573"/>
      <c r="T19" s="1572"/>
      <c r="U19" s="1573"/>
      <c r="V19" s="1572"/>
      <c r="W19" s="1573"/>
      <c r="X19" s="2605"/>
      <c r="Y19" s="3445"/>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45"/>
      <c r="Q20" s="1571" t="str">
        <f>B20</f>
        <v>自然及人文环境</v>
      </c>
      <c r="R20" s="1572" t="s">
        <v>8</v>
      </c>
      <c r="S20" s="1573">
        <f>F20</f>
        <v>100</v>
      </c>
      <c r="T20" s="1572" t="s">
        <v>8</v>
      </c>
      <c r="U20" s="1573">
        <f>H20</f>
        <v>100</v>
      </c>
      <c r="V20" s="1572" t="s">
        <v>8</v>
      </c>
      <c r="W20" s="1573">
        <f>J20</f>
        <v>100</v>
      </c>
      <c r="X20" s="1566"/>
      <c r="Y20" s="3445"/>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45"/>
      <c r="Q21" s="1571"/>
      <c r="R21" s="1572"/>
      <c r="S21" s="1573"/>
      <c r="T21" s="1572"/>
      <c r="U21" s="1573"/>
      <c r="V21" s="1572"/>
      <c r="W21" s="1573"/>
      <c r="X21" s="1566"/>
      <c r="Y21" s="3445"/>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45"/>
      <c r="Q22" s="1571" t="str">
        <f>B22</f>
        <v>楼层</v>
      </c>
      <c r="R22" s="1572" t="s">
        <v>8</v>
      </c>
      <c r="S22" s="1573">
        <f>F22</f>
        <v>100</v>
      </c>
      <c r="T22" s="1572" t="s">
        <v>8</v>
      </c>
      <c r="U22" s="1573">
        <f>H22</f>
        <v>100</v>
      </c>
      <c r="V22" s="1572" t="s">
        <v>8</v>
      </c>
      <c r="W22" s="1573">
        <f>J22</f>
        <v>100</v>
      </c>
      <c r="X22" s="1566"/>
      <c r="Y22" s="3445"/>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45"/>
      <c r="Q23" s="1571">
        <f>B23</f>
        <v>111</v>
      </c>
      <c r="R23" s="1572" t="s">
        <v>8</v>
      </c>
      <c r="S23" s="1573">
        <f>F23</f>
        <v>100</v>
      </c>
      <c r="T23" s="1572" t="s">
        <v>8</v>
      </c>
      <c r="U23" s="1573">
        <f>H23</f>
        <v>100</v>
      </c>
      <c r="V23" s="1572" t="s">
        <v>8</v>
      </c>
      <c r="W23" s="1573">
        <f>J23</f>
        <v>100</v>
      </c>
      <c r="X23" s="1566"/>
      <c r="Y23" s="3445"/>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45"/>
      <c r="Q24" s="1571">
        <f t="shared" ref="Q24:Q36" si="11">B24</f>
        <v>111</v>
      </c>
      <c r="R24" s="1572" t="s">
        <v>8</v>
      </c>
      <c r="S24" s="1573">
        <f>F24</f>
        <v>100</v>
      </c>
      <c r="T24" s="1572" t="s">
        <v>8</v>
      </c>
      <c r="U24" s="1573">
        <f>H24</f>
        <v>100</v>
      </c>
      <c r="V24" s="1572" t="s">
        <v>8</v>
      </c>
      <c r="W24" s="1573">
        <f>J24</f>
        <v>100</v>
      </c>
      <c r="X24" s="1566"/>
      <c r="Y24" s="3445"/>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45"/>
      <c r="Q25" s="1150">
        <f t="shared" si="11"/>
        <v>111</v>
      </c>
      <c r="R25" s="1567" t="s">
        <v>8</v>
      </c>
      <c r="S25" s="1568">
        <f>F25</f>
        <v>100</v>
      </c>
      <c r="T25" s="1567" t="s">
        <v>8</v>
      </c>
      <c r="U25" s="1568">
        <f>H25</f>
        <v>100</v>
      </c>
      <c r="V25" s="1567" t="s">
        <v>8</v>
      </c>
      <c r="W25" s="1568">
        <f>J25</f>
        <v>100</v>
      </c>
      <c r="X25" s="1569"/>
      <c r="Y25" s="3445"/>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46"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47"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47"/>
      <c r="Q27" s="1604" t="str">
        <f t="shared" si="11"/>
        <v>项目停车位配比</v>
      </c>
      <c r="R27" s="1576" t="s">
        <v>8</v>
      </c>
      <c r="S27" s="1577">
        <f t="shared" si="12"/>
        <v>100</v>
      </c>
      <c r="T27" s="1576" t="s">
        <v>8</v>
      </c>
      <c r="U27" s="1577">
        <f t="shared" si="13"/>
        <v>100</v>
      </c>
      <c r="V27" s="1576" t="s">
        <v>8</v>
      </c>
      <c r="W27" s="1577">
        <f t="shared" si="14"/>
        <v>100</v>
      </c>
      <c r="X27" s="1578"/>
      <c r="Y27" s="3447"/>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47"/>
      <c r="Q28" s="1571" t="str">
        <f t="shared" si="11"/>
        <v>公共部分装修</v>
      </c>
      <c r="R28" s="1572" t="s">
        <v>8</v>
      </c>
      <c r="S28" s="1573">
        <f t="shared" si="12"/>
        <v>100</v>
      </c>
      <c r="T28" s="1572" t="s">
        <v>8</v>
      </c>
      <c r="U28" s="1573">
        <f t="shared" si="13"/>
        <v>100</v>
      </c>
      <c r="V28" s="1572" t="s">
        <v>8</v>
      </c>
      <c r="W28" s="1573">
        <f t="shared" si="14"/>
        <v>100</v>
      </c>
      <c r="X28" s="1566"/>
      <c r="Y28" s="3447"/>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47"/>
      <c r="Q29" s="1571" t="str">
        <f t="shared" si="11"/>
        <v>成新率</v>
      </c>
      <c r="R29" s="1572" t="s">
        <v>8</v>
      </c>
      <c r="S29" s="1573" t="e">
        <f t="shared" si="12"/>
        <v>#N/A</v>
      </c>
      <c r="T29" s="1572" t="s">
        <v>8</v>
      </c>
      <c r="U29" s="1573" t="e">
        <f t="shared" si="13"/>
        <v>#N/A</v>
      </c>
      <c r="V29" s="1572" t="s">
        <v>8</v>
      </c>
      <c r="W29" s="1573" t="e">
        <f t="shared" si="14"/>
        <v>#N/A</v>
      </c>
      <c r="X29" s="1566"/>
      <c r="Y29" s="3447"/>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47"/>
      <c r="Q30" s="1571" t="str">
        <f t="shared" si="11"/>
        <v>物业等级</v>
      </c>
      <c r="R30" s="1572" t="s">
        <v>8</v>
      </c>
      <c r="S30" s="1573">
        <f t="shared" si="12"/>
        <v>100</v>
      </c>
      <c r="T30" s="1572" t="s">
        <v>8</v>
      </c>
      <c r="U30" s="1573">
        <f t="shared" si="13"/>
        <v>100</v>
      </c>
      <c r="V30" s="1572" t="s">
        <v>8</v>
      </c>
      <c r="W30" s="1573">
        <f t="shared" si="14"/>
        <v>100</v>
      </c>
      <c r="X30" s="1566"/>
      <c r="Y30" s="3447"/>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47"/>
      <c r="Q31" s="1150" t="str">
        <f t="shared" si="11"/>
        <v>停车位面积</v>
      </c>
      <c r="R31" s="1567" t="s">
        <v>8</v>
      </c>
      <c r="S31" s="1568" t="e">
        <f t="shared" si="12"/>
        <v>#N/A</v>
      </c>
      <c r="T31" s="1567" t="s">
        <v>8</v>
      </c>
      <c r="U31" s="1568" t="e">
        <f t="shared" si="13"/>
        <v>#N/A</v>
      </c>
      <c r="V31" s="1567" t="s">
        <v>8</v>
      </c>
      <c r="W31" s="1568" t="e">
        <f t="shared" si="14"/>
        <v>#N/A</v>
      </c>
      <c r="X31" s="1569"/>
      <c r="Y31" s="3447"/>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47" t="s">
        <v>550</v>
      </c>
      <c r="Q32" s="1571" t="str">
        <f t="shared" si="11"/>
        <v>车位类型</v>
      </c>
      <c r="R32" s="1572" t="s">
        <v>8</v>
      </c>
      <c r="S32" s="1573">
        <f t="shared" si="12"/>
        <v>100</v>
      </c>
      <c r="T32" s="1572" t="s">
        <v>8</v>
      </c>
      <c r="U32" s="1573">
        <f t="shared" si="13"/>
        <v>100</v>
      </c>
      <c r="V32" s="1572" t="s">
        <v>8</v>
      </c>
      <c r="W32" s="1573">
        <f t="shared" si="14"/>
        <v>100</v>
      </c>
      <c r="X32" s="1566"/>
      <c r="Y32" s="3447"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47"/>
      <c r="Q33" s="1571" t="str">
        <f t="shared" si="11"/>
        <v>是否直接入户</v>
      </c>
      <c r="R33" s="1572" t="s">
        <v>8</v>
      </c>
      <c r="S33" s="1573">
        <f t="shared" si="12"/>
        <v>100</v>
      </c>
      <c r="T33" s="1572" t="s">
        <v>8</v>
      </c>
      <c r="U33" s="1573">
        <f t="shared" si="13"/>
        <v>100</v>
      </c>
      <c r="V33" s="1572" t="s">
        <v>8</v>
      </c>
      <c r="W33" s="1573">
        <f t="shared" si="14"/>
        <v>100</v>
      </c>
      <c r="X33" s="1566"/>
      <c r="Y33" s="3447"/>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47"/>
      <c r="Q34" s="1571">
        <f t="shared" si="11"/>
        <v>111</v>
      </c>
      <c r="R34" s="1572" t="s">
        <v>8</v>
      </c>
      <c r="S34" s="1573">
        <f t="shared" si="12"/>
        <v>100</v>
      </c>
      <c r="T34" s="1572" t="s">
        <v>8</v>
      </c>
      <c r="U34" s="1573">
        <f t="shared" si="13"/>
        <v>100</v>
      </c>
      <c r="V34" s="1572" t="s">
        <v>8</v>
      </c>
      <c r="W34" s="1573">
        <f t="shared" si="14"/>
        <v>100</v>
      </c>
      <c r="X34" s="1566"/>
      <c r="Y34" s="3447"/>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47"/>
      <c r="Q35" s="1604">
        <f t="shared" si="11"/>
        <v>111</v>
      </c>
      <c r="R35" s="1576" t="s">
        <v>8</v>
      </c>
      <c r="S35" s="1577">
        <f t="shared" si="12"/>
        <v>100</v>
      </c>
      <c r="T35" s="1576" t="s">
        <v>8</v>
      </c>
      <c r="U35" s="1577">
        <f t="shared" si="13"/>
        <v>100</v>
      </c>
      <c r="V35" s="1576" t="s">
        <v>8</v>
      </c>
      <c r="W35" s="1577">
        <f t="shared" si="14"/>
        <v>100</v>
      </c>
      <c r="X35" s="1578"/>
      <c r="Y35" s="3447"/>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47"/>
      <c r="Q36" s="1571">
        <f t="shared" si="11"/>
        <v>111</v>
      </c>
      <c r="R36" s="1572" t="s">
        <v>8</v>
      </c>
      <c r="S36" s="1573">
        <f t="shared" si="12"/>
        <v>100</v>
      </c>
      <c r="T36" s="1572" t="s">
        <v>8</v>
      </c>
      <c r="U36" s="1573">
        <f t="shared" si="13"/>
        <v>100</v>
      </c>
      <c r="V36" s="1572" t="s">
        <v>8</v>
      </c>
      <c r="W36" s="1573">
        <f t="shared" si="14"/>
        <v>100</v>
      </c>
      <c r="X36" s="1566"/>
      <c r="Y36" s="3447"/>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10" t="str">
        <f>A37</f>
        <v>成交单价</v>
      </c>
      <c r="Q37" s="3410"/>
      <c r="R37" s="3483">
        <f>E37</f>
        <v>0</v>
      </c>
      <c r="S37" s="3483"/>
      <c r="T37" s="3483">
        <f>G37</f>
        <v>0</v>
      </c>
      <c r="U37" s="3483"/>
      <c r="V37" s="3483">
        <f>I37</f>
        <v>0</v>
      </c>
      <c r="W37" s="3483"/>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10" t="str">
        <f>A38</f>
        <v>比较价格（元/平方米）</v>
      </c>
      <c r="Q38" s="3410"/>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407" t="str">
        <f>A39</f>
        <v>估价对象XX用房的比较价格（楼面单价，元/平方米）</v>
      </c>
      <c r="Q39" s="3408"/>
      <c r="R39" s="3482" t="e">
        <f>IF(F1="售价",ROUND(AVERAGE(R38:V38),0),ROUND(AVERAGE(R38:V38),1))</f>
        <v>#DIV/0!</v>
      </c>
      <c r="S39" s="3482"/>
      <c r="T39" s="3482"/>
      <c r="U39" s="3482"/>
      <c r="V39" s="3482"/>
      <c r="W39" s="348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6" t="s">
        <v>798</v>
      </c>
      <c r="D4" s="3417"/>
      <c r="E4" s="3450" t="s">
        <v>799</v>
      </c>
      <c r="F4" s="3451"/>
      <c r="G4" s="3416" t="s">
        <v>800</v>
      </c>
      <c r="H4" s="3417"/>
      <c r="I4" s="3416" t="s">
        <v>801</v>
      </c>
      <c r="J4" s="3417"/>
      <c r="K4" s="513" t="s">
        <v>802</v>
      </c>
      <c r="L4" s="2133"/>
      <c r="M4" s="2134"/>
      <c r="N4" s="2134"/>
      <c r="O4" s="2134"/>
      <c r="P4" s="3418" t="s">
        <v>803</v>
      </c>
      <c r="Q4" s="3419"/>
      <c r="R4" s="3424" t="s">
        <v>799</v>
      </c>
      <c r="S4" s="3425"/>
      <c r="T4" s="3424" t="s">
        <v>800</v>
      </c>
      <c r="U4" s="3425"/>
      <c r="V4" s="3411" t="s">
        <v>801</v>
      </c>
      <c r="W4" s="3411"/>
      <c r="X4" s="1566"/>
      <c r="Y4" s="3424" t="s">
        <v>803</v>
      </c>
      <c r="Z4" s="3425"/>
      <c r="AA4" s="3413" t="s">
        <v>799</v>
      </c>
      <c r="AB4" s="3414" t="s">
        <v>800</v>
      </c>
      <c r="AC4" s="3413" t="s">
        <v>801</v>
      </c>
    </row>
    <row r="5" spans="1:29" ht="15">
      <c r="A5" s="514"/>
      <c r="B5" s="515"/>
      <c r="C5" s="3432" t="s">
        <v>2923</v>
      </c>
      <c r="D5" s="3433"/>
      <c r="E5" s="3452" t="s">
        <v>2924</v>
      </c>
      <c r="F5" s="3453"/>
      <c r="G5" s="3432" t="s">
        <v>2925</v>
      </c>
      <c r="H5" s="3433"/>
      <c r="I5" s="3432" t="s">
        <v>2926</v>
      </c>
      <c r="J5" s="3433"/>
      <c r="K5" s="513"/>
      <c r="L5" s="2133"/>
      <c r="M5" s="2134"/>
      <c r="N5" s="2134"/>
      <c r="O5" s="2134"/>
      <c r="P5" s="3420"/>
      <c r="Q5" s="3421"/>
      <c r="R5" s="3426"/>
      <c r="S5" s="3427"/>
      <c r="T5" s="3426"/>
      <c r="U5" s="3427"/>
      <c r="V5" s="3411"/>
      <c r="W5" s="3411"/>
      <c r="X5" s="1566"/>
      <c r="Y5" s="3426"/>
      <c r="Z5" s="3427"/>
      <c r="AA5" s="3414"/>
      <c r="AB5" s="3414"/>
      <c r="AC5" s="3414"/>
    </row>
    <row r="6" spans="1:29" ht="15.75" thickBot="1">
      <c r="A6" s="516"/>
      <c r="B6" s="517"/>
      <c r="C6" s="3430" t="s">
        <v>2927</v>
      </c>
      <c r="D6" s="3431"/>
      <c r="E6" s="3448" t="s">
        <v>2927</v>
      </c>
      <c r="F6" s="3449"/>
      <c r="G6" s="3430" t="s">
        <v>2927</v>
      </c>
      <c r="H6" s="3431"/>
      <c r="I6" s="3430" t="s">
        <v>2927</v>
      </c>
      <c r="J6" s="3431"/>
      <c r="K6" s="513" t="s">
        <v>528</v>
      </c>
      <c r="L6" s="2133"/>
      <c r="M6" s="2134"/>
      <c r="N6" s="2134"/>
      <c r="O6" s="2134"/>
      <c r="P6" s="3422"/>
      <c r="Q6" s="3423"/>
      <c r="R6" s="3426"/>
      <c r="S6" s="3427"/>
      <c r="T6" s="3428"/>
      <c r="U6" s="3429"/>
      <c r="V6" s="3411"/>
      <c r="W6" s="3411"/>
      <c r="X6" s="1566"/>
      <c r="Y6" s="3428"/>
      <c r="Z6" s="3429"/>
      <c r="AA6" s="3415"/>
      <c r="AB6" s="3415"/>
      <c r="AC6" s="3415"/>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41" t="s">
        <v>530</v>
      </c>
      <c r="Q7" s="3443"/>
      <c r="R7" s="1567" t="s">
        <v>8</v>
      </c>
      <c r="S7" s="1568">
        <f t="shared" ref="S7:S14" si="0">F7</f>
        <v>0</v>
      </c>
      <c r="T7" s="1567" t="s">
        <v>8</v>
      </c>
      <c r="U7" s="1568">
        <f t="shared" ref="U7:U14" si="1">H7</f>
        <v>0</v>
      </c>
      <c r="V7" s="1567" t="s">
        <v>8</v>
      </c>
      <c r="W7" s="1568">
        <f t="shared" ref="W7:W14" si="2">J7</f>
        <v>0</v>
      </c>
      <c r="X7" s="1569"/>
      <c r="Y7" s="3441" t="s">
        <v>530</v>
      </c>
      <c r="Z7" s="3442"/>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41" t="s">
        <v>533</v>
      </c>
      <c r="Q8" s="3442"/>
      <c r="R8" s="1567" t="s">
        <v>8</v>
      </c>
      <c r="S8" s="1568">
        <f t="shared" si="0"/>
        <v>0</v>
      </c>
      <c r="T8" s="1567" t="s">
        <v>8</v>
      </c>
      <c r="U8" s="1568">
        <f t="shared" si="1"/>
        <v>0</v>
      </c>
      <c r="V8" s="1567" t="s">
        <v>8</v>
      </c>
      <c r="W8" s="1568">
        <f t="shared" si="2"/>
        <v>0</v>
      </c>
      <c r="X8" s="1569"/>
      <c r="Y8" s="3441" t="s">
        <v>533</v>
      </c>
      <c r="Z8" s="3442"/>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10" t="s">
        <v>535</v>
      </c>
      <c r="Q9" s="1150" t="str">
        <f t="shared" ref="Q9:Q14" si="6">B9</f>
        <v>用途</v>
      </c>
      <c r="R9" s="1567" t="s">
        <v>8</v>
      </c>
      <c r="S9" s="1568">
        <f t="shared" si="0"/>
        <v>100</v>
      </c>
      <c r="T9" s="1567" t="s">
        <v>8</v>
      </c>
      <c r="U9" s="1568">
        <f t="shared" si="1"/>
        <v>100</v>
      </c>
      <c r="V9" s="1567" t="s">
        <v>8</v>
      </c>
      <c r="W9" s="1568">
        <f t="shared" si="2"/>
        <v>100</v>
      </c>
      <c r="X9" s="1569"/>
      <c r="Y9" s="3356"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10"/>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10"/>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10"/>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10"/>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44" t="s">
        <v>540</v>
      </c>
      <c r="Q14" s="1571" t="str">
        <f t="shared" si="6"/>
        <v>交通便捷度</v>
      </c>
      <c r="R14" s="1572" t="s">
        <v>8</v>
      </c>
      <c r="S14" s="1573">
        <f t="shared" si="0"/>
        <v>100</v>
      </c>
      <c r="T14" s="1572" t="s">
        <v>8</v>
      </c>
      <c r="U14" s="1573">
        <f t="shared" si="1"/>
        <v>100</v>
      </c>
      <c r="V14" s="1572" t="s">
        <v>8</v>
      </c>
      <c r="W14" s="1573">
        <f t="shared" si="2"/>
        <v>100</v>
      </c>
      <c r="X14" s="1566"/>
      <c r="Y14" s="3444"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45"/>
      <c r="Q15" s="1571"/>
      <c r="R15" s="1572"/>
      <c r="S15" s="1573"/>
      <c r="T15" s="1572"/>
      <c r="U15" s="1573"/>
      <c r="V15" s="1572"/>
      <c r="W15" s="1573"/>
      <c r="X15" s="1566"/>
      <c r="Y15" s="3445"/>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45"/>
      <c r="Q16" s="1571" t="str">
        <f>B16</f>
        <v>公共配套设施</v>
      </c>
      <c r="R16" s="1572" t="s">
        <v>8</v>
      </c>
      <c r="S16" s="1573">
        <f>F16</f>
        <v>100</v>
      </c>
      <c r="T16" s="1572" t="s">
        <v>8</v>
      </c>
      <c r="U16" s="1573">
        <f>H16</f>
        <v>100</v>
      </c>
      <c r="V16" s="1572" t="s">
        <v>8</v>
      </c>
      <c r="W16" s="1573">
        <f>J16</f>
        <v>100</v>
      </c>
      <c r="X16" s="1566"/>
      <c r="Y16" s="3445"/>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45"/>
      <c r="Q17" s="1571"/>
      <c r="R17" s="1572"/>
      <c r="S17" s="1573"/>
      <c r="T17" s="1572"/>
      <c r="U17" s="1573"/>
      <c r="V17" s="1572"/>
      <c r="W17" s="1573"/>
      <c r="X17" s="1566"/>
      <c r="Y17" s="3445"/>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45"/>
      <c r="Q18" s="2603" t="str">
        <f>B18</f>
        <v>基础设施水平</v>
      </c>
      <c r="R18" s="1572" t="s">
        <v>8</v>
      </c>
      <c r="S18" s="1573">
        <f>F18</f>
        <v>100</v>
      </c>
      <c r="T18" s="1572" t="s">
        <v>8</v>
      </c>
      <c r="U18" s="1573">
        <f>H18</f>
        <v>100</v>
      </c>
      <c r="V18" s="1572" t="s">
        <v>8</v>
      </c>
      <c r="W18" s="1573">
        <f>J18</f>
        <v>100</v>
      </c>
      <c r="X18" s="2605"/>
      <c r="Y18" s="3445"/>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45"/>
      <c r="Q19" s="2603"/>
      <c r="R19" s="1572"/>
      <c r="S19" s="1573"/>
      <c r="T19" s="1572"/>
      <c r="U19" s="1573"/>
      <c r="V19" s="1572"/>
      <c r="W19" s="1573"/>
      <c r="X19" s="2605"/>
      <c r="Y19" s="3445"/>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45"/>
      <c r="Q20" s="1571" t="str">
        <f>B20</f>
        <v>自然及人文环境</v>
      </c>
      <c r="R20" s="1572" t="s">
        <v>8</v>
      </c>
      <c r="S20" s="1573">
        <f>F20</f>
        <v>100</v>
      </c>
      <c r="T20" s="1572" t="s">
        <v>8</v>
      </c>
      <c r="U20" s="1573">
        <f>H20</f>
        <v>100</v>
      </c>
      <c r="V20" s="1572" t="s">
        <v>8</v>
      </c>
      <c r="W20" s="1573">
        <f>J20</f>
        <v>100</v>
      </c>
      <c r="X20" s="1566"/>
      <c r="Y20" s="3445"/>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45"/>
      <c r="Q21" s="1571"/>
      <c r="R21" s="1572"/>
      <c r="S21" s="1573"/>
      <c r="T21" s="1572"/>
      <c r="U21" s="1573"/>
      <c r="V21" s="1572"/>
      <c r="W21" s="1573"/>
      <c r="X21" s="1566"/>
      <c r="Y21" s="3445"/>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45"/>
      <c r="Q22" s="1571" t="str">
        <f>B22</f>
        <v>楼层</v>
      </c>
      <c r="R22" s="1572" t="s">
        <v>8</v>
      </c>
      <c r="S22" s="1573">
        <f>F22</f>
        <v>100</v>
      </c>
      <c r="T22" s="1572" t="s">
        <v>8</v>
      </c>
      <c r="U22" s="1573">
        <f>H22</f>
        <v>100</v>
      </c>
      <c r="V22" s="1572" t="s">
        <v>8</v>
      </c>
      <c r="W22" s="1573">
        <f>J22</f>
        <v>100</v>
      </c>
      <c r="X22" s="1566"/>
      <c r="Y22" s="3445"/>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45"/>
      <c r="Q23" s="1571">
        <f>B23</f>
        <v>111</v>
      </c>
      <c r="R23" s="1572" t="s">
        <v>8</v>
      </c>
      <c r="S23" s="1573">
        <f>F23</f>
        <v>100</v>
      </c>
      <c r="T23" s="1572" t="s">
        <v>8</v>
      </c>
      <c r="U23" s="1573">
        <f>H23</f>
        <v>100</v>
      </c>
      <c r="V23" s="1572" t="s">
        <v>8</v>
      </c>
      <c r="W23" s="1573">
        <f>J23</f>
        <v>100</v>
      </c>
      <c r="X23" s="1566"/>
      <c r="Y23" s="3445"/>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45"/>
      <c r="Q24" s="1571">
        <f t="shared" ref="Q24:Q34" si="11">B24</f>
        <v>111</v>
      </c>
      <c r="R24" s="1572" t="s">
        <v>8</v>
      </c>
      <c r="S24" s="1573">
        <f>F24</f>
        <v>100</v>
      </c>
      <c r="T24" s="1572" t="s">
        <v>8</v>
      </c>
      <c r="U24" s="1573">
        <f>H24</f>
        <v>100</v>
      </c>
      <c r="V24" s="1572" t="s">
        <v>8</v>
      </c>
      <c r="W24" s="1573">
        <f>J24</f>
        <v>100</v>
      </c>
      <c r="X24" s="1566"/>
      <c r="Y24" s="3445"/>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45"/>
      <c r="Q25" s="1150">
        <f t="shared" si="11"/>
        <v>111</v>
      </c>
      <c r="R25" s="1567" t="s">
        <v>8</v>
      </c>
      <c r="S25" s="1568">
        <f>F25</f>
        <v>100</v>
      </c>
      <c r="T25" s="1567" t="s">
        <v>8</v>
      </c>
      <c r="U25" s="1568">
        <f>H25</f>
        <v>100</v>
      </c>
      <c r="V25" s="1567" t="s">
        <v>8</v>
      </c>
      <c r="W25" s="1568">
        <f>J25</f>
        <v>100</v>
      </c>
      <c r="X25" s="1569"/>
      <c r="Y25" s="3445"/>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4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7"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47"/>
      <c r="Q27" s="1604" t="str">
        <f t="shared" si="11"/>
        <v>成新率</v>
      </c>
      <c r="R27" s="1576" t="s">
        <v>8</v>
      </c>
      <c r="S27" s="1577" t="e">
        <f t="shared" si="12"/>
        <v>#N/A</v>
      </c>
      <c r="T27" s="1576" t="s">
        <v>8</v>
      </c>
      <c r="U27" s="1577" t="e">
        <f t="shared" si="13"/>
        <v>#N/A</v>
      </c>
      <c r="V27" s="1576" t="s">
        <v>8</v>
      </c>
      <c r="W27" s="1577" t="e">
        <f t="shared" si="14"/>
        <v>#N/A</v>
      </c>
      <c r="X27" s="1578"/>
      <c r="Y27" s="3447"/>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47"/>
      <c r="Q28" s="1571" t="str">
        <f t="shared" si="11"/>
        <v>物业等级</v>
      </c>
      <c r="R28" s="1572" t="s">
        <v>8</v>
      </c>
      <c r="S28" s="1573">
        <f t="shared" si="12"/>
        <v>100</v>
      </c>
      <c r="T28" s="1572" t="s">
        <v>8</v>
      </c>
      <c r="U28" s="1573">
        <f t="shared" si="13"/>
        <v>100</v>
      </c>
      <c r="V28" s="1572" t="s">
        <v>8</v>
      </c>
      <c r="W28" s="1573">
        <f t="shared" si="14"/>
        <v>100</v>
      </c>
      <c r="X28" s="1566"/>
      <c r="Y28" s="3447"/>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47"/>
      <c r="Q29" s="1571" t="str">
        <f t="shared" si="11"/>
        <v>有无电梯</v>
      </c>
      <c r="R29" s="1572" t="s">
        <v>8</v>
      </c>
      <c r="S29" s="1573">
        <f t="shared" si="12"/>
        <v>100</v>
      </c>
      <c r="T29" s="1572" t="s">
        <v>8</v>
      </c>
      <c r="U29" s="1573">
        <f t="shared" si="13"/>
        <v>100</v>
      </c>
      <c r="V29" s="1572" t="s">
        <v>8</v>
      </c>
      <c r="W29" s="1573">
        <f t="shared" si="14"/>
        <v>100</v>
      </c>
      <c r="X29" s="1566"/>
      <c r="Y29" s="3447"/>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47"/>
      <c r="Q30" s="1571" t="str">
        <f t="shared" si="11"/>
        <v>建筑面积</v>
      </c>
      <c r="R30" s="1572" t="s">
        <v>8</v>
      </c>
      <c r="S30" s="1573" t="e">
        <f t="shared" si="12"/>
        <v>#N/A</v>
      </c>
      <c r="T30" s="1572" t="s">
        <v>8</v>
      </c>
      <c r="U30" s="1573" t="e">
        <f t="shared" si="13"/>
        <v>#N/A</v>
      </c>
      <c r="V30" s="1572" t="s">
        <v>8</v>
      </c>
      <c r="W30" s="1573" t="e">
        <f t="shared" si="14"/>
        <v>#N/A</v>
      </c>
      <c r="X30" s="1566"/>
      <c r="Y30" s="3447"/>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47"/>
      <c r="Q31" s="1150" t="str">
        <f t="shared" si="11"/>
        <v>是否封闭</v>
      </c>
      <c r="R31" s="1567" t="s">
        <v>8</v>
      </c>
      <c r="S31" s="1568">
        <f t="shared" si="12"/>
        <v>100</v>
      </c>
      <c r="T31" s="1567" t="s">
        <v>8</v>
      </c>
      <c r="U31" s="1568">
        <f t="shared" si="13"/>
        <v>100</v>
      </c>
      <c r="V31" s="1567" t="s">
        <v>8</v>
      </c>
      <c r="W31" s="1568">
        <f t="shared" si="14"/>
        <v>100</v>
      </c>
      <c r="X31" s="1569"/>
      <c r="Y31" s="3447"/>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47" t="s">
        <v>550</v>
      </c>
      <c r="Q32" s="1571">
        <f t="shared" si="11"/>
        <v>111</v>
      </c>
      <c r="R32" s="1572" t="s">
        <v>8</v>
      </c>
      <c r="S32" s="1573">
        <f t="shared" si="12"/>
        <v>100</v>
      </c>
      <c r="T32" s="1572" t="s">
        <v>8</v>
      </c>
      <c r="U32" s="1573">
        <f t="shared" si="13"/>
        <v>100</v>
      </c>
      <c r="V32" s="1572" t="s">
        <v>8</v>
      </c>
      <c r="W32" s="1573">
        <f t="shared" si="14"/>
        <v>100</v>
      </c>
      <c r="X32" s="1566"/>
      <c r="Y32" s="3447"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47"/>
      <c r="Q33" s="1571">
        <f t="shared" si="11"/>
        <v>111</v>
      </c>
      <c r="R33" s="1572" t="s">
        <v>8</v>
      </c>
      <c r="S33" s="1573">
        <f t="shared" si="12"/>
        <v>100</v>
      </c>
      <c r="T33" s="1572" t="s">
        <v>8</v>
      </c>
      <c r="U33" s="1573">
        <f t="shared" si="13"/>
        <v>100</v>
      </c>
      <c r="V33" s="1572" t="s">
        <v>8</v>
      </c>
      <c r="W33" s="1573">
        <f t="shared" si="14"/>
        <v>100</v>
      </c>
      <c r="X33" s="1566"/>
      <c r="Y33" s="3447"/>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47"/>
      <c r="Q34" s="1571">
        <f t="shared" si="11"/>
        <v>111</v>
      </c>
      <c r="R34" s="1572" t="s">
        <v>8</v>
      </c>
      <c r="S34" s="1573">
        <f t="shared" si="12"/>
        <v>100</v>
      </c>
      <c r="T34" s="1572" t="s">
        <v>8</v>
      </c>
      <c r="U34" s="1573">
        <f t="shared" si="13"/>
        <v>100</v>
      </c>
      <c r="V34" s="1572" t="s">
        <v>8</v>
      </c>
      <c r="W34" s="1573">
        <f t="shared" si="14"/>
        <v>100</v>
      </c>
      <c r="X34" s="1566"/>
      <c r="Y34" s="3447"/>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10" t="str">
        <f>A35</f>
        <v>成交单价（元/平方米）</v>
      </c>
      <c r="Q35" s="3410"/>
      <c r="R35" s="3483">
        <f>E35</f>
        <v>0</v>
      </c>
      <c r="S35" s="3483"/>
      <c r="T35" s="3483">
        <f>G35</f>
        <v>0</v>
      </c>
      <c r="U35" s="3483"/>
      <c r="V35" s="3483">
        <f>I35</f>
        <v>0</v>
      </c>
      <c r="W35" s="3483"/>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10" t="str">
        <f>A36</f>
        <v>比较价格（元/平方米）</v>
      </c>
      <c r="Q36" s="3410"/>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407" t="str">
        <f>A37</f>
        <v>估价对象XX用房的比较价格（楼面单价，元/平方米）</v>
      </c>
      <c r="Q37" s="3408"/>
      <c r="R37" s="3482" t="e">
        <f>IF(F1="售价",ROUND(AVERAGE(R36:V36),0),ROUND(AVERAGE(R36:V36),1))</f>
        <v>#DIV/0!</v>
      </c>
      <c r="S37" s="3482"/>
      <c r="T37" s="3482"/>
      <c r="U37" s="3482"/>
      <c r="V37" s="3482"/>
      <c r="W37" s="348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34" t="s">
        <v>2304</v>
      </c>
      <c r="D1" s="3535"/>
      <c r="E1" s="3535"/>
      <c r="F1" s="3535"/>
      <c r="G1" s="3535"/>
      <c r="H1" s="3535"/>
      <c r="I1" s="3535"/>
      <c r="J1" s="3535"/>
      <c r="K1" s="3535"/>
      <c r="L1" s="3535"/>
      <c r="M1" s="3535"/>
      <c r="N1" s="3535"/>
      <c r="O1" s="3535"/>
      <c r="P1" s="3535"/>
      <c r="Q1" s="3535"/>
      <c r="R1" s="3535"/>
      <c r="S1" s="3536"/>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31" t="s">
        <v>20</v>
      </c>
      <c r="D22" s="3532"/>
      <c r="E22" s="3532"/>
      <c r="F22" s="3532"/>
      <c r="G22" s="3532"/>
      <c r="H22" s="3532"/>
      <c r="I22" s="3532"/>
      <c r="J22" s="3532"/>
      <c r="K22" s="3532"/>
      <c r="L22" s="3532"/>
      <c r="M22" s="3532"/>
      <c r="N22" s="3532"/>
      <c r="O22" s="3532"/>
      <c r="P22" s="3532"/>
      <c r="Q22" s="3533"/>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zoomScale="130" zoomScaleNormal="130" workbookViewId="0">
      <selection activeCell="A86" sqref="A86"/>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3315</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3315</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3450</v>
      </c>
      <c r="B63" s="3193" t="s">
        <v>3034</v>
      </c>
      <c r="C63" s="3193" t="s">
        <v>3048</v>
      </c>
      <c r="D63" s="3193">
        <v>16875.3</v>
      </c>
      <c r="E63" s="3193">
        <v>30375.54</v>
      </c>
      <c r="F63" s="3193" t="s">
        <v>3181</v>
      </c>
      <c r="G63" s="3193" t="s">
        <v>3037</v>
      </c>
      <c r="H63" s="3193" t="s">
        <v>3211</v>
      </c>
      <c r="I63" s="3193">
        <v>57714</v>
      </c>
      <c r="J63" s="3193">
        <v>81713</v>
      </c>
      <c r="K63" s="3193">
        <v>26900.91</v>
      </c>
      <c r="L63" s="3193">
        <f t="shared" si="2"/>
        <v>48422</v>
      </c>
      <c r="M63" s="3193">
        <v>41.58</v>
      </c>
      <c r="N63" s="3193" t="s">
        <v>3212</v>
      </c>
    </row>
    <row r="64" spans="1:14" s="3190" customFormat="1" ht="12" hidden="1">
      <c r="A64" s="3190" t="s">
        <v>3213</v>
      </c>
      <c r="B64" s="3190" t="s">
        <v>3034</v>
      </c>
      <c r="C64" s="3190" t="s">
        <v>3035</v>
      </c>
      <c r="D64" s="3190">
        <v>9685.4</v>
      </c>
      <c r="E64" s="3190">
        <v>24213.5</v>
      </c>
      <c r="F64" s="3190" t="s">
        <v>3214</v>
      </c>
      <c r="G64" s="3190" t="s">
        <v>3037</v>
      </c>
      <c r="H64" s="3190" t="s">
        <v>3211</v>
      </c>
      <c r="I64" s="3190">
        <v>1162</v>
      </c>
      <c r="J64" s="3190">
        <v>1162</v>
      </c>
      <c r="K64" s="3190">
        <v>479.89</v>
      </c>
      <c r="L64" s="3190">
        <f t="shared" si="2"/>
        <v>1200</v>
      </c>
      <c r="M64" s="3190">
        <v>0</v>
      </c>
      <c r="N64" s="3190" t="s">
        <v>3215</v>
      </c>
    </row>
    <row r="65" spans="1:14" s="3190" customFormat="1" ht="12">
      <c r="A65" s="3190" t="s">
        <v>3216</v>
      </c>
      <c r="B65" s="3190" t="s">
        <v>3034</v>
      </c>
      <c r="C65" s="3190" t="s">
        <v>3041</v>
      </c>
      <c r="D65" s="3190">
        <v>173252.9</v>
      </c>
      <c r="E65" s="3190">
        <v>346505.8</v>
      </c>
      <c r="F65" s="3190" t="s">
        <v>3217</v>
      </c>
      <c r="G65" s="3190" t="s">
        <v>3037</v>
      </c>
      <c r="H65" s="3190" t="s">
        <v>3211</v>
      </c>
      <c r="I65" s="3190">
        <v>275472</v>
      </c>
      <c r="J65" s="3190">
        <v>331472</v>
      </c>
      <c r="K65" s="3190">
        <v>9566.1200000000008</v>
      </c>
      <c r="L65" s="3190">
        <f t="shared" si="2"/>
        <v>19132</v>
      </c>
      <c r="M65" s="3190">
        <v>20.329999999999998</v>
      </c>
      <c r="N65" s="3190" t="s">
        <v>3218</v>
      </c>
    </row>
    <row r="66" spans="1:14" s="3190" customFormat="1" ht="12" hidden="1">
      <c r="A66" s="3190" t="s">
        <v>3219</v>
      </c>
      <c r="B66" s="3190" t="s">
        <v>3034</v>
      </c>
      <c r="C66" s="3190" t="s">
        <v>3035</v>
      </c>
      <c r="D66" s="3190">
        <v>25516.2</v>
      </c>
      <c r="E66" s="3190">
        <v>122477.75999999999</v>
      </c>
      <c r="F66" s="3190" t="s">
        <v>3220</v>
      </c>
      <c r="G66" s="3190" t="s">
        <v>3037</v>
      </c>
      <c r="H66" s="3190" t="s">
        <v>3221</v>
      </c>
      <c r="I66" s="3190">
        <v>17606</v>
      </c>
      <c r="J66" s="3190">
        <v>17606</v>
      </c>
      <c r="K66" s="3190">
        <v>1437.49</v>
      </c>
      <c r="L66" s="3190">
        <f t="shared" si="2"/>
        <v>6900</v>
      </c>
      <c r="M66" s="3190">
        <v>0</v>
      </c>
      <c r="N66" s="3190" t="s">
        <v>3222</v>
      </c>
    </row>
    <row r="67" spans="1:14" s="3190" customFormat="1" ht="12">
      <c r="A67" s="3190" t="s">
        <v>3223</v>
      </c>
      <c r="B67" s="3190" t="s">
        <v>3034</v>
      </c>
      <c r="C67" s="3190" t="s">
        <v>3048</v>
      </c>
      <c r="D67" s="3190">
        <v>28575.8</v>
      </c>
      <c r="E67" s="3190">
        <v>42863.7</v>
      </c>
      <c r="F67" s="3190" t="s">
        <v>3224</v>
      </c>
      <c r="G67" s="3190" t="s">
        <v>3037</v>
      </c>
      <c r="H67" s="3190" t="s">
        <v>3221</v>
      </c>
      <c r="I67" s="3190">
        <v>35148</v>
      </c>
      <c r="J67" s="3190">
        <v>54570</v>
      </c>
      <c r="K67" s="3190">
        <v>12731.04</v>
      </c>
      <c r="L67" s="3190">
        <f t="shared" si="2"/>
        <v>19097</v>
      </c>
      <c r="M67" s="3190">
        <v>55.26</v>
      </c>
      <c r="N67" s="3190" t="s">
        <v>3225</v>
      </c>
    </row>
    <row r="68" spans="1:14" s="3190" customFormat="1" ht="12" hidden="1">
      <c r="A68" s="3190" t="s">
        <v>3226</v>
      </c>
      <c r="B68" s="3190" t="s">
        <v>3034</v>
      </c>
      <c r="C68" s="3190" t="s">
        <v>3035</v>
      </c>
      <c r="D68" s="3190">
        <v>3333.3</v>
      </c>
      <c r="E68" s="3190">
        <v>1666.65</v>
      </c>
      <c r="F68" s="3190" t="s">
        <v>3227</v>
      </c>
      <c r="G68" s="3190" t="s">
        <v>3037</v>
      </c>
      <c r="H68" s="3190" t="s">
        <v>3221</v>
      </c>
      <c r="I68" s="3190">
        <v>600</v>
      </c>
      <c r="J68" s="3190">
        <v>620</v>
      </c>
      <c r="K68" s="3190">
        <v>3720.03</v>
      </c>
      <c r="L68" s="3190">
        <f t="shared" si="2"/>
        <v>1860</v>
      </c>
      <c r="M68" s="3190">
        <v>3.33</v>
      </c>
      <c r="N68" s="3190" t="s">
        <v>3228</v>
      </c>
    </row>
    <row r="69" spans="1:14" s="3190" customFormat="1" ht="12" hidden="1">
      <c r="A69" s="3190" t="s">
        <v>3229</v>
      </c>
      <c r="B69" s="3190" t="s">
        <v>3034</v>
      </c>
      <c r="C69" s="3190" t="s">
        <v>3035</v>
      </c>
      <c r="D69" s="3190">
        <v>11876.2</v>
      </c>
      <c r="E69" s="3190">
        <v>29690.5</v>
      </c>
      <c r="F69" s="3190" t="s">
        <v>3230</v>
      </c>
      <c r="G69" s="3190" t="s">
        <v>3037</v>
      </c>
      <c r="H69" s="3190" t="s">
        <v>3221</v>
      </c>
      <c r="I69" s="3190">
        <v>10332</v>
      </c>
      <c r="J69" s="3190">
        <v>10332</v>
      </c>
      <c r="K69" s="3190">
        <v>3479.9</v>
      </c>
      <c r="L69" s="3190">
        <f t="shared" si="2"/>
        <v>8700</v>
      </c>
      <c r="M69" s="3190">
        <v>0</v>
      </c>
      <c r="N69" s="3190" t="s">
        <v>3231</v>
      </c>
    </row>
    <row r="70" spans="1:14" s="3190" customFormat="1" ht="12" hidden="1">
      <c r="A70" s="3190" t="s">
        <v>3232</v>
      </c>
      <c r="B70" s="3190" t="s">
        <v>3034</v>
      </c>
      <c r="C70" s="3190" t="s">
        <v>3035</v>
      </c>
      <c r="D70" s="3190">
        <v>9748.2999999999993</v>
      </c>
      <c r="E70" s="3190">
        <v>24370.75</v>
      </c>
      <c r="F70" s="3190" t="s">
        <v>3230</v>
      </c>
      <c r="G70" s="3190" t="s">
        <v>3037</v>
      </c>
      <c r="H70" s="3190" t="s">
        <v>3221</v>
      </c>
      <c r="I70" s="3190">
        <v>1170</v>
      </c>
      <c r="J70" s="3190">
        <v>1170</v>
      </c>
      <c r="K70" s="3190">
        <v>480.07</v>
      </c>
      <c r="L70" s="3190">
        <f t="shared" si="2"/>
        <v>1200</v>
      </c>
      <c r="M70" s="3190">
        <v>0</v>
      </c>
      <c r="N70" s="3190" t="s">
        <v>3233</v>
      </c>
    </row>
    <row r="71" spans="1:14" s="3194" customFormat="1" ht="12">
      <c r="A71" s="3194" t="s">
        <v>3451</v>
      </c>
      <c r="B71" s="3194" t="s">
        <v>3034</v>
      </c>
      <c r="C71" s="3194" t="s">
        <v>3048</v>
      </c>
      <c r="D71" s="3194">
        <v>40816.9</v>
      </c>
      <c r="E71" s="3194">
        <v>89797.18</v>
      </c>
      <c r="F71" s="3194" t="s">
        <v>3234</v>
      </c>
      <c r="G71" s="3194" t="s">
        <v>3037</v>
      </c>
      <c r="H71" s="3194" t="s">
        <v>3221</v>
      </c>
      <c r="I71" s="3194">
        <v>144124</v>
      </c>
      <c r="J71" s="3194">
        <v>219660</v>
      </c>
      <c r="K71" s="3194">
        <v>24461.79</v>
      </c>
      <c r="L71" s="3194">
        <f t="shared" si="2"/>
        <v>53816</v>
      </c>
      <c r="M71" s="3194">
        <v>52.41</v>
      </c>
      <c r="N71" s="3194" t="s">
        <v>3235</v>
      </c>
    </row>
    <row r="72" spans="1:14" s="3190" customFormat="1" ht="12" hidden="1">
      <c r="A72" s="3190" t="s">
        <v>3236</v>
      </c>
      <c r="B72" s="3190" t="s">
        <v>3034</v>
      </c>
      <c r="C72" s="3190" t="s">
        <v>3035</v>
      </c>
      <c r="D72" s="3190">
        <v>6674</v>
      </c>
      <c r="E72" s="3190">
        <v>1334.8</v>
      </c>
      <c r="F72" s="3190" t="s">
        <v>2817</v>
      </c>
      <c r="G72" s="3190" t="s">
        <v>3037</v>
      </c>
      <c r="H72" s="3190" t="s">
        <v>3221</v>
      </c>
      <c r="I72" s="3190">
        <v>1602</v>
      </c>
      <c r="J72" s="3190">
        <v>1602</v>
      </c>
      <c r="K72" s="3190">
        <v>12001.79</v>
      </c>
      <c r="L72" s="3190">
        <f t="shared" si="2"/>
        <v>2400</v>
      </c>
      <c r="M72" s="3190">
        <v>0</v>
      </c>
      <c r="N72" s="3190" t="s">
        <v>3237</v>
      </c>
    </row>
    <row r="73" spans="1:14" s="3190" customFormat="1" ht="12" hidden="1">
      <c r="A73" s="3190" t="s">
        <v>3238</v>
      </c>
      <c r="B73" s="3190" t="s">
        <v>3034</v>
      </c>
      <c r="C73" s="3190" t="s">
        <v>3035</v>
      </c>
      <c r="D73" s="3190">
        <v>10626</v>
      </c>
      <c r="E73" s="3190">
        <v>26565</v>
      </c>
      <c r="F73" s="3190" t="s">
        <v>3230</v>
      </c>
      <c r="G73" s="3190" t="s">
        <v>3037</v>
      </c>
      <c r="H73" s="3190" t="s">
        <v>3221</v>
      </c>
      <c r="I73" s="3190">
        <v>1275</v>
      </c>
      <c r="J73" s="3190">
        <v>1275</v>
      </c>
      <c r="K73" s="3190">
        <v>479.94</v>
      </c>
      <c r="L73" s="3190">
        <f t="shared" si="2"/>
        <v>1200</v>
      </c>
      <c r="M73" s="3190">
        <v>0</v>
      </c>
      <c r="N73" s="3190" t="s">
        <v>3239</v>
      </c>
    </row>
    <row r="74" spans="1:14" s="3190" customFormat="1" ht="12" hidden="1">
      <c r="A74" s="3190" t="s">
        <v>3240</v>
      </c>
      <c r="B74" s="3190" t="s">
        <v>3034</v>
      </c>
      <c r="C74" s="3190" t="s">
        <v>3035</v>
      </c>
      <c r="D74" s="3190">
        <v>13281.7</v>
      </c>
      <c r="E74" s="3190">
        <v>13281.7</v>
      </c>
      <c r="F74" s="3190" t="s">
        <v>3177</v>
      </c>
      <c r="G74" s="3190" t="s">
        <v>3037</v>
      </c>
      <c r="H74" s="3190" t="s">
        <v>3241</v>
      </c>
      <c r="I74" s="3190">
        <v>5379</v>
      </c>
      <c r="J74" s="3190">
        <v>5379</v>
      </c>
      <c r="K74" s="3190">
        <v>4049.92</v>
      </c>
      <c r="L74" s="3190">
        <f t="shared" si="2"/>
        <v>4050</v>
      </c>
      <c r="M74" s="3190">
        <v>0</v>
      </c>
      <c r="N74" s="3190" t="s">
        <v>3242</v>
      </c>
    </row>
    <row r="75" spans="1:14" s="3190" customFormat="1" ht="12" hidden="1">
      <c r="A75" s="3190" t="s">
        <v>3243</v>
      </c>
      <c r="B75" s="3190" t="s">
        <v>3034</v>
      </c>
      <c r="C75" s="3190" t="s">
        <v>3035</v>
      </c>
      <c r="D75" s="3190">
        <v>9541.7000000000007</v>
      </c>
      <c r="E75" s="3190">
        <v>23854.25</v>
      </c>
      <c r="F75" s="3190" t="s">
        <v>3214</v>
      </c>
      <c r="G75" s="3190" t="s">
        <v>3037</v>
      </c>
      <c r="H75" s="3190" t="s">
        <v>3241</v>
      </c>
      <c r="I75" s="3190">
        <v>1145</v>
      </c>
      <c r="J75" s="3190">
        <v>1145</v>
      </c>
      <c r="K75" s="3190">
        <v>480</v>
      </c>
      <c r="L75" s="3190">
        <f t="shared" si="2"/>
        <v>1200</v>
      </c>
      <c r="M75" s="3190">
        <v>0</v>
      </c>
      <c r="N75" s="3190" t="s">
        <v>3244</v>
      </c>
    </row>
    <row r="76" spans="1:14" s="3190" customFormat="1" ht="12">
      <c r="A76" s="3190" t="s">
        <v>3245</v>
      </c>
      <c r="B76" s="3190" t="s">
        <v>3034</v>
      </c>
      <c r="C76" s="3190" t="s">
        <v>3041</v>
      </c>
      <c r="D76" s="3190">
        <v>62582.400000000001</v>
      </c>
      <c r="E76" s="3190">
        <v>167104.6</v>
      </c>
      <c r="F76" s="3190" t="s">
        <v>3246</v>
      </c>
      <c r="G76" s="3190" t="s">
        <v>3037</v>
      </c>
      <c r="H76" s="3190" t="s">
        <v>3241</v>
      </c>
      <c r="I76" s="3190">
        <v>166206</v>
      </c>
      <c r="J76" s="3190">
        <v>242666</v>
      </c>
      <c r="K76" s="3190">
        <v>14521.79</v>
      </c>
      <c r="L76" s="3190">
        <f t="shared" si="2"/>
        <v>38775</v>
      </c>
      <c r="M76" s="3190">
        <v>46</v>
      </c>
      <c r="N76" s="3190" t="s">
        <v>3247</v>
      </c>
    </row>
    <row r="77" spans="1:14" s="3190" customFormat="1" ht="12">
      <c r="A77" s="3190" t="s">
        <v>3248</v>
      </c>
      <c r="B77" s="3190" t="s">
        <v>3034</v>
      </c>
      <c r="C77" s="3190" t="s">
        <v>3041</v>
      </c>
      <c r="D77" s="3190">
        <v>88806.1</v>
      </c>
      <c r="E77" s="3190">
        <v>133209.20000000001</v>
      </c>
      <c r="F77" s="3190" t="s">
        <v>3055</v>
      </c>
      <c r="G77" s="3190" t="s">
        <v>3037</v>
      </c>
      <c r="H77" s="3190" t="s">
        <v>3241</v>
      </c>
      <c r="I77" s="3190">
        <v>69802</v>
      </c>
      <c r="J77" s="3190">
        <v>87802</v>
      </c>
      <c r="K77" s="3190">
        <v>6591.28</v>
      </c>
      <c r="L77" s="3190">
        <f t="shared" si="2"/>
        <v>9887</v>
      </c>
      <c r="M77" s="3190">
        <v>25.79</v>
      </c>
      <c r="N77" s="3190" t="s">
        <v>3249</v>
      </c>
    </row>
    <row r="78" spans="1:14" s="3190" customFormat="1" ht="12">
      <c r="A78" s="3190" t="s">
        <v>3250</v>
      </c>
      <c r="B78" s="3190" t="s">
        <v>3034</v>
      </c>
      <c r="C78" s="3190" t="s">
        <v>3048</v>
      </c>
      <c r="D78" s="3190">
        <v>35441</v>
      </c>
      <c r="E78" s="3190">
        <v>70882</v>
      </c>
      <c r="F78" s="3190" t="s">
        <v>3251</v>
      </c>
      <c r="G78" s="3190" t="s">
        <v>3037</v>
      </c>
      <c r="H78" s="3190" t="s">
        <v>3241</v>
      </c>
      <c r="I78" s="3190">
        <v>38631</v>
      </c>
      <c r="J78" s="3190">
        <v>55206</v>
      </c>
      <c r="K78" s="3190">
        <v>7788.43</v>
      </c>
      <c r="L78" s="3190">
        <f t="shared" si="2"/>
        <v>15577</v>
      </c>
      <c r="M78" s="3190">
        <v>42.91</v>
      </c>
      <c r="N78" s="3190" t="s">
        <v>3252</v>
      </c>
    </row>
    <row r="79" spans="1:14" s="3190" customFormat="1" ht="12">
      <c r="A79" s="3190" t="s">
        <v>3253</v>
      </c>
      <c r="B79" s="3190" t="s">
        <v>3034</v>
      </c>
      <c r="C79" s="3190" t="s">
        <v>3048</v>
      </c>
      <c r="D79" s="3190">
        <v>48511.8</v>
      </c>
      <c r="E79" s="3190">
        <v>121279.5</v>
      </c>
      <c r="F79" s="3190" t="s">
        <v>3254</v>
      </c>
      <c r="G79" s="3190" t="s">
        <v>3037</v>
      </c>
      <c r="H79" s="3190" t="s">
        <v>3241</v>
      </c>
      <c r="I79" s="3190">
        <v>97024</v>
      </c>
      <c r="J79" s="3190">
        <v>144232</v>
      </c>
      <c r="K79" s="3190">
        <v>11892.53</v>
      </c>
      <c r="L79" s="3190">
        <f t="shared" si="2"/>
        <v>29731</v>
      </c>
      <c r="M79" s="3190">
        <v>48.66</v>
      </c>
      <c r="N79" s="3190" t="s">
        <v>3255</v>
      </c>
    </row>
    <row r="80" spans="1:14" s="3190" customFormat="1" ht="12" hidden="1">
      <c r="A80" s="3190" t="s">
        <v>3256</v>
      </c>
      <c r="B80" s="3190" t="s">
        <v>3034</v>
      </c>
      <c r="C80" s="3190" t="s">
        <v>3035</v>
      </c>
      <c r="D80" s="3190">
        <v>15047.7</v>
      </c>
      <c r="E80" s="3190">
        <v>60190.8</v>
      </c>
      <c r="F80" s="3190" t="s">
        <v>3257</v>
      </c>
      <c r="G80" s="3190" t="s">
        <v>3037</v>
      </c>
      <c r="H80" s="3190" t="s">
        <v>3241</v>
      </c>
      <c r="I80" s="3190">
        <v>15800</v>
      </c>
      <c r="J80" s="3190">
        <v>35200</v>
      </c>
      <c r="K80" s="3190">
        <v>5848.06</v>
      </c>
      <c r="L80" s="3190">
        <f t="shared" si="2"/>
        <v>23392</v>
      </c>
      <c r="M80" s="3190">
        <v>122.78</v>
      </c>
      <c r="N80" s="3190" t="s">
        <v>3258</v>
      </c>
    </row>
    <row r="81" spans="1:14" s="3190" customFormat="1" ht="12">
      <c r="A81" s="3190" t="s">
        <v>3259</v>
      </c>
      <c r="B81" s="3190" t="s">
        <v>3034</v>
      </c>
      <c r="C81" s="3190" t="s">
        <v>3041</v>
      </c>
      <c r="D81" s="3190">
        <v>98056.7</v>
      </c>
      <c r="E81" s="3190">
        <v>147085</v>
      </c>
      <c r="F81" s="3190" t="s">
        <v>3148</v>
      </c>
      <c r="G81" s="3190" t="s">
        <v>3037</v>
      </c>
      <c r="H81" s="3190" t="s">
        <v>3260</v>
      </c>
      <c r="I81" s="3190">
        <v>116197</v>
      </c>
      <c r="J81" s="3190">
        <v>134197</v>
      </c>
      <c r="K81" s="3190">
        <v>9123.77</v>
      </c>
      <c r="L81" s="3190">
        <f t="shared" si="2"/>
        <v>13686</v>
      </c>
      <c r="M81" s="3190">
        <v>15.49</v>
      </c>
      <c r="N81" s="3190" t="s">
        <v>3261</v>
      </c>
    </row>
    <row r="82" spans="1:14" s="3190" customFormat="1" ht="12" hidden="1">
      <c r="A82" s="3190" t="s">
        <v>3262</v>
      </c>
      <c r="B82" s="3190" t="s">
        <v>3034</v>
      </c>
      <c r="C82" s="3190" t="s">
        <v>3035</v>
      </c>
      <c r="D82" s="3190">
        <v>13244</v>
      </c>
      <c r="E82" s="3190">
        <v>33110</v>
      </c>
      <c r="F82" s="3190" t="s">
        <v>3214</v>
      </c>
      <c r="G82" s="3190" t="s">
        <v>3037</v>
      </c>
      <c r="H82" s="3190" t="s">
        <v>3263</v>
      </c>
      <c r="I82" s="3190">
        <v>8542</v>
      </c>
      <c r="J82" s="3190">
        <v>8542</v>
      </c>
      <c r="K82" s="3190">
        <v>2579.88</v>
      </c>
      <c r="L82" s="3190">
        <f t="shared" si="2"/>
        <v>6450</v>
      </c>
      <c r="M82" s="3190">
        <v>0</v>
      </c>
      <c r="N82" s="3190" t="s">
        <v>3264</v>
      </c>
    </row>
    <row r="83" spans="1:14" s="3190" customFormat="1" ht="12">
      <c r="A83" s="3190" t="s">
        <v>3265</v>
      </c>
      <c r="B83" s="3190" t="s">
        <v>3034</v>
      </c>
      <c r="C83" s="3190" t="s">
        <v>3041</v>
      </c>
      <c r="D83" s="3190">
        <v>33136.5</v>
      </c>
      <c r="E83" s="3190">
        <v>59645.7</v>
      </c>
      <c r="F83" s="3190" t="s">
        <v>3070</v>
      </c>
      <c r="G83" s="3190" t="s">
        <v>3037</v>
      </c>
      <c r="H83" s="3190" t="s">
        <v>3263</v>
      </c>
      <c r="I83" s="3190">
        <v>42083</v>
      </c>
      <c r="J83" s="3190">
        <v>78083</v>
      </c>
      <c r="K83" s="3190">
        <v>13091.13</v>
      </c>
      <c r="L83" s="3190">
        <f t="shared" si="2"/>
        <v>23564</v>
      </c>
      <c r="M83" s="3190">
        <v>85.55</v>
      </c>
      <c r="N83" s="3190" t="s">
        <v>3266</v>
      </c>
    </row>
    <row r="84" spans="1:14" s="3190" customFormat="1" ht="12">
      <c r="A84" s="3190" t="s">
        <v>3267</v>
      </c>
      <c r="B84" s="3190" t="s">
        <v>3034</v>
      </c>
      <c r="C84" s="3190" t="s">
        <v>3041</v>
      </c>
      <c r="D84" s="3190">
        <v>38838.6</v>
      </c>
      <c r="E84" s="3190">
        <v>62141.760000000002</v>
      </c>
      <c r="F84" s="3190" t="s">
        <v>3268</v>
      </c>
      <c r="G84" s="3190" t="s">
        <v>3037</v>
      </c>
      <c r="H84" s="3190" t="s">
        <v>3263</v>
      </c>
      <c r="I84" s="3190">
        <v>44664</v>
      </c>
      <c r="J84" s="3190">
        <v>86664</v>
      </c>
      <c r="K84" s="3190">
        <v>13946.18</v>
      </c>
      <c r="L84" s="3190">
        <f t="shared" si="2"/>
        <v>22314</v>
      </c>
      <c r="M84" s="3190">
        <v>94.04</v>
      </c>
      <c r="N84" s="3190" t="s">
        <v>3266</v>
      </c>
    </row>
    <row r="85" spans="1:14" s="3190" customFormat="1" ht="12">
      <c r="A85" s="3190" t="s">
        <v>3269</v>
      </c>
      <c r="B85" s="3190" t="s">
        <v>3034</v>
      </c>
      <c r="C85" s="3190" t="s">
        <v>3048</v>
      </c>
      <c r="D85" s="3190">
        <v>32044.3</v>
      </c>
      <c r="E85" s="3190">
        <v>64088.6</v>
      </c>
      <c r="F85" s="3190" t="s">
        <v>3251</v>
      </c>
      <c r="G85" s="3190" t="s">
        <v>3037</v>
      </c>
      <c r="H85" s="3190" t="s">
        <v>3263</v>
      </c>
      <c r="I85" s="3190">
        <v>25635</v>
      </c>
      <c r="J85" s="3190">
        <v>52135</v>
      </c>
      <c r="K85" s="3190">
        <v>8134.82</v>
      </c>
      <c r="L85" s="3190">
        <f t="shared" ref="L85:L102" si="3">ROUND(J85*10000/D85,0)</f>
        <v>16270</v>
      </c>
      <c r="M85" s="3190">
        <v>103.37</v>
      </c>
      <c r="N85" s="3190" t="s">
        <v>3252</v>
      </c>
    </row>
    <row r="86" spans="1:14" s="3193" customFormat="1" ht="12">
      <c r="A86" s="3193" t="s">
        <v>3452</v>
      </c>
      <c r="B86" s="3193" t="s">
        <v>3034</v>
      </c>
      <c r="C86" s="3193" t="s">
        <v>3048</v>
      </c>
      <c r="D86" s="3193">
        <v>49189.2</v>
      </c>
      <c r="E86" s="3193">
        <v>72258.710000000006</v>
      </c>
      <c r="F86" s="3193" t="s">
        <v>3270</v>
      </c>
      <c r="G86" s="3193" t="s">
        <v>3037</v>
      </c>
      <c r="H86" s="3193" t="s">
        <v>3263</v>
      </c>
      <c r="I86" s="3193">
        <v>83725</v>
      </c>
      <c r="J86" s="3193">
        <v>186066</v>
      </c>
      <c r="K86" s="3193">
        <v>25749.97</v>
      </c>
      <c r="L86" s="3193">
        <f t="shared" si="3"/>
        <v>37827</v>
      </c>
      <c r="M86" s="3193">
        <v>122.23</v>
      </c>
      <c r="N86" s="3193" t="s">
        <v>3271</v>
      </c>
    </row>
    <row r="87" spans="1:14" s="3193" customFormat="1" ht="12" hidden="1">
      <c r="A87" s="3193" t="s">
        <v>3272</v>
      </c>
      <c r="B87" s="3193" t="s">
        <v>3034</v>
      </c>
      <c r="C87" s="3193" t="s">
        <v>3035</v>
      </c>
      <c r="D87" s="3193">
        <v>5205.6000000000004</v>
      </c>
      <c r="E87" s="3193">
        <v>8328.9599999999991</v>
      </c>
      <c r="F87" s="3193" t="s">
        <v>3273</v>
      </c>
      <c r="G87" s="3193" t="s">
        <v>3037</v>
      </c>
      <c r="H87" s="3193" t="s">
        <v>3263</v>
      </c>
      <c r="I87" s="3193">
        <v>625</v>
      </c>
      <c r="J87" s="3193">
        <v>625</v>
      </c>
      <c r="K87" s="3193">
        <v>750.38</v>
      </c>
      <c r="L87" s="3193">
        <f t="shared" si="3"/>
        <v>1201</v>
      </c>
      <c r="M87" s="3193">
        <v>0</v>
      </c>
      <c r="N87" s="3193" t="s">
        <v>3274</v>
      </c>
    </row>
    <row r="88" spans="1:14" s="3193" customFormat="1" ht="12">
      <c r="A88" s="3193" t="s">
        <v>3275</v>
      </c>
      <c r="B88" s="3193" t="s">
        <v>3034</v>
      </c>
      <c r="C88" s="3193" t="s">
        <v>3048</v>
      </c>
      <c r="D88" s="3193">
        <v>61584.4</v>
      </c>
      <c r="E88" s="3193">
        <v>123168.8</v>
      </c>
      <c r="F88" s="3193" t="s">
        <v>3251</v>
      </c>
      <c r="G88" s="3193" t="s">
        <v>3037</v>
      </c>
      <c r="H88" s="3193" t="s">
        <v>3263</v>
      </c>
      <c r="I88" s="3193">
        <v>184753</v>
      </c>
      <c r="J88" s="3193">
        <v>356753</v>
      </c>
      <c r="K88" s="3193">
        <v>28964.560000000001</v>
      </c>
      <c r="L88" s="3193">
        <f t="shared" si="3"/>
        <v>57929</v>
      </c>
      <c r="M88" s="3193">
        <v>93.1</v>
      </c>
      <c r="N88" s="3193" t="s">
        <v>3271</v>
      </c>
    </row>
    <row r="89" spans="1:14" s="3190" customFormat="1" ht="12" hidden="1">
      <c r="A89" s="3190" t="s">
        <v>3276</v>
      </c>
      <c r="B89" s="3190" t="s">
        <v>3034</v>
      </c>
      <c r="C89" s="3190" t="s">
        <v>3035</v>
      </c>
      <c r="D89" s="3190">
        <v>17372</v>
      </c>
      <c r="E89" s="3190">
        <v>5211.6000000000004</v>
      </c>
      <c r="F89" s="3190" t="s">
        <v>3277</v>
      </c>
      <c r="G89" s="3190" t="s">
        <v>3037</v>
      </c>
      <c r="H89" s="3190" t="s">
        <v>3263</v>
      </c>
      <c r="I89" s="3190">
        <v>7817</v>
      </c>
      <c r="J89" s="3190">
        <v>7817</v>
      </c>
      <c r="K89" s="3190">
        <v>14999.22</v>
      </c>
      <c r="L89" s="3190">
        <f t="shared" si="3"/>
        <v>4500</v>
      </c>
      <c r="M89" s="3190">
        <v>0</v>
      </c>
      <c r="N89" s="3190" t="s">
        <v>3278</v>
      </c>
    </row>
    <row r="90" spans="1:14" s="3190" customFormat="1" ht="12">
      <c r="A90" s="3190" t="s">
        <v>3279</v>
      </c>
      <c r="B90" s="3190" t="s">
        <v>3034</v>
      </c>
      <c r="C90" s="3190" t="s">
        <v>3048</v>
      </c>
      <c r="D90" s="3190">
        <v>27655.200000000001</v>
      </c>
      <c r="E90" s="3190">
        <v>41482.800000000003</v>
      </c>
      <c r="F90" s="3190" t="s">
        <v>3055</v>
      </c>
      <c r="G90" s="3190" t="s">
        <v>3037</v>
      </c>
      <c r="H90" s="3190" t="s">
        <v>3263</v>
      </c>
      <c r="I90" s="3190">
        <v>45631</v>
      </c>
      <c r="J90" s="3190">
        <v>54631</v>
      </c>
      <c r="K90" s="3190">
        <v>13169.54</v>
      </c>
      <c r="L90" s="3190">
        <f t="shared" si="3"/>
        <v>19754</v>
      </c>
      <c r="M90" s="3190">
        <v>19.72</v>
      </c>
      <c r="N90" s="3190" t="s">
        <v>3280</v>
      </c>
    </row>
    <row r="91" spans="1:14" s="3190" customFormat="1" ht="12">
      <c r="A91" s="3190" t="s">
        <v>3281</v>
      </c>
      <c r="B91" s="3190" t="s">
        <v>3034</v>
      </c>
      <c r="C91" s="3190" t="s">
        <v>3048</v>
      </c>
      <c r="D91" s="3190">
        <v>6567.4</v>
      </c>
      <c r="E91" s="3190">
        <v>7880.9</v>
      </c>
      <c r="F91" s="3190" t="s">
        <v>3282</v>
      </c>
      <c r="G91" s="3190" t="s">
        <v>3037</v>
      </c>
      <c r="H91" s="3190" t="s">
        <v>3283</v>
      </c>
      <c r="I91" s="3190">
        <v>5714</v>
      </c>
      <c r="J91" s="3190">
        <v>8314</v>
      </c>
      <c r="K91" s="3190">
        <v>10549.55</v>
      </c>
      <c r="L91" s="3190">
        <f t="shared" si="3"/>
        <v>12659</v>
      </c>
      <c r="M91" s="3190">
        <v>45.5</v>
      </c>
      <c r="N91" s="3190" t="s">
        <v>3284</v>
      </c>
    </row>
    <row r="92" spans="1:14" s="3190" customFormat="1" ht="12" hidden="1">
      <c r="A92" s="3190" t="s">
        <v>3285</v>
      </c>
      <c r="B92" s="3190" t="s">
        <v>3034</v>
      </c>
      <c r="C92" s="3190" t="s">
        <v>3035</v>
      </c>
      <c r="D92" s="3190">
        <v>4496.2</v>
      </c>
      <c r="E92" s="3190">
        <v>8992.4</v>
      </c>
      <c r="F92" s="3190" t="s">
        <v>3042</v>
      </c>
      <c r="G92" s="3190" t="s">
        <v>3037</v>
      </c>
      <c r="H92" s="3190" t="s">
        <v>3283</v>
      </c>
      <c r="I92" s="3190">
        <v>1888</v>
      </c>
      <c r="J92" s="3190">
        <v>1888</v>
      </c>
      <c r="K92" s="3190">
        <v>2099.5500000000002</v>
      </c>
      <c r="L92" s="3190">
        <f t="shared" si="3"/>
        <v>4199</v>
      </c>
      <c r="M92" s="3190">
        <v>0</v>
      </c>
      <c r="N92" s="3190" t="s">
        <v>3286</v>
      </c>
    </row>
    <row r="93" spans="1:14" s="3192" customFormat="1" ht="12">
      <c r="A93" s="3192" t="s">
        <v>3287</v>
      </c>
      <c r="B93" s="3192" t="s">
        <v>3034</v>
      </c>
      <c r="C93" s="3192" t="s">
        <v>3041</v>
      </c>
      <c r="D93" s="3192">
        <v>63219.9</v>
      </c>
      <c r="E93" s="3192">
        <v>185093</v>
      </c>
      <c r="F93" s="3192" t="s">
        <v>3288</v>
      </c>
      <c r="G93" s="3192" t="s">
        <v>3037</v>
      </c>
      <c r="H93" s="3192" t="s">
        <v>3283</v>
      </c>
      <c r="I93" s="3192">
        <v>141894</v>
      </c>
      <c r="J93" s="3192">
        <v>309894</v>
      </c>
      <c r="K93" s="3192">
        <v>16742.61</v>
      </c>
      <c r="L93" s="3192">
        <f t="shared" si="3"/>
        <v>49018</v>
      </c>
      <c r="M93" s="3192">
        <v>118.4</v>
      </c>
      <c r="N93" s="3192" t="s">
        <v>3289</v>
      </c>
    </row>
    <row r="94" spans="1:14" s="3190" customFormat="1" ht="12">
      <c r="A94" s="3190" t="s">
        <v>3290</v>
      </c>
      <c r="B94" s="3190" t="s">
        <v>3034</v>
      </c>
      <c r="C94" s="3190" t="s">
        <v>3041</v>
      </c>
      <c r="D94" s="3190">
        <v>100485.6</v>
      </c>
      <c r="E94" s="3190">
        <v>211851.1</v>
      </c>
      <c r="F94" s="3190" t="s">
        <v>3291</v>
      </c>
      <c r="G94" s="3190" t="s">
        <v>3037</v>
      </c>
      <c r="H94" s="3190" t="s">
        <v>3292</v>
      </c>
      <c r="I94" s="3190">
        <v>157105</v>
      </c>
      <c r="J94" s="3190">
        <v>387105</v>
      </c>
      <c r="K94" s="3190">
        <v>18272.5</v>
      </c>
      <c r="L94" s="3190">
        <f t="shared" si="3"/>
        <v>38523</v>
      </c>
      <c r="M94" s="3190">
        <v>146.4</v>
      </c>
      <c r="N94" s="3190" t="s">
        <v>3293</v>
      </c>
    </row>
    <row r="95" spans="1:14" s="3191" customFormat="1" ht="12">
      <c r="A95" s="3191" t="s">
        <v>3294</v>
      </c>
      <c r="B95" s="3191" t="s">
        <v>3034</v>
      </c>
      <c r="C95" s="3191" t="s">
        <v>3048</v>
      </c>
      <c r="D95" s="3191">
        <v>74195.899999999994</v>
      </c>
      <c r="E95" s="3191">
        <v>163231</v>
      </c>
      <c r="F95" s="3191" t="s">
        <v>3295</v>
      </c>
      <c r="G95" s="3191" t="s">
        <v>3037</v>
      </c>
      <c r="H95" s="3191" t="s">
        <v>3292</v>
      </c>
      <c r="I95" s="3191">
        <v>115894</v>
      </c>
      <c r="J95" s="3191">
        <v>403894</v>
      </c>
      <c r="K95" s="3191">
        <v>24743.7</v>
      </c>
      <c r="L95" s="3191">
        <f t="shared" si="3"/>
        <v>54436</v>
      </c>
      <c r="M95" s="3191">
        <v>248.5</v>
      </c>
      <c r="N95" s="3191" t="s">
        <v>3296</v>
      </c>
    </row>
    <row r="96" spans="1:14" s="3190" customFormat="1" ht="12">
      <c r="A96" s="3190" t="s">
        <v>3297</v>
      </c>
      <c r="B96" s="3190" t="s">
        <v>3034</v>
      </c>
      <c r="C96" s="3190" t="s">
        <v>3048</v>
      </c>
      <c r="D96" s="3190">
        <v>60960.5</v>
      </c>
      <c r="E96" s="3190">
        <v>109728.9</v>
      </c>
      <c r="F96" s="3190" t="s">
        <v>3298</v>
      </c>
      <c r="G96" s="3190" t="s">
        <v>3037</v>
      </c>
      <c r="H96" s="3190" t="s">
        <v>3292</v>
      </c>
      <c r="I96" s="3190">
        <v>45720</v>
      </c>
      <c r="J96" s="3190">
        <v>155720</v>
      </c>
      <c r="K96" s="3190">
        <v>14191.34</v>
      </c>
      <c r="L96" s="3190">
        <f t="shared" si="3"/>
        <v>25544</v>
      </c>
      <c r="M96" s="3190">
        <v>240.59</v>
      </c>
      <c r="N96" s="3190" t="s">
        <v>3299</v>
      </c>
    </row>
    <row r="97" spans="1:14" s="3190" customFormat="1" ht="12" hidden="1">
      <c r="A97" s="3190" t="s">
        <v>3300</v>
      </c>
      <c r="B97" s="3190" t="s">
        <v>3034</v>
      </c>
      <c r="C97" s="3190" t="s">
        <v>3035</v>
      </c>
      <c r="D97" s="3190">
        <v>24258.6</v>
      </c>
      <c r="E97" s="3190">
        <v>60646.5</v>
      </c>
      <c r="F97" s="3190" t="s">
        <v>3230</v>
      </c>
      <c r="G97" s="3190" t="s">
        <v>3037</v>
      </c>
      <c r="H97" s="3190" t="s">
        <v>3301</v>
      </c>
      <c r="I97" s="3190">
        <v>10916</v>
      </c>
      <c r="J97" s="3190">
        <v>10916</v>
      </c>
      <c r="K97" s="3190">
        <v>1799.94</v>
      </c>
      <c r="L97" s="3190">
        <f t="shared" si="3"/>
        <v>4500</v>
      </c>
      <c r="M97" s="3190">
        <v>0</v>
      </c>
      <c r="N97" s="3190" t="s">
        <v>3302</v>
      </c>
    </row>
    <row r="98" spans="1:14" s="3190" customFormat="1" ht="12" hidden="1">
      <c r="A98" s="3190" t="s">
        <v>3303</v>
      </c>
      <c r="B98" s="3190" t="s">
        <v>3034</v>
      </c>
      <c r="C98" s="3190" t="s">
        <v>3035</v>
      </c>
      <c r="D98" s="3190">
        <v>1564.7</v>
      </c>
      <c r="E98" s="3190">
        <v>1251.76</v>
      </c>
      <c r="F98" s="3190" t="s">
        <v>3304</v>
      </c>
      <c r="G98" s="3190" t="s">
        <v>3037</v>
      </c>
      <c r="H98" s="3190" t="s">
        <v>3301</v>
      </c>
      <c r="I98" s="3190">
        <v>352</v>
      </c>
      <c r="J98" s="3190">
        <v>352</v>
      </c>
      <c r="K98" s="3190">
        <v>2812.03</v>
      </c>
      <c r="L98" s="3190">
        <f t="shared" si="3"/>
        <v>2250</v>
      </c>
      <c r="M98" s="3190">
        <v>0</v>
      </c>
      <c r="N98" s="3190" t="s">
        <v>3116</v>
      </c>
    </row>
    <row r="99" spans="1:14" s="3190" customFormat="1" ht="12" hidden="1">
      <c r="A99" s="3190" t="s">
        <v>3305</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3306</v>
      </c>
    </row>
    <row r="100" spans="1:14" s="3190" customFormat="1" ht="12" hidden="1">
      <c r="A100" s="3190" t="s">
        <v>3307</v>
      </c>
      <c r="B100" s="3190" t="s">
        <v>3034</v>
      </c>
      <c r="C100" s="3190" t="s">
        <v>3035</v>
      </c>
      <c r="D100" s="3190">
        <v>7885.4</v>
      </c>
      <c r="E100" s="3190">
        <v>8831.65</v>
      </c>
      <c r="F100" s="3190" t="s">
        <v>3308</v>
      </c>
      <c r="G100" s="3190" t="s">
        <v>3037</v>
      </c>
      <c r="H100" s="3190" t="s">
        <v>3038</v>
      </c>
      <c r="I100" s="3190">
        <v>2208</v>
      </c>
      <c r="J100" s="3190">
        <v>2208</v>
      </c>
      <c r="K100" s="3190">
        <v>2500.09</v>
      </c>
      <c r="L100" s="3190">
        <f t="shared" si="3"/>
        <v>2800</v>
      </c>
      <c r="M100" s="3190">
        <v>0</v>
      </c>
      <c r="N100" s="3190" t="s">
        <v>3309</v>
      </c>
    </row>
    <row r="101" spans="1:14" s="3190" customFormat="1" ht="12" hidden="1">
      <c r="A101" s="3190" t="s">
        <v>3310</v>
      </c>
      <c r="B101" s="3190" t="s">
        <v>3034</v>
      </c>
      <c r="C101" s="3190" t="s">
        <v>3035</v>
      </c>
      <c r="D101" s="3190">
        <v>47877.7</v>
      </c>
      <c r="E101" s="3190">
        <v>14363.31</v>
      </c>
      <c r="F101" s="3190" t="s">
        <v>3311</v>
      </c>
      <c r="G101" s="3190" t="s">
        <v>3037</v>
      </c>
      <c r="H101" s="3190" t="s">
        <v>3038</v>
      </c>
      <c r="I101" s="3190">
        <v>7182</v>
      </c>
      <c r="J101" s="3190">
        <v>7182</v>
      </c>
      <c r="K101" s="3190">
        <v>5000.2299999999996</v>
      </c>
      <c r="L101" s="3190">
        <f t="shared" si="3"/>
        <v>1500</v>
      </c>
      <c r="M101" s="3190">
        <v>0</v>
      </c>
      <c r="N101" s="3190" t="s">
        <v>3312</v>
      </c>
    </row>
    <row r="102" spans="1:14" s="3190" customFormat="1" ht="12" hidden="1">
      <c r="A102" s="3190" t="s">
        <v>3313</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3314</v>
      </c>
    </row>
    <row r="103" spans="1:14" hidden="1"/>
    <row r="117" spans="1:6">
      <c r="A117" s="3186" t="s">
        <v>3365</v>
      </c>
      <c r="F117" s="3186" t="s">
        <v>3366</v>
      </c>
    </row>
    <row r="168" spans="1:6">
      <c r="A168" s="3208" t="s">
        <v>3367</v>
      </c>
    </row>
    <row r="169" spans="1:6">
      <c r="F169" s="3186" t="s">
        <v>3368</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2038</v>
      </c>
      <c r="B1" s="3235"/>
      <c r="C1" s="3235"/>
      <c r="D1" s="3235"/>
      <c r="E1" s="3235"/>
      <c r="F1" s="3235"/>
      <c r="G1" s="3235"/>
      <c r="H1" s="3235"/>
      <c r="I1" s="3235"/>
      <c r="J1" s="3235"/>
      <c r="K1" s="3235"/>
      <c r="L1" s="3235"/>
      <c r="M1" s="3235"/>
      <c r="N1" s="3235"/>
      <c r="O1" s="3235"/>
      <c r="P1" s="3235"/>
      <c r="Q1" s="3235"/>
      <c r="R1" s="3235"/>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6" t="s">
        <v>2029</v>
      </c>
      <c r="B3" s="3236" t="s">
        <v>2730</v>
      </c>
      <c r="C3" s="3237" t="s">
        <v>2030</v>
      </c>
      <c r="D3" s="3236" t="s">
        <v>2734</v>
      </c>
      <c r="E3" s="3239" t="s">
        <v>2031</v>
      </c>
      <c r="F3" s="3239"/>
      <c r="G3" s="3239"/>
      <c r="H3" s="3239" t="s">
        <v>2032</v>
      </c>
      <c r="I3" s="3239"/>
      <c r="J3" s="3239"/>
      <c r="K3" s="3237" t="s">
        <v>2033</v>
      </c>
      <c r="L3" s="3237" t="s">
        <v>2034</v>
      </c>
      <c r="M3" s="3236" t="s">
        <v>2731</v>
      </c>
      <c r="N3" s="3238" t="str">
        <f>"（分摊）"&amp;项目基本情况!B16&amp;"国有建设用地使用权面积/㎡"</f>
        <v>（分摊）出让国有建设用地使用权面积/㎡</v>
      </c>
      <c r="O3" s="3236" t="s">
        <v>2063</v>
      </c>
      <c r="P3" s="3237" t="s">
        <v>2043</v>
      </c>
      <c r="Q3" s="3237" t="s">
        <v>2064</v>
      </c>
      <c r="R3" s="3237" t="s">
        <v>2035</v>
      </c>
    </row>
    <row r="4" spans="1:18" ht="36.75" customHeight="1">
      <c r="A4" s="3236"/>
      <c r="B4" s="3236"/>
      <c r="C4" s="3237"/>
      <c r="D4" s="3236"/>
      <c r="E4" s="2673" t="s">
        <v>2042</v>
      </c>
      <c r="F4" s="2673" t="s">
        <v>2743</v>
      </c>
      <c r="G4" s="2673" t="s">
        <v>2036</v>
      </c>
      <c r="H4" s="2673" t="s">
        <v>2037</v>
      </c>
      <c r="I4" s="2673" t="s">
        <v>2744</v>
      </c>
      <c r="J4" s="2673" t="s">
        <v>2036</v>
      </c>
      <c r="K4" s="3237"/>
      <c r="L4" s="3237"/>
      <c r="M4" s="3236"/>
      <c r="N4" s="3238"/>
      <c r="O4" s="3236"/>
      <c r="P4" s="3237"/>
      <c r="Q4" s="3237"/>
      <c r="R4" s="3237"/>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37499.699999999997</v>
      </c>
      <c r="O5" s="1810">
        <f>项目基本情况!C21</f>
        <v>118587.47999999997</v>
      </c>
      <c r="P5" s="1810">
        <f ca="1">结果表!E42</f>
        <v>68367</v>
      </c>
      <c r="Q5" s="1810">
        <f ca="1">结果表!D42</f>
        <v>21619</v>
      </c>
      <c r="R5" s="1811">
        <f ca="1">结果表!C42</f>
        <v>256375</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812">
        <f ca="1">结果表!O39</f>
        <v>256375</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812" t="str">
        <f>结果表!O40</f>
        <v>——</v>
      </c>
    </row>
    <row r="8" spans="1:18">
      <c r="A8" s="3240">
        <f>IF(项目基本情况!B9="市场价格","——",项目基本情况!E9)</f>
        <v>0</v>
      </c>
      <c r="B8" s="3241"/>
      <c r="C8" s="3241"/>
      <c r="D8" s="3241"/>
      <c r="E8" s="3241"/>
      <c r="F8" s="3241"/>
      <c r="G8" s="3241"/>
      <c r="H8" s="3241"/>
      <c r="I8" s="3241"/>
      <c r="J8" s="3241"/>
      <c r="K8" s="3241"/>
      <c r="L8" s="3241"/>
      <c r="M8" s="3241"/>
      <c r="N8" s="3241"/>
      <c r="O8" s="3241"/>
      <c r="P8" s="3241"/>
      <c r="Q8" s="3242"/>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4" t="s">
        <v>2065</v>
      </c>
      <c r="B1" s="3244"/>
      <c r="C1" s="3244"/>
      <c r="D1" s="3244"/>
    </row>
    <row r="2" spans="1:4" ht="47.25" customHeight="1">
      <c r="A2" s="3245" t="str">
        <f>"1.权利限制："&amp;项目基本情况!L24&amp;"未设定租赁等其他他项权利。"</f>
        <v>1.权利限制：根据估价对象《不动产权证书》复印件，截至估价期日，估价对象抵押权未见登记。未设定租赁等其他他项权利。</v>
      </c>
      <c r="B2" s="3245"/>
      <c r="C2" s="3245"/>
      <c r="D2" s="3245"/>
    </row>
    <row r="3" spans="1:4" ht="48" customHeight="1">
      <c r="A3" s="324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3" t="s">
        <v>2066</v>
      </c>
      <c r="B5" s="3243"/>
      <c r="C5" s="3243"/>
      <c r="D5" s="3243"/>
    </row>
    <row r="6" spans="1:4">
      <c r="A6" s="3244" t="s">
        <v>2044</v>
      </c>
      <c r="B6" s="3244"/>
      <c r="C6" s="3244"/>
      <c r="D6" s="3244"/>
    </row>
    <row r="7" spans="1:4" ht="33" customHeight="1">
      <c r="A7" s="3244" t="s">
        <v>2575</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（1）根据估价对象《不动产权证书》复印件，截至估价期日，估价对象抵押权未见登记。</v>
      </c>
      <c r="B11" s="3246"/>
      <c r="C11" s="3246"/>
      <c r="D11" s="3246"/>
    </row>
    <row r="12" spans="1:4" ht="168" customHeight="1">
      <c r="A12" s="3243" t="s">
        <v>2068</v>
      </c>
      <c r="B12" s="3243"/>
      <c r="C12" s="3243"/>
      <c r="D12" s="3243"/>
    </row>
    <row r="13" spans="1:4">
      <c r="A13" s="3247" t="s">
        <v>2745</v>
      </c>
      <c r="B13" s="3247"/>
      <c r="C13" s="3247"/>
      <c r="D13" s="3247"/>
    </row>
    <row r="14" spans="1:4">
      <c r="A14" s="3246" t="str">
        <f>IF(项目基本情况!B8="抵押","综上，"&amp;结果表!K47,"——")</f>
        <v>综上，本次评估不存在估价师知悉的法定优先受偿款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2701</v>
      </c>
      <c r="B17" s="3244"/>
      <c r="C17" s="3244"/>
      <c r="D17" s="3244"/>
    </row>
    <row r="18" spans="1:4">
      <c r="A18" s="3244" t="s">
        <v>2693</v>
      </c>
      <c r="B18" s="3244"/>
      <c r="C18" s="3244"/>
      <c r="D18" s="3244"/>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44" t="s">
        <v>2698</v>
      </c>
      <c r="B23" s="3244"/>
      <c r="C23" s="3244"/>
      <c r="D23" s="3244"/>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5" t="s">
        <v>53</v>
      </c>
      <c r="B15" s="3256" t="s">
        <v>846</v>
      </c>
      <c r="C15" s="3252"/>
    </row>
    <row r="16" spans="1:7" ht="14.25">
      <c r="A16" s="3255"/>
      <c r="B16" s="3253" t="s">
        <v>54</v>
      </c>
      <c r="C16" s="1171" t="s">
        <v>53</v>
      </c>
    </row>
    <row r="17" spans="1:3" ht="14.25">
      <c r="A17" s="3255"/>
      <c r="B17" s="3253"/>
      <c r="C17" s="1171" t="s">
        <v>55</v>
      </c>
    </row>
    <row r="18" spans="1:3" ht="14.25">
      <c r="A18" s="3255"/>
      <c r="B18" s="3253"/>
      <c r="C18" s="1171" t="s">
        <v>56</v>
      </c>
    </row>
    <row r="19" spans="1:3" ht="14.25">
      <c r="A19" s="3255"/>
      <c r="B19" s="3251" t="s">
        <v>57</v>
      </c>
      <c r="C19" s="3252"/>
    </row>
    <row r="20" spans="1:3" ht="14.25">
      <c r="A20" s="1172" t="s">
        <v>58</v>
      </c>
      <c r="B20" s="1173"/>
      <c r="C20" s="1174"/>
    </row>
    <row r="21" spans="1:3" ht="14.25">
      <c r="A21" s="3254" t="s">
        <v>59</v>
      </c>
      <c r="B21" s="3251" t="s">
        <v>60</v>
      </c>
      <c r="C21" s="3252"/>
    </row>
    <row r="22" spans="1:3" ht="14.25">
      <c r="A22" s="3254"/>
      <c r="B22" s="3251" t="s">
        <v>61</v>
      </c>
      <c r="C22" s="3252"/>
    </row>
    <row r="23" spans="1:3" ht="14.25">
      <c r="A23" s="3254"/>
      <c r="B23" s="3251" t="s">
        <v>62</v>
      </c>
      <c r="C23" s="3252"/>
    </row>
    <row r="24" spans="1:3" ht="14.25">
      <c r="A24" s="3254"/>
      <c r="B24" s="3257" t="s">
        <v>63</v>
      </c>
      <c r="C24" s="1175" t="s">
        <v>837</v>
      </c>
    </row>
    <row r="25" spans="1:3" ht="14.25">
      <c r="A25" s="3254"/>
      <c r="B25" s="3258"/>
      <c r="C25" s="1175" t="s">
        <v>838</v>
      </c>
    </row>
    <row r="26" spans="1:3" ht="14.25">
      <c r="A26" s="3254"/>
      <c r="B26" s="3258"/>
      <c r="C26" s="1175" t="s">
        <v>839</v>
      </c>
    </row>
    <row r="27" spans="1:3" ht="14.25">
      <c r="A27" s="3254"/>
      <c r="B27" s="3258"/>
      <c r="C27" s="1175" t="s">
        <v>840</v>
      </c>
    </row>
    <row r="28" spans="1:3" ht="14.25">
      <c r="A28" s="3254"/>
      <c r="B28" s="3258"/>
      <c r="C28" s="1175" t="s">
        <v>841</v>
      </c>
    </row>
    <row r="29" spans="1:3" ht="14.25">
      <c r="A29" s="3254"/>
      <c r="B29" s="3258"/>
      <c r="C29" s="1175" t="s">
        <v>842</v>
      </c>
    </row>
    <row r="30" spans="1:3" ht="14.25">
      <c r="A30" s="3254"/>
      <c r="B30" s="3258"/>
      <c r="C30" s="1175" t="s">
        <v>843</v>
      </c>
    </row>
    <row r="31" spans="1:3" ht="14.25">
      <c r="A31" s="3254"/>
      <c r="B31" s="3258"/>
      <c r="C31" s="1175" t="s">
        <v>844</v>
      </c>
    </row>
    <row r="32" spans="1:3" ht="14.25">
      <c r="A32" s="3254"/>
      <c r="B32" s="3258"/>
      <c r="C32" s="1175" t="s">
        <v>1647</v>
      </c>
    </row>
    <row r="33" spans="1:3" ht="14.25">
      <c r="A33" s="3254"/>
      <c r="B33" s="3248" t="s">
        <v>1653</v>
      </c>
      <c r="C33" s="1175" t="s">
        <v>1648</v>
      </c>
    </row>
    <row r="34" spans="1:3" ht="14.25">
      <c r="A34" s="3254"/>
      <c r="B34" s="3249"/>
      <c r="C34" s="1180" t="s">
        <v>1649</v>
      </c>
    </row>
    <row r="35" spans="1:3" ht="14.25">
      <c r="A35" s="3254"/>
      <c r="B35" s="3249"/>
      <c r="C35" s="1181" t="s">
        <v>1650</v>
      </c>
    </row>
    <row r="36" spans="1:3" ht="14.25">
      <c r="A36" s="3254"/>
      <c r="B36" s="3249"/>
      <c r="C36" s="1181" t="s">
        <v>1651</v>
      </c>
    </row>
    <row r="37" spans="1:3" ht="14.25">
      <c r="A37" s="3254"/>
      <c r="B37" s="325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43242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9" t="s">
        <v>1928</v>
      </c>
      <c r="B25" s="3259"/>
      <c r="C25" s="3259"/>
      <c r="D25" s="3259"/>
      <c r="E25" s="3259"/>
      <c r="F25" s="3259"/>
      <c r="G25" s="3259"/>
    </row>
    <row r="26" spans="1:7" ht="20.25" customHeight="1">
      <c r="A26" s="3260" t="s">
        <v>1929</v>
      </c>
      <c r="B26" s="3260"/>
      <c r="C26" s="3260"/>
      <c r="D26" s="3260" t="s">
        <v>1930</v>
      </c>
      <c r="E26" s="3260"/>
      <c r="F26" s="3260"/>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1"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61"/>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1"/>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1"/>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1"/>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2018-05-22T03:28:17Z</dcterms:modified>
</cp:coreProperties>
</file>