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北保-密云询价\"/>
    </mc:Choice>
  </mc:AlternateContent>
  <xr:revisionPtr revIDLastSave="0" documentId="13_ncr:1_{DE973774-E08D-4961-A41A-62A956085597}" xr6:coauthVersionLast="47" xr6:coauthVersionMax="47" xr10:uidLastSave="{00000000-0000-0000-0000-000000000000}"/>
  <bookViews>
    <workbookView xWindow="-120" yWindow="-120" windowWidth="38640" windowHeight="21240" tabRatio="899" firstSheet="7"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r:id="rId44"/>
    <sheet name="案例" sheetId="80"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4" i="80" l="1"/>
  <c r="O5" i="80"/>
  <c r="O6" i="80"/>
  <c r="O7" i="80"/>
  <c r="G47" i="33" s="1"/>
  <c r="O8" i="80"/>
  <c r="O9" i="80"/>
  <c r="O10" i="80"/>
  <c r="O3" i="80"/>
  <c r="I47" i="33"/>
  <c r="E47" i="33"/>
  <c r="O11" i="80"/>
  <c r="O12" i="80"/>
  <c r="D60" i="78"/>
  <c r="C60" i="78"/>
  <c r="D53" i="78"/>
  <c r="D52" i="78"/>
  <c r="D51" i="78" s="1"/>
  <c r="B51" i="78"/>
  <c r="B56" i="78" s="1"/>
  <c r="B55" i="78" l="1"/>
  <c r="D55" i="78" s="1"/>
  <c r="C51" i="78"/>
  <c r="C56" i="78" s="1"/>
  <c r="C58" i="78" s="1"/>
  <c r="B62" i="78"/>
  <c r="B54" i="78"/>
  <c r="D54" i="78" s="1"/>
  <c r="D56" i="78" l="1"/>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1" i="79"/>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P38" i="71"/>
  <c r="O38" i="71"/>
  <c r="N38" i="71"/>
  <c r="X31" i="71" s="1"/>
  <c r="Q37" i="71"/>
  <c r="AB37" i="71" s="1"/>
  <c r="P37" i="71"/>
  <c r="O37" i="71"/>
  <c r="Y37" i="71" s="1"/>
  <c r="Z37" i="71" s="1"/>
  <c r="N37" i="71"/>
  <c r="B38" i="71" s="1"/>
  <c r="D37" i="71"/>
  <c r="Q36" i="71"/>
  <c r="P36" i="71"/>
  <c r="O36" i="71"/>
  <c r="N36" i="71"/>
  <c r="X36" i="71" s="1"/>
  <c r="Q35" i="71"/>
  <c r="AB35" i="71"/>
  <c r="P35" i="71"/>
  <c r="O35" i="71"/>
  <c r="Y35" i="71" s="1"/>
  <c r="Z35" i="71" s="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s="1"/>
  <c r="E32" i="71" s="1"/>
  <c r="U32" i="71" s="1"/>
  <c r="B34" i="71"/>
  <c r="B35" i="71" s="1"/>
  <c r="B36" i="71" s="1"/>
  <c r="S36" i="71" s="1"/>
  <c r="B39" i="71"/>
  <c r="B40" i="71" s="1"/>
  <c r="S40" i="71" s="1"/>
  <c r="E38" i="71"/>
  <c r="E39" i="71" s="1"/>
  <c r="E40" i="71"/>
  <c r="U40" i="71" s="1"/>
  <c r="N68" i="71"/>
  <c r="E34" i="71"/>
  <c r="C30" i="71"/>
  <c r="X34" i="71"/>
  <c r="F51" i="71"/>
  <c r="F52" i="71" s="1"/>
  <c r="V52" i="71" s="1"/>
  <c r="B28" i="71"/>
  <c r="B27" i="71" s="1"/>
  <c r="B26" i="71"/>
  <c r="D30" i="71"/>
  <c r="D47" i="71"/>
  <c r="P28" i="71"/>
  <c r="E60" i="71"/>
  <c r="U60" i="71" s="1"/>
  <c r="U68" i="71"/>
  <c r="E67" i="71"/>
  <c r="Q28" i="71"/>
  <c r="C59" i="71"/>
  <c r="D58" i="71"/>
  <c r="D62" i="71"/>
  <c r="B66" i="71"/>
  <c r="N65" i="71" s="1"/>
  <c r="T68" i="71"/>
  <c r="D68" i="71"/>
  <c r="Q68" i="71"/>
  <c r="E71" i="71"/>
  <c r="E70" i="71" s="1"/>
  <c r="D72" i="71"/>
  <c r="D76" i="71"/>
  <c r="E79" i="71"/>
  <c r="E78" i="71" s="1"/>
  <c r="C87" i="71"/>
  <c r="C86" i="71" s="1"/>
  <c r="D86" i="71" s="1"/>
  <c r="S28" i="71"/>
  <c r="F28" i="71"/>
  <c r="F27" i="71" s="1"/>
  <c r="F26" i="71"/>
  <c r="N66" i="71"/>
  <c r="C60" i="71"/>
  <c r="D59"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J18" i="36"/>
  <c r="AC18" i="36" s="1"/>
  <c r="H18" i="35"/>
  <c r="AB18" i="35" s="1"/>
  <c r="J18" i="35"/>
  <c r="H21" i="37"/>
  <c r="U21" i="37" s="1"/>
  <c r="F21" i="37"/>
  <c r="AA21" i="37" s="1"/>
  <c r="F84" i="34"/>
  <c r="G84" i="34" s="1"/>
  <c r="H21" i="34"/>
  <c r="AB21" i="34" s="1"/>
  <c r="H21" i="33"/>
  <c r="U21" i="33" s="1"/>
  <c r="F21" i="33"/>
  <c r="AA21" i="33" s="1"/>
  <c r="H1" i="69"/>
  <c r="AC25" i="40"/>
  <c r="U25" i="40"/>
  <c r="U29" i="39"/>
  <c r="W18" i="36"/>
  <c r="AB21" i="37"/>
  <c r="S21" i="37"/>
  <c r="U21" i="34"/>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AZ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W38" i="40" s="1"/>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H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AA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U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s="1"/>
  <c r="B73" i="35"/>
  <c r="J23" i="35" s="1"/>
  <c r="AC23" i="35" s="1"/>
  <c r="H23" i="35"/>
  <c r="U23" i="35" s="1"/>
  <c r="B57" i="35"/>
  <c r="B61" i="35"/>
  <c r="B59" i="35"/>
  <c r="B131" i="34"/>
  <c r="B129" i="34"/>
  <c r="B127" i="34"/>
  <c r="B99" i="34"/>
  <c r="B97" i="34"/>
  <c r="B95" i="34"/>
  <c r="J30" i="34" s="1"/>
  <c r="B93" i="34"/>
  <c r="B75" i="34"/>
  <c r="B73" i="34"/>
  <c r="B71" i="34"/>
  <c r="B130" i="33"/>
  <c r="B128" i="33"/>
  <c r="B126" i="33"/>
  <c r="B98" i="33"/>
  <c r="B96" i="33"/>
  <c r="B94" i="33"/>
  <c r="B74" i="33"/>
  <c r="B72" i="33"/>
  <c r="J13" i="33" s="1"/>
  <c r="AC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Q11" i="34"/>
  <c r="Z11" i="34" s="1"/>
  <c r="Q10" i="34"/>
  <c r="Z10" i="34"/>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B126" i="21"/>
  <c r="B98" i="21"/>
  <c r="H31" i="21"/>
  <c r="AB31" i="21" s="1"/>
  <c r="B96" i="21"/>
  <c r="B94" i="21"/>
  <c r="J29" i="21" s="1"/>
  <c r="AC29" i="21"/>
  <c r="B92" i="21"/>
  <c r="B90" i="21"/>
  <c r="B74" i="2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36" i="39"/>
  <c r="S36" i="39" s="1"/>
  <c r="H36" i="39"/>
  <c r="J36" i="39"/>
  <c r="AC36" i="39" s="1"/>
  <c r="U9" i="39"/>
  <c r="W40" i="39"/>
  <c r="W25" i="37"/>
  <c r="W31" i="37"/>
  <c r="E103" i="37"/>
  <c r="F103" i="37"/>
  <c r="G103" i="37" s="1"/>
  <c r="H103" i="37" s="1"/>
  <c r="I103" i="37" s="1"/>
  <c r="J103" i="37" s="1"/>
  <c r="K103" i="37" s="1"/>
  <c r="L103" i="37" s="1"/>
  <c r="M103" i="37" s="1"/>
  <c r="F29" i="36"/>
  <c r="AA29" i="36" s="1"/>
  <c r="F16" i="36"/>
  <c r="W28" i="36"/>
  <c r="H22" i="35"/>
  <c r="AB22" i="35"/>
  <c r="W22" i="35"/>
  <c r="U34" i="35"/>
  <c r="F36" i="34"/>
  <c r="J35" i="34"/>
  <c r="U34" i="34"/>
  <c r="H39" i="33"/>
  <c r="AB39" i="33" s="1"/>
  <c r="U33" i="33"/>
  <c r="U35" i="33"/>
  <c r="S40" i="33"/>
  <c r="W33" i="33"/>
  <c r="W39" i="33"/>
  <c r="S27" i="35"/>
  <c r="F11" i="40"/>
  <c r="S11" i="40" s="1"/>
  <c r="H11" i="40"/>
  <c r="AB11" i="40"/>
  <c r="AB39" i="40"/>
  <c r="AA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H19" i="39"/>
  <c r="AB19" i="39" s="1"/>
  <c r="F19" i="39"/>
  <c r="AA19" i="39" s="1"/>
  <c r="H17" i="39"/>
  <c r="F17" i="39"/>
  <c r="AA17" i="39" s="1"/>
  <c r="J23" i="40"/>
  <c r="AC23" i="40"/>
  <c r="F21" i="40"/>
  <c r="J21" i="40"/>
  <c r="W21" i="40"/>
  <c r="H42" i="39"/>
  <c r="AB42" i="39" s="1"/>
  <c r="J34" i="39"/>
  <c r="AC34" i="39" s="1"/>
  <c r="J31" i="39"/>
  <c r="AC31" i="39" s="1"/>
  <c r="H27" i="39"/>
  <c r="U27" i="39" s="1"/>
  <c r="J19" i="39"/>
  <c r="AC19" i="39" s="1"/>
  <c r="J17" i="39"/>
  <c r="W17" i="39" s="1"/>
  <c r="J27" i="39"/>
  <c r="AC27" i="39" s="1"/>
  <c r="F27" i="39"/>
  <c r="F11" i="21"/>
  <c r="S11" i="21" s="1"/>
  <c r="S40" i="21"/>
  <c r="U34" i="21"/>
  <c r="H11" i="39"/>
  <c r="S40" i="39"/>
  <c r="C15" i="39"/>
  <c r="H32" i="33"/>
  <c r="AB32" i="33"/>
  <c r="H11" i="21"/>
  <c r="U11" i="21" s="1"/>
  <c r="J11" i="21"/>
  <c r="W11" i="21" s="1"/>
  <c r="H37" i="40"/>
  <c r="U37" i="40"/>
  <c r="H36" i="40"/>
  <c r="F35" i="40"/>
  <c r="AA35" i="40"/>
  <c r="H23" i="40"/>
  <c r="AB23" i="40" s="1"/>
  <c r="H17" i="40"/>
  <c r="U17" i="40" s="1"/>
  <c r="J15" i="40"/>
  <c r="W15" i="40" s="1"/>
  <c r="J11" i="40"/>
  <c r="AC11" i="40" s="1"/>
  <c r="AB8" i="39"/>
  <c r="AB12" i="35"/>
  <c r="AB12" i="36"/>
  <c r="W32" i="40"/>
  <c r="F37" i="39"/>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J34" i="37"/>
  <c r="W34" i="37"/>
  <c r="J33" i="37"/>
  <c r="AC33" i="37" s="1"/>
  <c r="H40" i="34"/>
  <c r="U40" i="34"/>
  <c r="E114" i="34"/>
  <c r="H36" i="34"/>
  <c r="U36" i="34" s="1"/>
  <c r="F37" i="34"/>
  <c r="AA37" i="34" s="1"/>
  <c r="F28" i="34"/>
  <c r="F25" i="34"/>
  <c r="S25" i="34" s="1"/>
  <c r="H23" i="34"/>
  <c r="U23" i="34"/>
  <c r="J23" i="34"/>
  <c r="F19" i="34"/>
  <c r="H17" i="34"/>
  <c r="U17" i="34"/>
  <c r="F15" i="34"/>
  <c r="AA15" i="34" s="1"/>
  <c r="J15" i="34"/>
  <c r="H15" i="34"/>
  <c r="AB15" i="34" s="1"/>
  <c r="W8" i="34"/>
  <c r="J28" i="34"/>
  <c r="F41" i="33"/>
  <c r="AA41" i="33"/>
  <c r="S38" i="33"/>
  <c r="F32" i="33"/>
  <c r="AA32" i="33"/>
  <c r="J19" i="33"/>
  <c r="J15" i="33"/>
  <c r="W15" i="33" s="1"/>
  <c r="AC15" i="33"/>
  <c r="F11" i="33"/>
  <c r="AA11" i="33" s="1"/>
  <c r="W40" i="33"/>
  <c r="F37" i="40"/>
  <c r="AA37" i="40" s="1"/>
  <c r="F36" i="40"/>
  <c r="AA36" i="40"/>
  <c r="H28" i="40"/>
  <c r="F23" i="40"/>
  <c r="AA23" i="40"/>
  <c r="F17" i="40"/>
  <c r="J17" i="40"/>
  <c r="W17" i="40"/>
  <c r="F15" i="40"/>
  <c r="S15" i="40" s="1"/>
  <c r="H15" i="40"/>
  <c r="AB15" i="40" s="1"/>
  <c r="F29" i="35"/>
  <c r="S29" i="35" s="1"/>
  <c r="H29" i="35"/>
  <c r="H33" i="37"/>
  <c r="F33" i="37"/>
  <c r="AA33" i="37" s="1"/>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s="1"/>
  <c r="J44" i="21"/>
  <c r="AC44" i="21" s="1"/>
  <c r="H44" i="21"/>
  <c r="F44" i="21"/>
  <c r="AA44" i="21" s="1"/>
  <c r="H46" i="21"/>
  <c r="U46" i="21"/>
  <c r="J46" i="21"/>
  <c r="F46" i="21"/>
  <c r="AA46" i="2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9" i="21"/>
  <c r="U29" i="21"/>
  <c r="J31" i="21"/>
  <c r="AC31" i="21" s="1"/>
  <c r="F31" i="21"/>
  <c r="S31" i="21"/>
  <c r="F27" i="33"/>
  <c r="AA27" i="33" s="1"/>
  <c r="H13" i="33"/>
  <c r="U13" i="33" s="1"/>
  <c r="F13" i="33"/>
  <c r="J29" i="33"/>
  <c r="H29" i="33"/>
  <c r="U29" i="33"/>
  <c r="F29" i="33"/>
  <c r="S29" i="33" s="1"/>
  <c r="H45" i="33"/>
  <c r="U45" i="33"/>
  <c r="J45" i="33"/>
  <c r="W45" i="33" s="1"/>
  <c r="F45" i="33"/>
  <c r="AA45" i="33"/>
  <c r="J14" i="34"/>
  <c r="W14" i="34" s="1"/>
  <c r="F14" i="34"/>
  <c r="H14" i="34"/>
  <c r="H32" i="34"/>
  <c r="F32" i="34"/>
  <c r="J32" i="34"/>
  <c r="W32" i="34"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AA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s="1"/>
  <c r="F13" i="35"/>
  <c r="J13" i="35"/>
  <c r="AC13" i="35"/>
  <c r="H13" i="35"/>
  <c r="U13" i="35" s="1"/>
  <c r="J35" i="35"/>
  <c r="AC35" i="35" s="1"/>
  <c r="F35" i="35"/>
  <c r="AA35" i="35"/>
  <c r="H35" i="35"/>
  <c r="H13" i="37"/>
  <c r="F13" i="37"/>
  <c r="S13" i="37" s="1"/>
  <c r="J13" i="37"/>
  <c r="W13" i="37" s="1"/>
  <c r="F28" i="37"/>
  <c r="AA28" i="37" s="1"/>
  <c r="J28" i="37"/>
  <c r="AC28" i="37" s="1"/>
  <c r="H28" i="37"/>
  <c r="H38" i="37"/>
  <c r="J38" i="37"/>
  <c r="AC38" i="37" s="1"/>
  <c r="F38" i="37"/>
  <c r="S38" i="37"/>
  <c r="F43" i="39"/>
  <c r="AA43" i="39" s="1"/>
  <c r="H43" i="39"/>
  <c r="J14" i="39"/>
  <c r="AC14" i="39" s="1"/>
  <c r="F14" i="39"/>
  <c r="S14" i="39" s="1"/>
  <c r="H14" i="39"/>
  <c r="AB14" i="39" s="1"/>
  <c r="H12" i="40"/>
  <c r="AB12" i="40" s="1"/>
  <c r="H30" i="40"/>
  <c r="AB30" i="40"/>
  <c r="F33" i="40"/>
  <c r="AA33" i="40" s="1"/>
  <c r="H33" i="40"/>
  <c r="U33" i="40"/>
  <c r="J35" i="40"/>
  <c r="AC35" i="40" s="1"/>
  <c r="J37" i="40"/>
  <c r="AC37" i="40"/>
  <c r="H13" i="40"/>
  <c r="U13" i="40" s="1"/>
  <c r="J13" i="40"/>
  <c r="W13" i="40"/>
  <c r="F13" i="40"/>
  <c r="F14" i="37"/>
  <c r="AA14" i="37" s="1"/>
  <c r="S14" i="37"/>
  <c r="F27" i="37"/>
  <c r="AA27" i="37" s="1"/>
  <c r="J13" i="39"/>
  <c r="W13" i="39" s="1"/>
  <c r="H13" i="39"/>
  <c r="U13" i="39" s="1"/>
  <c r="H14" i="40"/>
  <c r="AB14" i="40"/>
  <c r="J14" i="40"/>
  <c r="W14" i="40" s="1"/>
  <c r="F14" i="40"/>
  <c r="J14" i="37"/>
  <c r="J27" i="37"/>
  <c r="AC27" i="37"/>
  <c r="AA44" i="33"/>
  <c r="U46" i="33"/>
  <c r="J36" i="37"/>
  <c r="AC36" i="37" s="1"/>
  <c r="J10" i="36"/>
  <c r="AC10" i="36" s="1"/>
  <c r="S11" i="36"/>
  <c r="S45" i="33"/>
  <c r="AB45" i="33"/>
  <c r="BA585" i="3"/>
  <c r="F17" i="21"/>
  <c r="AA17" i="21" s="1"/>
  <c r="H17" i="21"/>
  <c r="AB17" i="21" s="1"/>
  <c r="F15" i="21"/>
  <c r="S15" i="21" s="1"/>
  <c r="J41" i="39"/>
  <c r="W41" i="39" s="1"/>
  <c r="G540" i="3"/>
  <c r="G532" i="3"/>
  <c r="G531" i="3"/>
  <c r="G523" i="3"/>
  <c r="G518" i="3"/>
  <c r="G510" i="3"/>
  <c r="G504" i="3"/>
  <c r="G496" i="3"/>
  <c r="G580" i="3"/>
  <c r="G572" i="3"/>
  <c r="G568" i="3"/>
  <c r="G564" i="3"/>
  <c r="G560" i="3"/>
  <c r="G554" i="3"/>
  <c r="BL568" i="3"/>
  <c r="BL564" i="3"/>
  <c r="BL560" i="3"/>
  <c r="BL554" i="3"/>
  <c r="BL534" i="3"/>
  <c r="BL530" i="3"/>
  <c r="BL566" i="3"/>
  <c r="BL562" i="3"/>
  <c r="BL556" i="3"/>
  <c r="BL552" i="3"/>
  <c r="BL536" i="3"/>
  <c r="G533" i="3"/>
  <c r="G525" i="3"/>
  <c r="BL510" i="3"/>
  <c r="BA580" i="3"/>
  <c r="BA568" i="3"/>
  <c r="BA566" i="3"/>
  <c r="AZ566" i="3" s="1"/>
  <c r="BA564" i="3"/>
  <c r="AZ564" i="3" s="1"/>
  <c r="BA562" i="3"/>
  <c r="BA560" i="3"/>
  <c r="BA558" i="3"/>
  <c r="AZ558" i="3"/>
  <c r="BA556" i="3"/>
  <c r="BA554" i="3"/>
  <c r="AZ554" i="3"/>
  <c r="BA552" i="3"/>
  <c r="AZ552" i="3" s="1"/>
  <c r="BA532" i="3"/>
  <c r="AZ532" i="3" s="1"/>
  <c r="BA510" i="3"/>
  <c r="AZ510" i="3" s="1"/>
  <c r="BA506" i="3"/>
  <c r="BA587" i="3"/>
  <c r="BA579" i="3"/>
  <c r="BA569" i="3"/>
  <c r="BA567" i="3"/>
  <c r="BA565" i="3"/>
  <c r="BA563" i="3"/>
  <c r="BA561" i="3"/>
  <c r="BA559" i="3"/>
  <c r="BA555" i="3"/>
  <c r="BA553" i="3"/>
  <c r="BA537" i="3"/>
  <c r="BA527" i="3"/>
  <c r="BA501" i="3"/>
  <c r="AZ501" i="3" s="1"/>
  <c r="AZ560" i="3"/>
  <c r="G581" i="3"/>
  <c r="G579" i="3"/>
  <c r="G573" i="3"/>
  <c r="G571" i="3"/>
  <c r="G569" i="3"/>
  <c r="G567" i="3"/>
  <c r="G565" i="3"/>
  <c r="G563" i="3"/>
  <c r="G561" i="3"/>
  <c r="BL558" i="3"/>
  <c r="BA557" i="3"/>
  <c r="AC557" i="3"/>
  <c r="G557" i="3" s="1"/>
  <c r="BQ557" i="3"/>
  <c r="BL557" i="3" s="1"/>
  <c r="BQ583" i="3"/>
  <c r="BQ581" i="3"/>
  <c r="BL581" i="3"/>
  <c r="BQ579" i="3"/>
  <c r="BQ577" i="3"/>
  <c r="BQ575" i="3"/>
  <c r="BL575" i="3"/>
  <c r="BQ573" i="3"/>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1" i="3"/>
  <c r="G539" i="3"/>
  <c r="G537" i="3"/>
  <c r="BQ555" i="3"/>
  <c r="BL555" i="3"/>
  <c r="BQ553" i="3"/>
  <c r="BL553" i="3" s="1"/>
  <c r="AZ553" i="3"/>
  <c r="BQ551" i="3"/>
  <c r="BQ549" i="3"/>
  <c r="BQ547" i="3"/>
  <c r="BQ545" i="3"/>
  <c r="BQ543" i="3"/>
  <c r="BL543" i="3" s="1"/>
  <c r="BQ541" i="3"/>
  <c r="BQ539" i="3"/>
  <c r="BQ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H24" i="35"/>
  <c r="AB24" i="35" s="1"/>
  <c r="H23" i="37"/>
  <c r="U23" i="37" s="1"/>
  <c r="AB23" i="37"/>
  <c r="J32" i="37"/>
  <c r="AC32" i="37" s="1"/>
  <c r="F36" i="37"/>
  <c r="AA36" i="37"/>
  <c r="F37" i="37"/>
  <c r="AA37" i="37" s="1"/>
  <c r="F31" i="40"/>
  <c r="AA31" i="40"/>
  <c r="H31" i="40"/>
  <c r="U31" i="40" s="1"/>
  <c r="F32" i="40"/>
  <c r="S32" i="40" s="1"/>
  <c r="H32" i="40"/>
  <c r="AB32" i="40" s="1"/>
  <c r="J36" i="40"/>
  <c r="AC36" i="40" s="1"/>
  <c r="W36" i="40"/>
  <c r="H19" i="37"/>
  <c r="AB19" i="37" s="1"/>
  <c r="H42" i="33"/>
  <c r="AB42" i="33" s="1"/>
  <c r="J43" i="33"/>
  <c r="W43" i="33" s="1"/>
  <c r="AC43" i="33"/>
  <c r="S28" i="31"/>
  <c r="S27" i="31"/>
  <c r="S26" i="31"/>
  <c r="U14" i="40"/>
  <c r="W23" i="35"/>
  <c r="U26" i="37"/>
  <c r="W47" i="34"/>
  <c r="AC45" i="33"/>
  <c r="U19" i="21"/>
  <c r="W44" i="21"/>
  <c r="F43" i="33"/>
  <c r="S43" i="33" s="1"/>
  <c r="AA43" i="33"/>
  <c r="W15" i="34"/>
  <c r="AC15" i="34"/>
  <c r="W16" i="35"/>
  <c r="W40" i="37"/>
  <c r="H37" i="21"/>
  <c r="U37" i="21" s="1"/>
  <c r="S42" i="2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J15" i="37"/>
  <c r="W15" i="37"/>
  <c r="AT6" i="3"/>
  <c r="H19" i="40"/>
  <c r="U19" i="40" s="1"/>
  <c r="F19" i="40"/>
  <c r="S19" i="40" s="1"/>
  <c r="AC13" i="40"/>
  <c r="AB33" i="40"/>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44" i="3"/>
  <c r="AZ168" i="3"/>
  <c r="G530" i="3"/>
  <c r="G522" i="3"/>
  <c r="G516"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BL358" i="3"/>
  <c r="AZ358" i="3" s="1"/>
  <c r="G359" i="3"/>
  <c r="BA361" i="3"/>
  <c r="AZ361" i="3"/>
  <c r="BL362" i="3"/>
  <c r="G363" i="3"/>
  <c r="BA365" i="3"/>
  <c r="BL366" i="3"/>
  <c r="G367" i="3"/>
  <c r="BA369" i="3"/>
  <c r="AZ369" i="3"/>
  <c r="BL370" i="3"/>
  <c r="AZ370" i="3" s="1"/>
  <c r="G371" i="3"/>
  <c r="BA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M5" i="3"/>
  <c r="G548" i="3"/>
  <c r="G538" i="3"/>
  <c r="G502" i="3"/>
  <c r="BS5" i="3"/>
  <c r="BI5" i="3"/>
  <c r="G17" i="3"/>
  <c r="BA17" i="3"/>
  <c r="BT5" i="3"/>
  <c r="BA15" i="3"/>
  <c r="G509" i="3"/>
  <c r="F83" i="43"/>
  <c r="H85" i="43" s="1"/>
  <c r="F50" i="43"/>
  <c r="H54" i="43" s="1"/>
  <c r="F72" i="43"/>
  <c r="H75" i="43" s="1"/>
  <c r="U43" i="21"/>
  <c r="U35" i="21"/>
  <c r="AC35" i="21"/>
  <c r="AC11" i="39"/>
  <c r="AZ563" i="3"/>
  <c r="W37" i="37"/>
  <c r="W44" i="34"/>
  <c r="AC44" i="34"/>
  <c r="S15" i="37"/>
  <c r="J37" i="33"/>
  <c r="W37" i="33" s="1"/>
  <c r="AC17" i="34"/>
  <c r="F106" i="33"/>
  <c r="G106" i="33" s="1"/>
  <c r="H106" i="33" s="1"/>
  <c r="I106" i="33" s="1"/>
  <c r="J106" i="33" s="1"/>
  <c r="K106" i="33" s="1"/>
  <c r="L106" i="33" s="1"/>
  <c r="M106" i="33" s="1"/>
  <c r="J34" i="33"/>
  <c r="W34" i="33" s="1"/>
  <c r="F33" i="34"/>
  <c r="S33" i="34" s="1"/>
  <c r="W12" i="36"/>
  <c r="AC12" i="36"/>
  <c r="H20" i="36"/>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B23" i="35"/>
  <c r="AB29" i="36"/>
  <c r="U29" i="36"/>
  <c r="H32" i="37"/>
  <c r="AB32" i="37" s="1"/>
  <c r="H27" i="40"/>
  <c r="U27" i="40"/>
  <c r="J27" i="40"/>
  <c r="AC27" i="40" s="1"/>
  <c r="F27" i="40"/>
  <c r="S27" i="40"/>
  <c r="J30" i="40"/>
  <c r="AC30" i="40" s="1"/>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F39" i="39"/>
  <c r="S39" i="39" s="1"/>
  <c r="J39" i="39"/>
  <c r="AC39" i="39" s="1"/>
  <c r="E96" i="39"/>
  <c r="F96" i="39" s="1"/>
  <c r="G96" i="39" s="1"/>
  <c r="AZ353" i="3"/>
  <c r="AZ386" i="3"/>
  <c r="C40" i="11"/>
  <c r="AZ256" i="3"/>
  <c r="AZ69" i="3"/>
  <c r="AZ74" i="3"/>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C12" i="39"/>
  <c r="W12" i="39"/>
  <c r="AC39" i="40"/>
  <c r="W39" i="40"/>
  <c r="W12" i="33"/>
  <c r="AC12" i="33"/>
  <c r="AA32" i="36"/>
  <c r="S32" i="36"/>
  <c r="AZ473" i="3"/>
  <c r="BL14" i="3"/>
  <c r="U30" i="33"/>
  <c r="AC13" i="34"/>
  <c r="AA47" i="34"/>
  <c r="W28" i="37"/>
  <c r="S19" i="39"/>
  <c r="F12" i="33"/>
  <c r="AA12" i="33" s="1"/>
  <c r="H12" i="39"/>
  <c r="AB12" i="39"/>
  <c r="F39" i="40"/>
  <c r="BA14" i="3"/>
  <c r="AZ14" i="3" s="1"/>
  <c r="AZ367" i="3"/>
  <c r="AZ254" i="3"/>
  <c r="AZ297" i="3"/>
  <c r="B12" i="1"/>
  <c r="E12" i="1" s="1"/>
  <c r="B10" i="1"/>
  <c r="E10" i="1" s="1"/>
  <c r="K12" i="1"/>
  <c r="M12" i="1" s="1"/>
  <c r="S13" i="1"/>
  <c r="AR13" i="1" s="1"/>
  <c r="R13" i="1"/>
  <c r="J51" i="67"/>
  <c r="C42" i="1"/>
  <c r="C24" i="12" s="1"/>
  <c r="AA34" i="33"/>
  <c r="B41" i="1"/>
  <c r="F48" i="9" s="1"/>
  <c r="O52" i="9" s="1"/>
  <c r="AB37" i="40"/>
  <c r="S35" i="40"/>
  <c r="S23" i="40"/>
  <c r="AC17" i="40"/>
  <c r="AC15" i="40"/>
  <c r="AB27" i="40"/>
  <c r="S30"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U12" i="39"/>
  <c r="S23" i="36"/>
  <c r="U13" i="36"/>
  <c r="U26" i="36"/>
  <c r="AA26" i="36"/>
  <c r="AA34" i="36"/>
  <c r="AC26" i="36"/>
  <c r="W14" i="36"/>
  <c r="AB14" i="36"/>
  <c r="U22" i="36"/>
  <c r="S24" i="36"/>
  <c r="U24" i="36"/>
  <c r="U23" i="36"/>
  <c r="U16" i="36"/>
  <c r="S14" i="36"/>
  <c r="S23" i="35"/>
  <c r="W24" i="35"/>
  <c r="AB13" i="35"/>
  <c r="U28" i="35"/>
  <c r="AB27" i="35"/>
  <c r="U32" i="35"/>
  <c r="AA33" i="35"/>
  <c r="AC30" i="35"/>
  <c r="S32" i="35"/>
  <c r="S28" i="35"/>
  <c r="AB16" i="35"/>
  <c r="U22" i="35"/>
  <c r="AC20" i="35"/>
  <c r="S22" i="35"/>
  <c r="U14" i="35"/>
  <c r="AC9" i="35"/>
  <c r="W9" i="35"/>
  <c r="W13" i="35"/>
  <c r="F9" i="35"/>
  <c r="S9" i="35" s="1"/>
  <c r="H9" i="35"/>
  <c r="U9" i="35" s="1"/>
  <c r="AB40" i="37"/>
  <c r="S25" i="37"/>
  <c r="W27" i="37"/>
  <c r="AC29" i="37"/>
  <c r="S32" i="37"/>
  <c r="W30" i="37"/>
  <c r="S36" i="37"/>
  <c r="AA38" i="37"/>
  <c r="U32" i="37"/>
  <c r="W38" i="37"/>
  <c r="AC35" i="37"/>
  <c r="S30" i="37"/>
  <c r="S37" i="37"/>
  <c r="AC15" i="37"/>
  <c r="J17" i="37"/>
  <c r="W17" i="37" s="1"/>
  <c r="G73" i="37"/>
  <c r="F17"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H27" i="33"/>
  <c r="AB27" i="33" s="1"/>
  <c r="F87" i="33"/>
  <c r="H25" i="33"/>
  <c r="F25" i="33"/>
  <c r="S25" i="33" s="1"/>
  <c r="J23" i="33"/>
  <c r="AC23" i="33" s="1"/>
  <c r="H23" i="33"/>
  <c r="AB23" i="33" s="1"/>
  <c r="F81" i="33"/>
  <c r="G81" i="33" s="1"/>
  <c r="F19" i="33"/>
  <c r="S19" i="33" s="1"/>
  <c r="J17" i="33"/>
  <c r="AC17" i="33" s="1"/>
  <c r="J10" i="33"/>
  <c r="W10" i="33" s="1"/>
  <c r="H10" i="33"/>
  <c r="U10" i="33" s="1"/>
  <c r="AC11" i="33"/>
  <c r="AB14" i="33"/>
  <c r="W43" i="21"/>
  <c r="W36" i="21"/>
  <c r="AB39" i="21"/>
  <c r="AA43" i="21"/>
  <c r="S39" i="21"/>
  <c r="AA38" i="21"/>
  <c r="AA36" i="21"/>
  <c r="AC40" i="21"/>
  <c r="J15" i="21"/>
  <c r="W15" i="21" s="1"/>
  <c r="F77" i="21"/>
  <c r="G77" i="21"/>
  <c r="F23" i="21"/>
  <c r="S23" i="21" s="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S37" i="40"/>
  <c r="W28" i="40"/>
  <c r="W34" i="40"/>
  <c r="W27" i="40"/>
  <c r="S36" i="40"/>
  <c r="W37" i="40"/>
  <c r="S33" i="40"/>
  <c r="AA15" i="40"/>
  <c r="U11" i="40"/>
  <c r="S31" i="40"/>
  <c r="AB17" i="40"/>
  <c r="U8" i="40"/>
  <c r="S8" i="40"/>
  <c r="AA39" i="39"/>
  <c r="AC41" i="39"/>
  <c r="U42" i="39"/>
  <c r="W25" i="39"/>
  <c r="AC25" i="39"/>
  <c r="S13" i="39"/>
  <c r="AA14" i="39"/>
  <c r="U43" i="39"/>
  <c r="AB43" i="39"/>
  <c r="AB11" i="39"/>
  <c r="U11" i="39"/>
  <c r="AA27" i="39"/>
  <c r="S27" i="39"/>
  <c r="AC17" i="39"/>
  <c r="W31" i="39"/>
  <c r="W34" i="39"/>
  <c r="S8" i="39"/>
  <c r="S20" i="36"/>
  <c r="U32" i="36"/>
  <c r="AC20" i="36"/>
  <c r="AB28" i="36"/>
  <c r="AA13" i="36"/>
  <c r="W9" i="36"/>
  <c r="W22" i="36"/>
  <c r="W23" i="36"/>
  <c r="AB20" i="35"/>
  <c r="U24" i="35"/>
  <c r="S35" i="35"/>
  <c r="W35" i="35"/>
  <c r="AA16" i="35"/>
  <c r="AA35" i="37"/>
  <c r="W36" i="37"/>
  <c r="S27" i="37"/>
  <c r="S28" i="37"/>
  <c r="W32" i="37"/>
  <c r="U36" i="37"/>
  <c r="S40" i="37"/>
  <c r="AB37" i="37"/>
  <c r="AC34" i="37"/>
  <c r="AB35" i="37"/>
  <c r="AA31" i="37"/>
  <c r="U19" i="37"/>
  <c r="AA29" i="37"/>
  <c r="U8" i="37"/>
  <c r="AA40" i="34"/>
  <c r="AB40" i="34"/>
  <c r="U19" i="34"/>
  <c r="W19"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W13" i="33"/>
  <c r="U37" i="33"/>
  <c r="AC28" i="33"/>
  <c r="S28" i="33"/>
  <c r="W9" i="33"/>
  <c r="S44" i="21"/>
  <c r="I101" i="21"/>
  <c r="J101" i="21" s="1"/>
  <c r="K101" i="21" s="1"/>
  <c r="L101" i="21" s="1"/>
  <c r="M101" i="21" s="1"/>
  <c r="F33" i="21"/>
  <c r="AA33" i="21" s="1"/>
  <c r="J33" i="21"/>
  <c r="AC33" i="21" s="1"/>
  <c r="H33" i="21"/>
  <c r="AB33" i="21" s="1"/>
  <c r="F37" i="21"/>
  <c r="AA37" i="21" s="1"/>
  <c r="AA26" i="21"/>
  <c r="AB14" i="21"/>
  <c r="AB46" i="21"/>
  <c r="U40" i="21"/>
  <c r="U31" i="21"/>
  <c r="S35" i="21"/>
  <c r="J37" i="21"/>
  <c r="W37" i="21" s="1"/>
  <c r="H15" i="21"/>
  <c r="U15" i="21" s="1"/>
  <c r="J17" i="21"/>
  <c r="W17" i="21" s="1"/>
  <c r="AC17" i="21"/>
  <c r="AC19" i="21"/>
  <c r="W39" i="21"/>
  <c r="AC14" i="21"/>
  <c r="S46" i="21"/>
  <c r="F29" i="21"/>
  <c r="AA29" i="21" s="1"/>
  <c r="F13" i="21"/>
  <c r="AA13" i="21" s="1"/>
  <c r="AC38" i="21"/>
  <c r="H32" i="21"/>
  <c r="H9" i="21"/>
  <c r="U9" i="21" s="1"/>
  <c r="J9" i="21"/>
  <c r="AC9" i="21" s="1"/>
  <c r="J32" i="21"/>
  <c r="W32" i="21" s="1"/>
  <c r="F32" i="21"/>
  <c r="AA31" i="21"/>
  <c r="U17" i="21"/>
  <c r="W29" i="21"/>
  <c r="S19" i="21"/>
  <c r="S9" i="21"/>
  <c r="AA9" i="21"/>
  <c r="K141" i="21"/>
  <c r="K144" i="21"/>
  <c r="K143" i="21"/>
  <c r="AB25"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AA21" i="39"/>
  <c r="S21" i="39"/>
  <c r="AC17" i="37"/>
  <c r="J19" i="37"/>
  <c r="W19" i="37" s="1"/>
  <c r="AA19" i="37"/>
  <c r="J23" i="37"/>
  <c r="AC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J27" i="33"/>
  <c r="AC27" i="33" s="1"/>
  <c r="U25" i="33"/>
  <c r="AB25" i="33"/>
  <c r="AA25" i="33"/>
  <c r="G87" i="33"/>
  <c r="H87" i="33"/>
  <c r="I87" i="33" s="1"/>
  <c r="J87" i="33" s="1"/>
  <c r="K87" i="33" s="1"/>
  <c r="L87" i="33" s="1"/>
  <c r="M87" i="33" s="1"/>
  <c r="J25" i="33"/>
  <c r="F23" i="33"/>
  <c r="G85" i="33"/>
  <c r="AA19" i="33"/>
  <c r="H19" i="33"/>
  <c r="U19" i="33" s="1"/>
  <c r="AA23" i="21"/>
  <c r="J23" i="21"/>
  <c r="H23" i="21"/>
  <c r="U23" i="21" s="1"/>
  <c r="AP7" i="1"/>
  <c r="AB9" i="21"/>
  <c r="AA32" i="21"/>
  <c r="S32" i="21"/>
  <c r="W9" i="21"/>
  <c r="AB32" i="21"/>
  <c r="U32" i="21"/>
  <c r="A18" i="62"/>
  <c r="B64" i="72" s="1"/>
  <c r="U32" i="39"/>
  <c r="AC32" i="39"/>
  <c r="J11" i="37"/>
  <c r="AC11" i="37" s="1"/>
  <c r="J11" i="34"/>
  <c r="W11" i="34" s="1"/>
  <c r="W25" i="33"/>
  <c r="AC25"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D19" i="9"/>
  <c r="L47" i="67"/>
  <c r="B12" i="76"/>
  <c r="E13" i="76"/>
  <c r="E7" i="76"/>
  <c r="B10" i="76"/>
  <c r="B7" i="76"/>
  <c r="F40" i="67"/>
  <c r="F36" i="67"/>
  <c r="M8" i="15"/>
  <c r="M29" i="15"/>
  <c r="F16" i="67"/>
  <c r="D35" i="9"/>
  <c r="B9" i="76"/>
  <c r="D34" i="9"/>
  <c r="F42" i="67"/>
  <c r="F13" i="67"/>
  <c r="F7" i="67"/>
  <c r="F7" i="73"/>
  <c r="M26" i="67"/>
  <c r="M6" i="67"/>
  <c r="C19" i="9"/>
  <c r="F43" i="67"/>
  <c r="C20" i="9"/>
  <c r="C76" i="67"/>
  <c r="E11" i="76"/>
  <c r="M22" i="67"/>
  <c r="E2" i="69"/>
  <c r="M28" i="67"/>
  <c r="J15" i="67"/>
  <c r="L48" i="67"/>
  <c r="B13" i="76"/>
  <c r="B8" i="76"/>
  <c r="E10" i="76"/>
  <c r="M24" i="67"/>
  <c r="F5" i="73"/>
  <c r="M23" i="67"/>
  <c r="F3" i="73"/>
  <c r="AO13" i="1"/>
  <c r="E2" i="68"/>
  <c r="E9" i="76"/>
  <c r="E8" i="76"/>
  <c r="D6" i="73"/>
  <c r="F6" i="67"/>
  <c r="F37" i="67"/>
  <c r="F20" i="31"/>
  <c r="F6" i="73"/>
  <c r="D20" i="9"/>
  <c r="E12" i="76"/>
  <c r="F4" i="73"/>
  <c r="M29" i="67"/>
  <c r="F9" i="67"/>
  <c r="F42" i="15"/>
  <c r="F26" i="67"/>
  <c r="M8" i="67"/>
  <c r="M9" i="67"/>
  <c r="H17" i="33" l="1"/>
  <c r="U17" i="33" s="1"/>
  <c r="F17" i="33"/>
  <c r="S17" i="33" s="1"/>
  <c r="W8" i="33"/>
  <c r="U15" i="33"/>
  <c r="V48" i="33"/>
  <c r="S15" i="33"/>
  <c r="W27" i="33"/>
  <c r="S27" i="33"/>
  <c r="U27" i="33"/>
  <c r="U11" i="33"/>
  <c r="AA44" i="39"/>
  <c r="S44" i="39"/>
  <c r="AZ498" i="3"/>
  <c r="AZ494" i="3"/>
  <c r="AA14" i="40"/>
  <c r="S14" i="40"/>
  <c r="U23" i="33"/>
  <c r="AB39" i="39"/>
  <c r="U15" i="40"/>
  <c r="S14" i="35"/>
  <c r="AZ336" i="3"/>
  <c r="AZ305" i="3"/>
  <c r="AA13" i="40"/>
  <c r="S13" i="40"/>
  <c r="J46" i="34"/>
  <c r="H46" i="34"/>
  <c r="F46" i="34"/>
  <c r="J25" i="35"/>
  <c r="F25" i="35"/>
  <c r="J12" i="37"/>
  <c r="F12" i="37"/>
  <c r="S12" i="37" s="1"/>
  <c r="J39" i="37"/>
  <c r="F39" i="37"/>
  <c r="S39" i="37" s="1"/>
  <c r="BA534" i="3"/>
  <c r="AZ534" i="3" s="1"/>
  <c r="BA526" i="3"/>
  <c r="AZ526" i="3" s="1"/>
  <c r="BL520" i="3"/>
  <c r="BA520" i="3"/>
  <c r="AZ520" i="3" s="1"/>
  <c r="BL517" i="3"/>
  <c r="BL516" i="3"/>
  <c r="BL513" i="3"/>
  <c r="BA513" i="3"/>
  <c r="AZ513" i="3" s="1"/>
  <c r="BL506" i="3"/>
  <c r="AZ506" i="3" s="1"/>
  <c r="BA505" i="3"/>
  <c r="AZ505" i="3" s="1"/>
  <c r="BA504" i="3"/>
  <c r="BA503" i="3"/>
  <c r="AZ503" i="3" s="1"/>
  <c r="BL500" i="3"/>
  <c r="BA500" i="3"/>
  <c r="AZ500" i="3" s="1"/>
  <c r="BA497" i="3"/>
  <c r="AZ497" i="3" s="1"/>
  <c r="BP5" i="3"/>
  <c r="BL496" i="3"/>
  <c r="BG5" i="3"/>
  <c r="BJ5" i="3"/>
  <c r="AC15" i="21"/>
  <c r="U41" i="39"/>
  <c r="AB13" i="40"/>
  <c r="D121" i="9"/>
  <c r="D7" i="52" s="1"/>
  <c r="D6" i="52"/>
  <c r="AB34" i="36"/>
  <c r="AA23" i="39"/>
  <c r="S23" i="39"/>
  <c r="AA20" i="35"/>
  <c r="S20" i="35"/>
  <c r="U20" i="36"/>
  <c r="AB20" i="36"/>
  <c r="BB5" i="3"/>
  <c r="AZ344" i="3"/>
  <c r="W23" i="39"/>
  <c r="S22" i="36"/>
  <c r="AA22" i="36"/>
  <c r="S25" i="21"/>
  <c r="AA25" i="21"/>
  <c r="BL511" i="3"/>
  <c r="BL539" i="3"/>
  <c r="AB38" i="37"/>
  <c r="U38" i="37"/>
  <c r="H25" i="35"/>
  <c r="F30" i="34"/>
  <c r="U44" i="21"/>
  <c r="AB44" i="21"/>
  <c r="U42" i="21"/>
  <c r="AB42" i="21"/>
  <c r="AB36" i="40"/>
  <c r="U36" i="40"/>
  <c r="AA16" i="36"/>
  <c r="S16" i="36"/>
  <c r="AB41" i="21"/>
  <c r="J27" i="21"/>
  <c r="F27" i="21"/>
  <c r="H27" i="21"/>
  <c r="J30" i="21"/>
  <c r="H30" i="21"/>
  <c r="F30" i="21"/>
  <c r="W45" i="21"/>
  <c r="AC45" i="21"/>
  <c r="F9" i="33"/>
  <c r="AA9" i="33" s="1"/>
  <c r="H9" i="33"/>
  <c r="AA43" i="34"/>
  <c r="S43" i="34"/>
  <c r="AB19" i="33"/>
  <c r="AB36" i="33"/>
  <c r="S37" i="21"/>
  <c r="AA36" i="33"/>
  <c r="S36" i="33"/>
  <c r="AB17" i="39"/>
  <c r="U17" i="39"/>
  <c r="AC8" i="39"/>
  <c r="W8" i="39"/>
  <c r="H45" i="39"/>
  <c r="J45" i="39"/>
  <c r="W45" i="39" s="1"/>
  <c r="W38" i="39"/>
  <c r="AC38" i="39"/>
  <c r="AC31" i="40"/>
  <c r="W31" i="40"/>
  <c r="BA584" i="3"/>
  <c r="AZ584" i="3" s="1"/>
  <c r="BL551" i="3"/>
  <c r="BA547" i="3"/>
  <c r="BA546" i="3"/>
  <c r="AZ546" i="3" s="1"/>
  <c r="BL545" i="3"/>
  <c r="BA545" i="3"/>
  <c r="BA541" i="3"/>
  <c r="BA536" i="3"/>
  <c r="AZ536" i="3" s="1"/>
  <c r="BA533" i="3"/>
  <c r="AZ533" i="3" s="1"/>
  <c r="BA531" i="3"/>
  <c r="AZ530" i="3"/>
  <c r="BA529" i="3"/>
  <c r="AZ529" i="3" s="1"/>
  <c r="AZ525" i="3"/>
  <c r="BA525" i="3"/>
  <c r="BA523" i="3"/>
  <c r="BL522" i="3"/>
  <c r="BA522" i="3"/>
  <c r="AZ522" i="3" s="1"/>
  <c r="BL521" i="3"/>
  <c r="AZ521" i="3" s="1"/>
  <c r="BA521" i="3"/>
  <c r="BA514" i="3"/>
  <c r="AZ514" i="3" s="1"/>
  <c r="BA511" i="3"/>
  <c r="BA509" i="3"/>
  <c r="AZ509" i="3" s="1"/>
  <c r="BA508" i="3"/>
  <c r="AZ508" i="3" s="1"/>
  <c r="BL504" i="3"/>
  <c r="BA499" i="3"/>
  <c r="AZ499" i="3" s="1"/>
  <c r="BH5" i="3"/>
  <c r="BO5" i="3"/>
  <c r="F29" i="6" s="1"/>
  <c r="AC5" i="3"/>
  <c r="G493" i="3"/>
  <c r="AB23" i="21"/>
  <c r="W23" i="37"/>
  <c r="W17" i="33"/>
  <c r="W32" i="33"/>
  <c r="S13" i="21"/>
  <c r="AB15" i="21"/>
  <c r="S12" i="33"/>
  <c r="W29" i="36"/>
  <c r="AB13" i="39"/>
  <c r="AC14" i="40"/>
  <c r="W19" i="40"/>
  <c r="AB31" i="40"/>
  <c r="AA35" i="33"/>
  <c r="AC13" i="39"/>
  <c r="AA19" i="40"/>
  <c r="AC34" i="33"/>
  <c r="U33" i="34"/>
  <c r="AB33" i="34"/>
  <c r="AB35" i="40"/>
  <c r="U35" i="40"/>
  <c r="U12" i="40"/>
  <c r="BE5" i="3"/>
  <c r="BD5" i="3"/>
  <c r="U31" i="37"/>
  <c r="AB31" i="37"/>
  <c r="AA24" i="35"/>
  <c r="S24" i="35"/>
  <c r="U17" i="37"/>
  <c r="AB17" i="37"/>
  <c r="BL527" i="3"/>
  <c r="AZ527" i="3" s="1"/>
  <c r="AC44" i="33"/>
  <c r="S14" i="33"/>
  <c r="H30" i="34"/>
  <c r="S12" i="36"/>
  <c r="U28" i="40"/>
  <c r="AB28" i="40"/>
  <c r="AC19" i="33"/>
  <c r="W19" i="33"/>
  <c r="AA37" i="39"/>
  <c r="S37" i="39"/>
  <c r="H39" i="37"/>
  <c r="F45" i="39"/>
  <c r="J28" i="21"/>
  <c r="H28" i="21"/>
  <c r="F28" i="21"/>
  <c r="F45" i="21"/>
  <c r="H45" i="21"/>
  <c r="AB40" i="33"/>
  <c r="U40" i="33"/>
  <c r="S13" i="33"/>
  <c r="AA13" i="33"/>
  <c r="AA17" i="40"/>
  <c r="S17" i="40"/>
  <c r="AA31" i="39"/>
  <c r="S31" i="39"/>
  <c r="F36" i="35"/>
  <c r="H36" i="35"/>
  <c r="J36" i="35"/>
  <c r="AC36" i="35" s="1"/>
  <c r="H25" i="36"/>
  <c r="J25" i="36"/>
  <c r="F25" i="36"/>
  <c r="H33" i="36"/>
  <c r="J33" i="36"/>
  <c r="AC33" i="36" s="1"/>
  <c r="F33" i="36"/>
  <c r="AB31" i="36"/>
  <c r="U31" i="36"/>
  <c r="AB30" i="37"/>
  <c r="U30" i="37"/>
  <c r="H44" i="39"/>
  <c r="J44" i="39"/>
  <c r="AB38" i="39"/>
  <c r="U38" i="39"/>
  <c r="AC8" i="40"/>
  <c r="W8" i="40"/>
  <c r="U42" i="34"/>
  <c r="AB42" i="34"/>
  <c r="AA31" i="35"/>
  <c r="S31" i="35"/>
  <c r="J35" i="39"/>
  <c r="AC35" i="39" s="1"/>
  <c r="F35" i="39"/>
  <c r="BL582" i="3"/>
  <c r="BA581" i="3"/>
  <c r="BL580" i="3"/>
  <c r="AZ580" i="3" s="1"/>
  <c r="BL579" i="3"/>
  <c r="AZ579" i="3" s="1"/>
  <c r="BL578" i="3"/>
  <c r="BA577" i="3"/>
  <c r="BL576" i="3"/>
  <c r="BA576" i="3"/>
  <c r="AZ576" i="3" s="1"/>
  <c r="BA575" i="3"/>
  <c r="AZ575" i="3" s="1"/>
  <c r="BL574" i="3"/>
  <c r="BA574" i="3"/>
  <c r="BL572" i="3"/>
  <c r="BA572" i="3"/>
  <c r="BA571" i="3"/>
  <c r="AZ571" i="3" s="1"/>
  <c r="BL570" i="3"/>
  <c r="BA570" i="3"/>
  <c r="AZ570" i="3" s="1"/>
  <c r="AA17" i="37"/>
  <c r="S17" i="37"/>
  <c r="S11" i="33"/>
  <c r="U29" i="37"/>
  <c r="AA32" i="40"/>
  <c r="AB29" i="35"/>
  <c r="U29" i="35"/>
  <c r="AA21" i="40"/>
  <c r="S21" i="40"/>
  <c r="F9" i="34"/>
  <c r="AA9" i="34" s="1"/>
  <c r="J9" i="34"/>
  <c r="H9" i="34"/>
  <c r="J27" i="34"/>
  <c r="H27" i="34"/>
  <c r="F31" i="33"/>
  <c r="J31" i="33"/>
  <c r="H31" i="33"/>
  <c r="J12" i="34"/>
  <c r="F12" i="34"/>
  <c r="S12" i="34" s="1"/>
  <c r="F11" i="35"/>
  <c r="H11" i="35"/>
  <c r="AB11" i="35" s="1"/>
  <c r="J11" i="35"/>
  <c r="AC41" i="21"/>
  <c r="W41" i="21"/>
  <c r="U34" i="37"/>
  <c r="AB34" i="37"/>
  <c r="AB31" i="35"/>
  <c r="U31" i="35"/>
  <c r="U30" i="36"/>
  <c r="AB30" i="36"/>
  <c r="BA583" i="3"/>
  <c r="BA582" i="3"/>
  <c r="AZ582" i="3" s="1"/>
  <c r="BL550" i="3"/>
  <c r="BL544" i="3"/>
  <c r="AZ544" i="3" s="1"/>
  <c r="BL542" i="3"/>
  <c r="BA542" i="3"/>
  <c r="AZ541" i="3"/>
  <c r="BL540" i="3"/>
  <c r="BA540" i="3"/>
  <c r="BA539" i="3"/>
  <c r="BL538" i="3"/>
  <c r="BA538" i="3"/>
  <c r="BL537" i="3"/>
  <c r="AZ537" i="3" s="1"/>
  <c r="BA535" i="3"/>
  <c r="BL528" i="3"/>
  <c r="BA528" i="3"/>
  <c r="BA517" i="3"/>
  <c r="BA516" i="3"/>
  <c r="AZ516" i="3" s="1"/>
  <c r="BA515" i="3"/>
  <c r="BL512" i="3"/>
  <c r="AZ512" i="3" s="1"/>
  <c r="BR5" i="3"/>
  <c r="H5" i="3"/>
  <c r="G498" i="3"/>
  <c r="BK5" i="3"/>
  <c r="BA496" i="3"/>
  <c r="AZ496" i="3" s="1"/>
  <c r="BC5" i="3"/>
  <c r="BA495" i="3"/>
  <c r="BF5" i="3"/>
  <c r="BN5" i="3"/>
  <c r="G29" i="6" s="1"/>
  <c r="BL493" i="3"/>
  <c r="AZ493" i="3" s="1"/>
  <c r="AA23" i="37"/>
  <c r="AZ329" i="3"/>
  <c r="BL515" i="3"/>
  <c r="BL523" i="3"/>
  <c r="AZ523" i="3" s="1"/>
  <c r="BL547" i="3"/>
  <c r="AZ547" i="3" s="1"/>
  <c r="AZ556" i="3"/>
  <c r="AB13" i="37"/>
  <c r="U13" i="37"/>
  <c r="W28" i="34"/>
  <c r="AC28" i="34"/>
  <c r="AA28" i="34"/>
  <c r="S28" i="34"/>
  <c r="W11" i="40"/>
  <c r="AA11" i="40"/>
  <c r="AB36" i="39"/>
  <c r="U36" i="39"/>
  <c r="U38" i="21"/>
  <c r="AB38" i="21"/>
  <c r="BA586" i="3"/>
  <c r="BL585" i="3"/>
  <c r="AZ585" i="3" s="1"/>
  <c r="H13" i="21"/>
  <c r="J13" i="21"/>
  <c r="AC28" i="35"/>
  <c r="W28" i="35"/>
  <c r="AZ362" i="3"/>
  <c r="AZ326" i="3"/>
  <c r="AZ364" i="3"/>
  <c r="AZ380" i="3"/>
  <c r="AZ360" i="3"/>
  <c r="S14" i="34"/>
  <c r="AA14" i="34"/>
  <c r="B101" i="43"/>
  <c r="B79" i="43"/>
  <c r="C25" i="39"/>
  <c r="F26" i="33"/>
  <c r="J26" i="33"/>
  <c r="H26" i="33"/>
  <c r="J12" i="40"/>
  <c r="F12" i="40"/>
  <c r="BL535" i="3"/>
  <c r="AZ535" i="3" s="1"/>
  <c r="BL577" i="3"/>
  <c r="AZ577" i="3" s="1"/>
  <c r="AZ557" i="3"/>
  <c r="G585" i="3"/>
  <c r="BL587" i="3"/>
  <c r="AZ587" i="3" s="1"/>
  <c r="BL586" i="3"/>
  <c r="G552" i="3"/>
  <c r="AZ357" i="3"/>
  <c r="AZ322" i="3"/>
  <c r="AZ313" i="3"/>
  <c r="AZ394" i="3"/>
  <c r="BL519" i="3"/>
  <c r="AZ519" i="3" s="1"/>
  <c r="BL531" i="3"/>
  <c r="AZ531" i="3" s="1"/>
  <c r="BL573" i="3"/>
  <c r="AZ573" i="3" s="1"/>
  <c r="BL583" i="3"/>
  <c r="AZ583" i="3" s="1"/>
  <c r="AZ568" i="3"/>
  <c r="F12" i="35"/>
  <c r="J12" i="35"/>
  <c r="AZ443" i="3"/>
  <c r="AZ419" i="3"/>
  <c r="BA482" i="3"/>
  <c r="BA484" i="3"/>
  <c r="AZ484" i="3" s="1"/>
  <c r="BA303" i="3"/>
  <c r="AZ303" i="3" s="1"/>
  <c r="BA307" i="3"/>
  <c r="AZ307" i="3" s="1"/>
  <c r="BL314" i="3"/>
  <c r="AZ314" i="3" s="1"/>
  <c r="BA332" i="3"/>
  <c r="BL332" i="3"/>
  <c r="BA366" i="3"/>
  <c r="AZ366" i="3" s="1"/>
  <c r="BL375" i="3"/>
  <c r="AZ375" i="3" s="1"/>
  <c r="BA217" i="3"/>
  <c r="G220" i="3"/>
  <c r="G587"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L365" i="3"/>
  <c r="AZ365" i="3" s="1"/>
  <c r="BA368" i="3"/>
  <c r="BL368" i="3"/>
  <c r="BA374" i="3"/>
  <c r="AZ374" i="3" s="1"/>
  <c r="BA392" i="3"/>
  <c r="AZ392" i="3" s="1"/>
  <c r="BL211" i="3"/>
  <c r="BL219" i="3"/>
  <c r="G558"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A453" i="3"/>
  <c r="AZ453" i="3" s="1"/>
  <c r="BA455" i="3"/>
  <c r="AZ455" i="3" s="1"/>
  <c r="BL457" i="3"/>
  <c r="BL460" i="3"/>
  <c r="BL461" i="3"/>
  <c r="BL463" i="3"/>
  <c r="G465" i="3"/>
  <c r="BA471" i="3"/>
  <c r="AZ471" i="3" s="1"/>
  <c r="AZ487"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AZ459" i="3" s="1"/>
  <c r="BA460" i="3"/>
  <c r="AZ460" i="3" s="1"/>
  <c r="BA461" i="3"/>
  <c r="AZ461" i="3" s="1"/>
  <c r="BL464" i="3"/>
  <c r="AZ464" i="3" s="1"/>
  <c r="BL466" i="3"/>
  <c r="AZ466" i="3" s="1"/>
  <c r="G468" i="3"/>
  <c r="G469" i="3"/>
  <c r="BL480" i="3"/>
  <c r="AZ480" i="3" s="1"/>
  <c r="BA483" i="3"/>
  <c r="BL483" i="3"/>
  <c r="AZ483" i="3" s="1"/>
  <c r="BA486" i="3"/>
  <c r="BL489" i="3"/>
  <c r="BL491" i="3"/>
  <c r="BL492" i="3"/>
  <c r="BA315" i="3"/>
  <c r="AZ315" i="3" s="1"/>
  <c r="BA333" i="3"/>
  <c r="BL346" i="3"/>
  <c r="AZ346" i="3" s="1"/>
  <c r="BL385" i="3"/>
  <c r="BA388" i="3"/>
  <c r="AZ388" i="3" s="1"/>
  <c r="BA396" i="3"/>
  <c r="BA209" i="3"/>
  <c r="BL217" i="3"/>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A153"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BA145" i="3"/>
  <c r="BL154" i="3"/>
  <c r="BA157" i="3"/>
  <c r="AZ157" i="3" s="1"/>
  <c r="G397" i="3"/>
  <c r="G210" i="3"/>
  <c r="BA216" i="3"/>
  <c r="AZ216" i="3" s="1"/>
  <c r="BA218" i="3"/>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A156" i="3"/>
  <c r="AZ156" i="3" s="1"/>
  <c r="AZ270" i="3"/>
  <c r="AZ284" i="3"/>
  <c r="AZ302"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BL30" i="3"/>
  <c r="BL31" i="3"/>
  <c r="AZ31" i="3" s="1"/>
  <c r="G37" i="3"/>
  <c r="BL40" i="3"/>
  <c r="BL41" i="3"/>
  <c r="AZ41" i="3" s="1"/>
  <c r="BL45" i="3"/>
  <c r="BA48" i="3"/>
  <c r="BA49" i="3"/>
  <c r="BA51" i="3"/>
  <c r="G55" i="3"/>
  <c r="BL56" i="3"/>
  <c r="BA58" i="3"/>
  <c r="BL59" i="3"/>
  <c r="AZ59" i="3" s="1"/>
  <c r="BL60" i="3"/>
  <c r="BA61" i="3"/>
  <c r="AZ61" i="3" s="1"/>
  <c r="BA68" i="3"/>
  <c r="BA73" i="3"/>
  <c r="BA84" i="3"/>
  <c r="AZ84" i="3" s="1"/>
  <c r="BA92" i="3"/>
  <c r="AA18" i="36"/>
  <c r="S18" i="36"/>
  <c r="D55" i="71"/>
  <c r="E28" i="71"/>
  <c r="AA27" i="71"/>
  <c r="AA28" i="71"/>
  <c r="C31" i="71"/>
  <c r="Y30" i="71"/>
  <c r="Z30" i="71" s="1"/>
  <c r="Y29" i="71"/>
  <c r="Z29" i="71" s="1"/>
  <c r="AA35" i="71"/>
  <c r="D50" i="71"/>
  <c r="C51" i="71"/>
  <c r="C64" i="71"/>
  <c r="D63" i="71"/>
  <c r="T72" i="71"/>
  <c r="C71" i="71"/>
  <c r="U76" i="71"/>
  <c r="E75" i="71"/>
  <c r="E74" i="71" s="1"/>
  <c r="D84" i="71"/>
  <c r="C83" i="71"/>
  <c r="AB26" i="71"/>
  <c r="V24" i="71"/>
  <c r="E23" i="71"/>
  <c r="E22" i="71" s="1"/>
  <c r="E21" i="71" s="1"/>
  <c r="E20" i="71" s="1"/>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G76" i="3"/>
  <c r="BL77" i="3"/>
  <c r="AZ77" i="3" s="1"/>
  <c r="BA79" i="3"/>
  <c r="AZ79" i="3" s="1"/>
  <c r="BA88" i="3"/>
  <c r="AZ88" i="3" s="1"/>
  <c r="BA91" i="3"/>
  <c r="AZ91" i="3" s="1"/>
  <c r="BL97" i="3"/>
  <c r="AZ97" i="3" s="1"/>
  <c r="BL101" i="3"/>
  <c r="AZ101" i="3" s="1"/>
  <c r="BL102" i="3"/>
  <c r="F40" i="68"/>
  <c r="C21" i="68"/>
  <c r="AC29" i="39"/>
  <c r="W29" i="39"/>
  <c r="AA3" i="71"/>
  <c r="Y27" i="71"/>
  <c r="Z27" i="71" s="1"/>
  <c r="C28" i="71"/>
  <c r="Y28" i="71"/>
  <c r="Z28" i="71" s="1"/>
  <c r="Y25" i="71"/>
  <c r="Z25" i="71" s="1"/>
  <c r="D34" i="71"/>
  <c r="C35" i="71"/>
  <c r="AA38" i="71"/>
  <c r="C44" i="71"/>
  <c r="D43" i="71"/>
  <c r="X25" i="7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AZ28" i="3" s="1"/>
  <c r="BA29" i="3"/>
  <c r="AZ29" i="3" s="1"/>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BL71" i="3"/>
  <c r="BL72" i="3"/>
  <c r="AZ72" i="3" s="1"/>
  <c r="G74" i="3"/>
  <c r="G75" i="3"/>
  <c r="BL75" i="3"/>
  <c r="AZ75" i="3" s="1"/>
  <c r="G80" i="3"/>
  <c r="G85" i="3"/>
  <c r="BL85" i="3"/>
  <c r="BA86" i="3"/>
  <c r="AZ86" i="3" s="1"/>
  <c r="BA87" i="3"/>
  <c r="BA89" i="3"/>
  <c r="BL92" i="3"/>
  <c r="BL96" i="3"/>
  <c r="P27" i="6"/>
  <c r="AA34" i="71"/>
  <c r="AA30" i="71"/>
  <c r="D56" i="71"/>
  <c r="T56" i="71"/>
  <c r="F66" i="71"/>
  <c r="Q67" i="71"/>
  <c r="T80" i="71"/>
  <c r="C79" i="71"/>
  <c r="Y26" i="71"/>
  <c r="Z26" i="71" s="1"/>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7" i="3"/>
  <c r="AZ62" i="3"/>
  <c r="AZ64" i="3"/>
  <c r="AZ65" i="3"/>
  <c r="AZ70" i="3"/>
  <c r="D80" i="71"/>
  <c r="D54" i="71"/>
  <c r="C38" i="71"/>
  <c r="F34" i="71"/>
  <c r="F35" i="71" s="1"/>
  <c r="F36" i="71" s="1"/>
  <c r="V36" i="71" s="1"/>
  <c r="AB33" i="71"/>
  <c r="AB32" i="71"/>
  <c r="AB27" i="71"/>
  <c r="X38" i="71"/>
  <c r="X26" i="71"/>
  <c r="D67" i="71"/>
  <c r="C66" i="71"/>
  <c r="O67" i="71"/>
  <c r="BL106" i="3"/>
  <c r="BA108" i="3"/>
  <c r="BA110" i="3"/>
  <c r="AZ110" i="3" s="1"/>
  <c r="F3" i="35"/>
  <c r="AB25" i="71"/>
  <c r="X33" i="71"/>
  <c r="G99" i="3"/>
  <c r="G103" i="3"/>
  <c r="BA103" i="3"/>
  <c r="AZ103" i="3" s="1"/>
  <c r="BA104" i="3"/>
  <c r="BA106" i="3"/>
  <c r="BL108" i="3"/>
  <c r="G110" i="3"/>
  <c r="BL111" i="3"/>
  <c r="C5" i="68"/>
  <c r="P66" i="71"/>
  <c r="C75" i="71"/>
  <c r="O68" i="71"/>
  <c r="D46" i="71"/>
  <c r="X35" i="71"/>
  <c r="AA37" i="71"/>
  <c r="X28" i="71"/>
  <c r="X32" i="71"/>
  <c r="F38" i="71"/>
  <c r="F39" i="71" s="1"/>
  <c r="F40" i="71" s="1"/>
  <c r="V40" i="71" s="1"/>
  <c r="AB38" i="71"/>
  <c r="F75" i="71"/>
  <c r="F74" i="71" s="1"/>
  <c r="B79" i="71"/>
  <c r="B78" i="71"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T48" i="33" s="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65" i="67"/>
  <c r="J53" i="67"/>
  <c r="J57" i="67"/>
  <c r="J55" i="67" s="1"/>
  <c r="J58" i="67" s="1"/>
  <c r="Q50" i="67" s="1"/>
  <c r="L56" i="67"/>
  <c r="I54" i="67"/>
  <c r="Q71" i="67"/>
  <c r="D103" i="9"/>
  <c r="C27" i="67"/>
  <c r="F71" i="67"/>
  <c r="G20" i="9"/>
  <c r="C103" i="9"/>
  <c r="N59" i="67"/>
  <c r="L59" i="67"/>
  <c r="L58" i="67"/>
  <c r="M59" i="67"/>
  <c r="B13" i="70"/>
  <c r="M7" i="67"/>
  <c r="J6" i="67" s="1"/>
  <c r="F50" i="67"/>
  <c r="F68" i="67"/>
  <c r="F64" i="67"/>
  <c r="C36" i="68"/>
  <c r="D9" i="69"/>
  <c r="F27" i="69"/>
  <c r="C36" i="69"/>
  <c r="D9" i="68"/>
  <c r="F38" i="67"/>
  <c r="F16" i="15"/>
  <c r="M9" i="15"/>
  <c r="F6" i="15"/>
  <c r="F26" i="15"/>
  <c r="L48" i="15"/>
  <c r="D7" i="73"/>
  <c r="C16" i="67"/>
  <c r="F8" i="67"/>
  <c r="F8" i="15"/>
  <c r="M28" i="15"/>
  <c r="M6" i="15"/>
  <c r="F43" i="15"/>
  <c r="F9" i="15"/>
  <c r="D4" i="73"/>
  <c r="F36" i="15"/>
  <c r="M22" i="15"/>
  <c r="F7" i="15"/>
  <c r="F40" i="15"/>
  <c r="M23" i="15"/>
  <c r="J15" i="15"/>
  <c r="L47" i="15"/>
  <c r="D3" i="73"/>
  <c r="D5" i="73"/>
  <c r="C76" i="15"/>
  <c r="F13" i="15"/>
  <c r="M26" i="15"/>
  <c r="F37" i="15"/>
  <c r="M24" i="15"/>
  <c r="F38" i="15"/>
  <c r="AA17" i="33" l="1"/>
  <c r="R48" i="33" s="1"/>
  <c r="R49" i="33" s="1"/>
  <c r="F66" i="15"/>
  <c r="F65" i="15"/>
  <c r="Q71" i="15"/>
  <c r="M59" i="15"/>
  <c r="L59" i="15"/>
  <c r="Q74" i="15" s="1"/>
  <c r="L58" i="15"/>
  <c r="Q60" i="15" s="1"/>
  <c r="N59" i="15"/>
  <c r="F68" i="15"/>
  <c r="F50" i="15"/>
  <c r="M7" i="15"/>
  <c r="J6" i="15" s="1"/>
  <c r="J18" i="15" s="1"/>
  <c r="F64" i="15"/>
  <c r="F71" i="15"/>
  <c r="F51" i="15"/>
  <c r="F31" i="67"/>
  <c r="C6" i="67"/>
  <c r="C32" i="67" s="1"/>
  <c r="F51" i="67"/>
  <c r="F59" i="67" s="1"/>
  <c r="J53" i="15"/>
  <c r="L56" i="15" s="1"/>
  <c r="J57" i="15"/>
  <c r="J55" i="15" s="1"/>
  <c r="J58" i="15" s="1"/>
  <c r="Q50" i="15" s="1"/>
  <c r="I54" i="15"/>
  <c r="C27" i="15"/>
  <c r="C6" i="15"/>
  <c r="C32" i="15" s="1"/>
  <c r="F31" i="15"/>
  <c r="F66" i="67"/>
  <c r="E29" i="6"/>
  <c r="K15" i="1" s="1"/>
  <c r="F30" i="6"/>
  <c r="K16" i="1"/>
  <c r="AZ25" i="3"/>
  <c r="D44" i="71"/>
  <c r="T44" i="71"/>
  <c r="C82" i="71"/>
  <c r="D82" i="71" s="1"/>
  <c r="D83" i="71"/>
  <c r="C70" i="71"/>
  <c r="D70" i="71" s="1"/>
  <c r="D71" i="71"/>
  <c r="C52" i="71"/>
  <c r="D51" i="71"/>
  <c r="AZ19" i="3"/>
  <c r="AZ182" i="3"/>
  <c r="AZ218" i="3"/>
  <c r="AZ238" i="3"/>
  <c r="W12" i="35"/>
  <c r="AC12" i="35"/>
  <c r="W26" i="33"/>
  <c r="AC26" i="33"/>
  <c r="W11" i="35"/>
  <c r="AC11" i="35"/>
  <c r="W12" i="34"/>
  <c r="AC12" i="34"/>
  <c r="AB27" i="34"/>
  <c r="U27" i="34"/>
  <c r="AC44" i="39"/>
  <c r="W44" i="39"/>
  <c r="AB33" i="36"/>
  <c r="U33" i="36"/>
  <c r="AA45" i="21"/>
  <c r="S45" i="21"/>
  <c r="S45" i="39"/>
  <c r="AA45" i="39"/>
  <c r="AC30" i="21"/>
  <c r="W30" i="21"/>
  <c r="S25" i="35"/>
  <c r="AA25" i="35"/>
  <c r="W46" i="34"/>
  <c r="AC46" i="34"/>
  <c r="E26" i="43"/>
  <c r="H26" i="43"/>
  <c r="O65" i="71"/>
  <c r="D66" i="71"/>
  <c r="O66" i="71"/>
  <c r="D38" i="71"/>
  <c r="C39" i="71"/>
  <c r="AZ71" i="3"/>
  <c r="D31" i="71"/>
  <c r="C32" i="71"/>
  <c r="AZ249" i="3"/>
  <c r="AZ274" i="3"/>
  <c r="AZ217" i="3"/>
  <c r="AZ332" i="3"/>
  <c r="S12" i="40"/>
  <c r="AA12" i="40"/>
  <c r="S26" i="33"/>
  <c r="AA26" i="33"/>
  <c r="AZ586" i="3"/>
  <c r="AZ515" i="3"/>
  <c r="AZ542" i="3"/>
  <c r="W27" i="34"/>
  <c r="AC27" i="34"/>
  <c r="AZ572" i="3"/>
  <c r="AB44" i="39"/>
  <c r="U44" i="39"/>
  <c r="S25" i="36"/>
  <c r="AA25" i="36"/>
  <c r="AB36" i="35"/>
  <c r="U36" i="35"/>
  <c r="S28" i="21"/>
  <c r="AA28" i="21"/>
  <c r="AB39" i="37"/>
  <c r="U39" i="37"/>
  <c r="AB30" i="34"/>
  <c r="U30" i="34"/>
  <c r="U27" i="21"/>
  <c r="AB27" i="21"/>
  <c r="S30" i="34"/>
  <c r="AA30" i="34"/>
  <c r="AZ539" i="3"/>
  <c r="AC39" i="37"/>
  <c r="W39" i="37"/>
  <c r="W25" i="35"/>
  <c r="AC25" i="35"/>
  <c r="G26" i="43"/>
  <c r="G5" i="3"/>
  <c r="B3" i="3" s="1"/>
  <c r="E510" i="3" s="1"/>
  <c r="AZ108" i="3"/>
  <c r="C36" i="71"/>
  <c r="D35" i="71"/>
  <c r="T28" i="71"/>
  <c r="D28" i="71"/>
  <c r="U28" i="71" s="1"/>
  <c r="C27" i="71"/>
  <c r="AZ66" i="3"/>
  <c r="AZ51" i="3"/>
  <c r="AZ118" i="3"/>
  <c r="AZ263" i="3"/>
  <c r="AZ223" i="3"/>
  <c r="W12" i="40"/>
  <c r="AC12" i="40"/>
  <c r="AC13" i="21"/>
  <c r="W13" i="21"/>
  <c r="S11" i="35"/>
  <c r="AA11" i="35"/>
  <c r="W31" i="33"/>
  <c r="AC31" i="33"/>
  <c r="AB9" i="34"/>
  <c r="U9" i="34"/>
  <c r="S35" i="39"/>
  <c r="AA35" i="39"/>
  <c r="S33" i="36"/>
  <c r="AA33" i="36"/>
  <c r="W25" i="36"/>
  <c r="AC25" i="36"/>
  <c r="S36" i="35"/>
  <c r="AA36" i="35"/>
  <c r="AB28" i="21"/>
  <c r="U28" i="21"/>
  <c r="U45" i="39"/>
  <c r="AB45" i="39"/>
  <c r="AB9" i="33"/>
  <c r="U9" i="33"/>
  <c r="S30" i="21"/>
  <c r="AA30" i="21"/>
  <c r="AA27" i="21"/>
  <c r="S27" i="21"/>
  <c r="AB25" i="35"/>
  <c r="U25" i="35"/>
  <c r="AZ511" i="3"/>
  <c r="AA46" i="34"/>
  <c r="S46" i="34"/>
  <c r="N94" i="46"/>
  <c r="G16" i="1"/>
  <c r="F10" i="39" s="1"/>
  <c r="D75" i="71"/>
  <c r="C74" i="71"/>
  <c r="D74" i="71" s="1"/>
  <c r="C78" i="71"/>
  <c r="D78" i="71" s="1"/>
  <c r="D79" i="71"/>
  <c r="AZ63" i="3"/>
  <c r="AZ57" i="3"/>
  <c r="AZ58" i="3"/>
  <c r="AZ49" i="3"/>
  <c r="AZ251" i="3"/>
  <c r="AZ247" i="3"/>
  <c r="AZ271" i="3"/>
  <c r="AZ243" i="3"/>
  <c r="AZ368" i="3"/>
  <c r="AZ491" i="3"/>
  <c r="U26" i="33"/>
  <c r="AB26" i="33"/>
  <c r="AB13" i="21"/>
  <c r="U13" i="21"/>
  <c r="AZ528" i="3"/>
  <c r="AZ538" i="3"/>
  <c r="AZ540" i="3"/>
  <c r="S31" i="33"/>
  <c r="AA31" i="33"/>
  <c r="AC9" i="34"/>
  <c r="W9" i="34"/>
  <c r="AZ574" i="3"/>
  <c r="AB25" i="36"/>
  <c r="U25" i="36"/>
  <c r="U45" i="21"/>
  <c r="AB45" i="21"/>
  <c r="W28" i="21"/>
  <c r="AC28" i="21"/>
  <c r="AB30" i="21"/>
  <c r="U30" i="21"/>
  <c r="W27" i="21"/>
  <c r="AC27" i="21"/>
  <c r="AZ504" i="3"/>
  <c r="W12" i="37"/>
  <c r="AC12" i="37"/>
  <c r="AB46" i="34"/>
  <c r="U46" i="34"/>
  <c r="J7" i="37"/>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C32" i="9"/>
  <c r="Q60" i="67"/>
  <c r="Q73" i="67"/>
  <c r="M11" i="67"/>
  <c r="J10" i="67" s="1"/>
  <c r="J5" i="67" s="1"/>
  <c r="F11" i="15"/>
  <c r="M11" i="15"/>
  <c r="J10" i="15" s="1"/>
  <c r="F11" i="67"/>
  <c r="J18" i="67"/>
  <c r="F1" i="67"/>
  <c r="Q52" i="67"/>
  <c r="Q61" i="67"/>
  <c r="Q74" i="67"/>
  <c r="AE11" i="1"/>
  <c r="AE6" i="1"/>
  <c r="AE9" i="1"/>
  <c r="F27" i="68"/>
  <c r="AE7" i="1"/>
  <c r="AE8" i="1"/>
  <c r="AE12" i="1"/>
  <c r="AE10" i="1"/>
  <c r="F41" i="67"/>
  <c r="G1" i="73"/>
  <c r="C16" i="15"/>
  <c r="C49" i="15" l="1"/>
  <c r="J5" i="15"/>
  <c r="J24" i="15" s="1"/>
  <c r="Q73" i="15"/>
  <c r="Q61" i="15"/>
  <c r="F59" i="15"/>
  <c r="Q52" i="15"/>
  <c r="F1" i="15"/>
  <c r="C49" i="67"/>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40" i="71"/>
  <c r="D39" i="71"/>
  <c r="T52" i="71"/>
  <c r="D52" i="71"/>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32" i="71"/>
  <c r="D32" i="71"/>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J24" i="67"/>
  <c r="C53" i="67"/>
  <c r="C10" i="67"/>
  <c r="C5" i="67" s="1"/>
  <c r="C38" i="67" s="1"/>
  <c r="C53" i="15"/>
  <c r="C10" i="15"/>
  <c r="C5" i="15" s="1"/>
  <c r="C38" i="15" s="1"/>
  <c r="C35" i="9"/>
  <c r="M27" i="67"/>
  <c r="M27" i="15"/>
  <c r="F41" i="15"/>
  <c r="F25" i="12" l="1"/>
  <c r="C48" i="15"/>
  <c r="C66" i="15" s="1"/>
  <c r="F22" i="68"/>
  <c r="C26" i="68" s="1"/>
  <c r="D22" i="68" s="1"/>
  <c r="F22" i="11"/>
  <c r="C44" i="11" s="1"/>
  <c r="D41" i="11" s="1"/>
  <c r="F24" i="67"/>
  <c r="C24" i="67" s="1"/>
  <c r="F24" i="15"/>
  <c r="C24" i="15" s="1"/>
  <c r="F22" i="69"/>
  <c r="F41" i="69" s="1"/>
  <c r="C48" i="67"/>
  <c r="C60" i="67" s="1"/>
  <c r="D116" i="43"/>
  <c r="T40" i="71"/>
  <c r="D40"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34" i="9"/>
  <c r="D10" i="69"/>
  <c r="C34" i="69"/>
  <c r="D10" i="68"/>
  <c r="C17" i="67"/>
  <c r="C17" i="15"/>
  <c r="C14" i="67"/>
  <c r="C24" i="11" l="1"/>
  <c r="C23" i="68"/>
  <c r="C44" i="68"/>
  <c r="D41" i="68" s="1"/>
  <c r="C66" i="67"/>
  <c r="C23" i="11"/>
  <c r="F41" i="68"/>
  <c r="C25" i="11"/>
  <c r="C60" i="15"/>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6" i="1"/>
  <c r="AO7"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l="1"/>
  <c r="D59" i="9"/>
  <c r="C5" i="74"/>
  <c r="B49" i="72"/>
  <c r="D5" i="52"/>
  <c r="D119" i="9"/>
  <c r="B22" i="72"/>
  <c r="D6" i="53"/>
  <c r="E97" i="9"/>
  <c r="E96" i="9"/>
  <c r="C96" i="9"/>
  <c r="H102" i="9"/>
  <c r="D7" i="53"/>
  <c r="B21" i="72"/>
  <c r="F119" i="9"/>
  <c r="F5" i="52"/>
  <c r="B53" i="72"/>
  <c r="C85" i="9"/>
  <c r="C95" i="9"/>
  <c r="C97" i="9"/>
  <c r="D58" i="9"/>
  <c r="D56" i="9"/>
  <c r="M54" i="9"/>
  <c r="E4" i="52"/>
  <c r="B48" i="72"/>
  <c r="D8" i="52"/>
  <c r="C81" i="9"/>
  <c r="C86" i="9"/>
  <c r="C93" i="9"/>
  <c r="H4" i="52"/>
  <c r="C104" i="9"/>
  <c r="B30" i="72"/>
  <c r="B52" i="72"/>
  <c r="G4" i="52"/>
  <c r="D54" i="9"/>
  <c r="C64" i="9"/>
  <c r="C63" i="9"/>
  <c r="C67" i="9"/>
  <c r="C68" i="9"/>
  <c r="B47" i="72"/>
  <c r="E118" i="9"/>
  <c r="D118" i="9"/>
  <c r="D4" i="52"/>
  <c r="C6" i="74"/>
  <c r="E81" i="9"/>
  <c r="C72" i="9"/>
  <c r="C79" i="9"/>
  <c r="C80" i="9"/>
  <c r="E80" i="9"/>
  <c r="D13" i="53"/>
  <c r="D14" i="53"/>
  <c r="B32" i="72"/>
  <c r="D122" i="9"/>
  <c r="D123" i="9"/>
  <c r="D9" i="52"/>
  <c r="H119" i="9"/>
  <c r="H5" i="52"/>
  <c r="I4" i="52"/>
  <c r="C105" i="9"/>
  <c r="M48" i="9"/>
  <c r="C73" i="9"/>
  <c r="C78" i="9"/>
  <c r="N60" i="9"/>
  <c r="N59" i="9"/>
  <c r="N61" i="9"/>
  <c r="D53" i="9"/>
  <c r="D52" i="9"/>
  <c r="H107" i="9"/>
  <c r="H108" i="9"/>
  <c r="D15" i="53"/>
  <c r="B31" i="72"/>
  <c r="N58" i="9"/>
  <c r="D45" i="9"/>
  <c r="D55" i="9"/>
  <c r="M53" i="9"/>
  <c r="N57" i="9"/>
  <c r="P57" i="9"/>
  <c r="G118" i="9"/>
  <c r="F118" i="9"/>
  <c r="F4" i="52"/>
  <c r="B51" i="7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<sst xmlns="http://schemas.openxmlformats.org/spreadsheetml/2006/main" count="7823" uniqueCount="3430">
  <si>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</si>
  <si>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</si>
  <si>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</si>
  <si>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</si>
  <si>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</si>
  <si>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</si>
  <si>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</si>
  <si>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</si>
  <si>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</si>
  <si>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</si>
  <si>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</si>
  <si>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</si>
  <si>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</si>
  <si>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</si>
  <si>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</si>
  <si>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</si>
  <si>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</si>
  <si>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</si>
  <si>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</si>
  <si>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</si>
  <si>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</si>
  <si>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</si>
  <si>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</si>
  <si>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</si>
  <si>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</si>
  <si>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</si>
  <si>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</si>
  <si>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</si>
  <si>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</si>
  <si>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</si>
  <si>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</si>
  <si>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</si>
  <si>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</si>
  <si>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</si>
  <si>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</si>
  <si>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</si>
  <si>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</si>
  <si>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</si>
  <si>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</si>
  <si>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</si>
  <si>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</si>
  <si>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</si>
  <si>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</si>
  <si>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</si>
  <si>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</si>
  <si>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</si>
  <si>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</si>
  <si>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</si>
  <si>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</si>
  <si>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</si>
  <si>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</si>
  <si>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</si>
  <si>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</si>
  <si>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</si>
  <si>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</si>
  <si>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</si>
  <si>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</si>
  <si>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</si>
  <si>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</si>
  <si>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</si>
  <si>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</si>
  <si>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</si>
  <si>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</si>
  <si>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</si>
  <si>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</si>
  <si>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</si>
  <si>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</si>
  <si>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</si>
  <si>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</si>
  <si>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</si>
  <si>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</si>
  <si>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</si>
  <si>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</si>
  <si>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</si>
  <si>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</si>
  <si>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</si>
  <si>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</si>
  <si>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</si>
  <si>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</si>
  <si>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</si>
  <si>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</si>
  <si>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</si>
  <si>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</si>
  <si>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</si>
  <si>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</si>
  <si>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</si>
  <si>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</si>
  <si>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</si>
  <si>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</si>
  <si>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</si>
  <si>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</si>
  <si>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</si>
  <si>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</si>
  <si>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</si>
  <si>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</si>
  <si>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</si>
  <si>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</si>
  <si>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</si>
  <si>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</si>
  <si>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</si>
  <si>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</si>
  <si>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</si>
  <si>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</si>
  <si>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</si>
  <si>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</si>
  <si>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</si>
  <si>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</si>
  <si>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</si>
  <si>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</si>
  <si>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</si>
  <si>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</si>
  <si>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</si>
  <si>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</si>
  <si>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</si>
  <si>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</si>
  <si>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</si>
  <si>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</si>
  <si>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</si>
  <si>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</si>
  <si>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</si>
  <si>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</si>
  <si>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</si>
  <si>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</si>
  <si>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</si>
  <si>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</si>
  <si>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</si>
  <si>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</si>
  <si>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</si>
  <si>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</si>
  <si>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</si>
  <si>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</si>
  <si>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</si>
  <si>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</si>
  <si>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</si>
  <si>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</si>
  <si>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</si>
  <si>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</si>
  <si>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</si>
  <si>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</si>
  <si>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</si>
  <si>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</si>
  <si>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</si>
  <si>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</si>
  <si>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</si>
  <si>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</si>
  <si>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</si>
  <si>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</si>
  <si>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</si>
  <si>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</si>
  <si>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</si>
  <si>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</si>
  <si>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</si>
  <si>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</si>
  <si>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</si>
  <si>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</si>
  <si>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</si>
  <si>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</si>
  <si>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</si>
  <si>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</si>
  <si>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</si>
  <si>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</si>
  <si>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</si>
  <si>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</si>
  <si>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</si>
  <si>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</si>
  <si>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</si>
  <si>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</si>
  <si>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</si>
  <si>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</si>
  <si>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</si>
  <si>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</si>
  <si>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</si>
  <si>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</si>
  <si>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</si>
  <si>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</si>
  <si>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</si>
  <si>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</si>
  <si>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</si>
  <si>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</si>
  <si>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</si>
  <si>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</si>
  <si>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</si>
  <si>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</si>
  <si>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</si>
  <si>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</si>
  <si>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</si>
  <si>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</si>
  <si>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</si>
  <si>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</si>
  <si>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</si>
  <si>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</si>
  <si>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</si>
  <si>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</si>
  <si>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</si>
  <si>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</si>
  <si>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</si>
  <si>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</si>
  <si>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</si>
  <si>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</si>
  <si>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</si>
  <si>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</si>
  <si>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</si>
  <si>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</si>
  <si>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</si>
  <si>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</si>
  <si>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</si>
  <si>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</si>
  <si>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</si>
  <si>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</si>
  <si>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</si>
  <si>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</si>
  <si>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</si>
  <si>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</si>
  <si>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</si>
  <si>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</si>
  <si>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</si>
  <si>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</si>
  <si>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</si>
  <si>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</si>
  <si>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</si>
  <si>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</si>
  <si>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</si>
  <si>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</si>
  <si>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</si>
  <si>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</si>
  <si>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</si>
  <si>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</si>
  <si>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</si>
  <si>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</si>
  <si>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</si>
  <si>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</si>
  <si>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</si>
  <si>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</si>
  <si>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</si>
  <si>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</si>
  <si>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</si>
  <si>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</si>
  <si>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</si>
  <si>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</si>
  <si>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</si>
  <si>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</si>
  <si>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</si>
  <si>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</si>
  <si>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</si>
  <si>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</si>
  <si>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</si>
  <si>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</si>
  <si>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</si>
  <si>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</si>
  <si>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</si>
  <si>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</si>
  <si>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</si>
  <si>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</si>
  <si>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</si>
  <si>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</si>
  <si>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</si>
  <si>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</si>
  <si>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</si>
  <si>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</si>
  <si>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</si>
  <si>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</si>
  <si>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</si>
  <si>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</si>
  <si>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</si>
  <si>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</si>
  <si>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</si>
  <si>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</si>
  <si>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</si>
  <si>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</si>
  <si>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</si>
  <si>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</si>
  <si>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</si>
  <si>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</si>
  <si>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</si>
  <si>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</si>
  <si>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</si>
  <si>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</si>
  <si>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</si>
  <si>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</si>
  <si>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</si>
  <si>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</si>
  <si>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</si>
  <si>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</si>
  <si>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</si>
  <si>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</si>
  <si>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</si>
  <si>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</si>
  <si>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</si>
  <si>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</si>
  <si>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</si>
  <si>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</si>
  <si>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</si>
  <si>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</si>
  <si>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</si>
  <si>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</si>
  <si>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</si>
  <si>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</si>
  <si>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</si>
  <si>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</si>
  <si>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</si>
  <si>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</si>
  <si>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</si>
  <si>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</si>
  <si>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</si>
  <si>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</si>
  <si>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</si>
  <si>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</si>
  <si>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</si>
  <si>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</si>
  <si>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</si>
  <si>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</si>
  <si>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</si>
  <si>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</si>
  <si>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</si>
  <si>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</si>
  <si>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</si>
  <si>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</si>
  <si>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</si>
  <si>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</si>
  <si>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</si>
  <si>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</si>
  <si>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</si>
  <si>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</si>
  <si>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</si>
  <si>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</si>
  <si>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</si>
  <si>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</si>
  <si>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</si>
  <si>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</si>
  <si>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</si>
  <si>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</si>
  <si>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</si>
  <si>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</si>
  <si>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</si>
  <si>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</si>
  <si>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</si>
  <si>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</si>
  <si>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</si>
  <si>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</si>
  <si>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</si>
  <si>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</si>
  <si>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</si>
  <si>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</si>
  <si>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</si>
  <si>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</si>
  <si>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</si>
  <si>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</si>
  <si>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</si>
  <si>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</si>
  <si>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</si>
  <si>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</si>
  <si>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</si>
  <si>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</si>
  <si>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</si>
  <si>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</si>
  <si>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</si>
  <si>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</si>
  <si>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</si>
  <si>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</si>
  <si>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</si>
  <si>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</si>
  <si>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</si>
  <si>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</si>
  <si>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</si>
  <si>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</si>
  <si>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</si>
  <si>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</si>
  <si>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</si>
  <si>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</si>
  <si>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</si>
  <si>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</si>
  <si>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</si>
  <si>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</si>
  <si>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</si>
  <si>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</si>
  <si>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</si>
  <si>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</si>
  <si>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</si>
  <si>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</si>
  <si>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</si>
  <si>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</si>
  <si>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</si>
  <si>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</si>
  <si>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</si>
  <si>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</si>
  <si>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</si>
  <si>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</si>
  <si>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</si>
  <si>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</si>
  <si>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</si>
  <si>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</si>
  <si>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</si>
  <si>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</si>
  <si>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</si>
  <si>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</si>
  <si>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</si>
  <si>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</si>
  <si>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</si>
  <si>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</si>
  <si>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</si>
  <si>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</si>
  <si>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</si>
  <si>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</si>
  <si>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</si>
  <si>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</si>
  <si>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</si>
  <si>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</si>
  <si>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</si>
  <si>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</si>
  <si>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</si>
  <si>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</si>
  <si>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</si>
  <si>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</si>
  <si>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</si>
  <si>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</si>
  <si>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</si>
  <si>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</si>
  <si>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</si>
  <si>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</si>
  <si>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</si>
  <si>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</si>
  <si>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</si>
  <si>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</si>
  <si>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</si>
  <si>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</si>
  <si>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</si>
  <si>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</si>
  <si>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</si>
  <si>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</si>
  <si>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</si>
  <si>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</si>
  <si>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</si>
  <si>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</si>
  <si>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</si>
  <si>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</si>
  <si>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</si>
  <si>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</si>
  <si>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</si>
  <si>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</si>
  <si>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</si>
  <si>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</si>
  <si>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</si>
  <si>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</si>
  <si>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</si>
  <si>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</si>
  <si>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</si>
  <si>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</si>
  <si>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</si>
  <si>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</si>
  <si>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</si>
  <si>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</si>
  <si>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</si>
  <si>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</si>
  <si>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</si>
  <si>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</si>
  <si>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</si>
  <si>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</si>
  <si>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</si>
  <si>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</si>
  <si>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</si>
  <si>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</si>
  <si>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</si>
  <si>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</si>
  <si>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</si>
  <si>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</si>
  <si>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</si>
  <si>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</si>
  <si>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</si>
  <si>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</si>
  <si>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</si>
  <si>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</si>
  <si>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</si>
  <si>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</si>
  <si>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</si>
  <si>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</si>
  <si>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</si>
  <si>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</si>
  <si>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</si>
  <si>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</si>
  <si>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</si>
  <si>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</si>
  <si>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</si>
  <si>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</si>
  <si>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</si>
  <si>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</si>
  <si>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</si>
  <si>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</si>
  <si>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</si>
  <si>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</si>
  <si>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</si>
  <si>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</si>
  <si>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</si>
  <si>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</si>
  <si>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</si>
  <si>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</si>
  <si>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</si>
  <si>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</si>
  <si>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</si>
  <si>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</si>
  <si>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</si>
  <si>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</si>
  <si>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</si>
  <si>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</si>
  <si>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</si>
  <si>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</si>
  <si>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</si>
  <si>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</si>
  <si>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</si>
  <si>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</si>
  <si>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</si>
  <si>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</si>
  <si>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</si>
  <si>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</si>
  <si>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</si>
  <si>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</si>
  <si>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</si>
  <si>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</si>
  <si>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</si>
  <si>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</si>
  <si>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</si>
  <si>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</si>
  <si>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</si>
  <si>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</si>
  <si>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</si>
  <si>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</si>
  <si>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</si>
  <si>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</si>
  <si>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</si>
  <si>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</si>
  <si>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</si>
  <si>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</si>
  <si>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</si>
  <si>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</si>
  <si>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</si>
  <si>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</si>
  <si>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</si>
  <si>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</si>
  <si>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</si>
  <si>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</si>
  <si>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</si>
  <si>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</si>
  <si>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</si>
  <si>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</si>
  <si>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</si>
  <si>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</si>
  <si>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</si>
  <si>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</si>
  <si>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</si>
  <si>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</si>
  <si>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</si>
  <si>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</si>
  <si>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</si>
  <si>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</si>
  <si>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</si>
  <si>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</si>
  <si>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</si>
  <si>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</si>
  <si>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</si>
  <si>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</si>
  <si>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</si>
  <si>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</si>
  <si>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</si>
  <si>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</si>
  <si>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</si>
  <si>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</si>
  <si>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</si>
  <si>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</si>
  <si>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</si>
  <si>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</si>
  <si>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</si>
  <si>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</si>
  <si>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</si>
  <si>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</si>
  <si>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</si>
  <si>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</si>
  <si>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</si>
  <si>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</si>
  <si>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</si>
  <si>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</si>
  <si>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</si>
  <si>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</si>
  <si>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</si>
  <si>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</si>
  <si>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</si>
  <si>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</si>
  <si>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</si>
  <si>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</si>
  <si>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</si>
  <si>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</si>
  <si>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</si>
  <si>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</si>
  <si>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</si>
  <si>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</si>
  <si>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</si>
  <si>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</si>
  <si>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</si>
  <si>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</si>
  <si>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</si>
  <si>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</si>
  <si>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</si>
  <si>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</si>
  <si>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</si>
  <si>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</si>
  <si>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</si>
  <si>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</si>
  <si>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</si>
  <si>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</si>
  <si>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</si>
  <si>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</si>
  <si>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</si>
  <si>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</si>
  <si>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</si>
  <si>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</si>
  <si>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</si>
  <si>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</si>
  <si>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</si>
  <si>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</si>
  <si>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</si>
  <si>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</si>
  <si>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</si>
  <si>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</si>
  <si>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</si>
  <si>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</si>
  <si>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</si>
  <si>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</si>
  <si>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</si>
  <si>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</si>
  <si>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</si>
  <si>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</si>
  <si>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</si>
  <si>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</si>
  <si>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</si>
  <si>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</si>
  <si>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</si>
  <si>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</si>
  <si>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</si>
  <si>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</si>
  <si>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</si>
  <si>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</si>
  <si>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</si>
  <si>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</si>
  <si>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</si>
  <si>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</si>
  <si>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</si>
  <si>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</si>
  <si>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</si>
  <si>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</si>
  <si>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</si>
  <si>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</si>
  <si>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</si>
  <si>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</si>
  <si>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</si>
  <si>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</si>
  <si>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</si>
  <si>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</si>
  <si>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</si>
  <si>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</si>
  <si>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</si>
  <si>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</si>
  <si>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</si>
  <si>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</si>
  <si>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</si>
  <si>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</si>
  <si>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</si>
  <si>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</si>
  <si>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</si>
  <si>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</si>
  <si>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</si>
  <si>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</si>
  <si>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</si>
  <si>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</si>
  <si>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</si>
  <si>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</si>
  <si>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</si>
  <si>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</si>
  <si>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</si>
  <si>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</si>
  <si>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</si>
  <si>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</si>
  <si>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</si>
  <si>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</si>
  <si>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</si>
  <si>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</si>
  <si>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</si>
  <si>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</si>
  <si>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</si>
  <si>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</si>
  <si>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</si>
  <si>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</si>
  <si>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</si>
  <si>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</si>
  <si>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</si>
  <si>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</si>
  <si>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</si>
  <si>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</si>
  <si>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</si>
  <si>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</si>
  <si>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</si>
  <si>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</si>
  <si>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</si>
  <si>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</si>
  <si>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</si>
  <si>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</si>
  <si>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</si>
  <si>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</si>
  <si>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</si>
  <si>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</si>
  <si>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</si>
  <si>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</si>
  <si>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</si>
  <si>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</si>
  <si>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</si>
  <si>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</si>
  <si>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</si>
  <si>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</si>
  <si>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</si>
  <si>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</si>
  <si>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</si>
  <si>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</si>
  <si>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</si>
  <si>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</si>
  <si>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</si>
  <si>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</si>
  <si>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</si>
  <si>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</si>
  <si>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</si>
  <si>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</si>
  <si>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</si>
  <si>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</si>
  <si>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</si>
  <si>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</si>
  <si>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</si>
  <si>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</si>
  <si>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</si>
  <si>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</si>
  <si>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</si>
  <si>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</si>
  <si>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</si>
  <si>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</si>
  <si>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</si>
  <si>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</si>
  <si>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</si>
  <si>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</si>
  <si>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</si>
  <si>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</si>
  <si>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</si>
  <si>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</si>
  <si>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</si>
  <si>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</si>
  <si>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</si>
  <si>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</si>
  <si>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</si>
  <si>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</si>
  <si>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</si>
  <si>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</si>
  <si>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</si>
  <si>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</si>
  <si>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</si>
  <si>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</si>
  <si>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</si>
  <si>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</si>
  <si>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</si>
  <si>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</si>
  <si>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</si>
  <si>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</si>
  <si>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</si>
  <si>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</si>
  <si>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</si>
  <si>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</si>
  <si>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</si>
  <si>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</si>
  <si>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</si>
  <si>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</si>
  <si>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</si>
  <si>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</si>
  <si>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</si>
  <si>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</si>
  <si>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</si>
  <si>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</si>
  <si>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</si>
  <si>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</si>
  <si>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</si>
  <si>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</si>
  <si>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</si>
  <si>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</si>
  <si>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</si>
  <si>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</si>
  <si>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</si>
  <si>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</si>
  <si>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</si>
  <si>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</si>
  <si>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</si>
  <si>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</si>
  <si>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</si>
  <si>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</si>
  <si>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</si>
  <si>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</si>
  <si>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</si>
  <si>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</si>
  <si>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</si>
  <si>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</si>
  <si>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</si>
  <si>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</si>
  <si>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</si>
  <si>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</si>
  <si>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</si>
  <si>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</si>
  <si>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</si>
  <si>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</si>
  <si>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</si>
  <si>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</si>
  <si>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</si>
  <si>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</si>
  <si>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</si>
  <si>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</si>
  <si>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</si>
  <si>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</si>
  <si>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</si>
  <si>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</si>
  <si>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</si>
  <si>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</si>
  <si>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</si>
  <si>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</si>
  <si>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</si>
  <si>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</si>
  <si>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</si>
  <si>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</si>
  <si>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</si>
  <si>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</si>
  <si>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</si>
  <si>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</si>
  <si>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</si>
  <si>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</si>
  <si>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</si>
  <si>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</si>
  <si>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</si>
  <si>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</si>
  <si>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</si>
  <si>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</si>
  <si>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</si>
  <si>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</si>
  <si>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</si>
  <si>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</si>
  <si>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</si>
  <si>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</si>
  <si>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</si>
  <si>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</si>
  <si>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</si>
  <si>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</si>
  <si>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</si>
  <si>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</si>
  <si>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</si>
  <si>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</si>
  <si>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</si>
  <si>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</si>
  <si>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</si>
  <si>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</si>
  <si>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</si>
  <si>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</si>
  <si>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</si>
  <si>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</si>
  <si>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</si>
  <si>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</si>
  <si>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</si>
  <si>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</si>
  <si>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</si>
  <si>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</si>
  <si>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</si>
  <si>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</si>
  <si>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</si>
  <si>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</si>
  <si>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</si>
  <si>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</si>
  <si>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</si>
  <si>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</si>
  <si>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</si>
  <si>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</si>
  <si>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</si>
  <si>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</si>
  <si>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</si>
  <si>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</si>
  <si>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</si>
  <si>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</si>
  <si>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</si>
  <si>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</si>
  <si>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</si>
  <si>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</si>
  <si>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</si>
  <si>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</si>
  <si>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</si>
  <si>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</si>
  <si>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</si>
  <si>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</si>
  <si>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</si>
  <si>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</si>
  <si>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</si>
  <si>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</si>
  <si>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</si>
  <si>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</si>
  <si>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</si>
  <si>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</si>
  <si>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</si>
  <si>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</si>
  <si>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</si>
  <si>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</si>
  <si>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</si>
  <si>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</si>
  <si>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</si>
  <si>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</si>
  <si>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</si>
  <si>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</si>
  <si>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</si>
  <si>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</si>
  <si>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</si>
  <si>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</si>
  <si>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</si>
  <si>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</si>
  <si>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</si>
  <si>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</si>
  <si>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</si>
  <si>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</si>
  <si>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</si>
  <si>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</si>
  <si>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</si>
  <si>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</si>
  <si>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</si>
  <si>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</si>
  <si>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</si>
  <si>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</si>
  <si>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</si>
  <si>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</si>
  <si>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</si>
  <si>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</si>
  <si>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</si>
  <si>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</si>
  <si>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</si>
  <si>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</si>
  <si>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</si>
  <si>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</si>
  <si>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</si>
  <si>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</si>
  <si>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</si>
  <si>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</si>
  <si>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</si>
  <si>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</si>
  <si>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</si>
  <si>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</si>
  <si>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</si>
  <si>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</si>
  <si>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</si>
  <si>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</si>
  <si>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</si>
  <si>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</si>
  <si>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</si>
  <si>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</si>
  <si>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</si>
  <si>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</si>
  <si>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</si>
  <si>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</si>
  <si>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</si>
  <si>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</si>
  <si>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</si>
  <si>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</si>
  <si>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</si>
  <si>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</si>
  <si>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</si>
  <si>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</si>
  <si>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</si>
  <si>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</si>
  <si>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</si>
  <si>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</si>
  <si>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</si>
  <si>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</si>
  <si>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</si>
  <si>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</si>
  <si>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</si>
  <si>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</si>
  <si>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</si>
  <si>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</si>
  <si>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</si>
  <si>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</si>
  <si>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</si>
  <si>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</si>
  <si>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</si>
  <si>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</si>
  <si>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</si>
  <si>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</si>
  <si>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</si>
  <si>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</si>
  <si>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</si>
  <si>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</si>
  <si>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</si>
  <si>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</si>
  <si>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</si>
  <si>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</si>
  <si>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</si>
  <si>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</si>
  <si>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</si>
  <si>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</si>
  <si>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</si>
  <si>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</si>
  <si>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</si>
  <si>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</si>
  <si>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</si>
  <si>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</si>
  <si>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</si>
  <si>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</si>
  <si>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</si>
  <si>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</si>
  <si>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</si>
  <si>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</si>
  <si>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</si>
  <si>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</si>
  <si>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</si>
  <si>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</si>
  <si>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</si>
  <si>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</si>
  <si>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</si>
  <si>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</si>
  <si>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</si>
  <si>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</si>
  <si>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</si>
  <si>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</si>
  <si>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</si>
  <si>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</si>
  <si>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</si>
  <si>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</si>
  <si>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</si>
  <si>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</si>
  <si>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</si>
  <si>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</si>
  <si>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</si>
  <si>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</si>
  <si>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</si>
  <si>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</si>
  <si>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</si>
  <si>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</si>
  <si>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</si>
  <si>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</si>
  <si>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</si>
  <si>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</si>
  <si>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</si>
  <si>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</si>
  <si>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</si>
  <si>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</si>
  <si>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</si>
  <si>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</si>
  <si>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</si>
  <si>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</si>
  <si>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</si>
  <si>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</si>
  <si>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</si>
  <si>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</si>
  <si>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</si>
  <si>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</si>
  <si>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</si>
  <si>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</si>
  <si>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</si>
  <si>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</si>
  <si>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</si>
  <si>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</si>
  <si>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</si>
  <si>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</si>
  <si>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</si>
  <si>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</si>
  <si>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</si>
  <si>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</si>
  <si>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</si>
  <si>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</si>
  <si>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</si>
  <si>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</si>
  <si>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</si>
  <si>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</si>
  <si>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</si>
  <si>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</si>
  <si>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</si>
  <si>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</si>
  <si>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</si>
  <si>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</si>
  <si>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</si>
  <si>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</si>
  <si>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</si>
  <si>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</si>
  <si>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</si>
  <si>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</si>
  <si>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</si>
  <si>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</si>
  <si>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</si>
  <si>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</si>
  <si>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</si>
  <si>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</si>
  <si>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</si>
  <si>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</si>
  <si>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</si>
  <si>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</si>
  <si>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</si>
  <si>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</si>
  <si>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</si>
  <si>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</si>
  <si>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</si>
  <si>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</si>
  <si>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</si>
  <si>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</si>
  <si>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</si>
  <si>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</si>
  <si>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</si>
  <si>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</si>
  <si>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</si>
  <si>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</si>
  <si>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</si>
  <si>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</si>
  <si>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</si>
  <si>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</si>
  <si>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</si>
  <si>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</si>
  <si>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</si>
  <si>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</si>
  <si>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</si>
  <si>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</si>
  <si>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</si>
  <si>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</si>
  <si>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</si>
  <si>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</si>
  <si>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</si>
  <si>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</si>
  <si>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</si>
  <si>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</si>
  <si>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</si>
  <si>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</si>
  <si>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</si>
  <si>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</si>
  <si>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</si>
  <si>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</si>
  <si>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</si>
  <si>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</si>
  <si>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</si>
  <si>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</si>
  <si>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</si>
  <si>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</si>
  <si>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</si>
  <si>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</si>
  <si>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</si>
  <si>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</si>
  <si>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</si>
  <si>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</si>
  <si>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</si>
  <si>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</si>
  <si>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</si>
  <si>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</si>
  <si>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</si>
  <si>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</si>
  <si>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</si>
  <si>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</si>
  <si>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</si>
  <si>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</si>
  <si>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</si>
  <si>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</si>
  <si>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</si>
  <si>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</si>
  <si>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</si>
  <si>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</si>
  <si>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</si>
  <si>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</si>
  <si>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</si>
  <si>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</si>
  <si>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</si>
  <si>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</si>
  <si>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</si>
  <si>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</si>
  <si>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</si>
  <si>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</si>
  <si>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</si>
  <si>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</si>
  <si>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</si>
  <si>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</si>
  <si>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</si>
  <si>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</si>
  <si>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</si>
  <si>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</si>
  <si>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</si>
  <si>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</si>
  <si>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</si>
  <si>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</si>
  <si>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</si>
  <si>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</si>
  <si>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</si>
  <si>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</si>
  <si>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</si>
  <si>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</si>
  <si>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</si>
  <si>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</si>
  <si>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</si>
  <si>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</si>
  <si>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</si>
  <si>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</si>
  <si>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</si>
  <si>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</si>
  <si>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</si>
  <si>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</si>
  <si>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</si>
  <si>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</si>
  <si>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</si>
  <si>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</si>
  <si>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</si>
  <si>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</si>
  <si>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</si>
  <si>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</si>
  <si>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</si>
  <si>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</si>
  <si>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</si>
  <si>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</si>
  <si>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</si>
  <si>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</si>
  <si>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</si>
  <si>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</si>
  <si>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</si>
  <si>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</si>
  <si>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</si>
  <si>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</si>
  <si>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</si>
  <si>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</si>
  <si>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</si>
  <si>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</si>
  <si>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</si>
  <si>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</si>
  <si>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</si>
  <si>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</si>
  <si>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</si>
  <si>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</si>
  <si>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</si>
  <si>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</si>
  <si>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</si>
  <si>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</si>
  <si>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</si>
  <si>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</si>
  <si>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</si>
  <si>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</si>
  <si>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</si>
  <si>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</si>
  <si>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</si>
  <si>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</si>
  <si>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</si>
  <si>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</si>
  <si>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</si>
  <si>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</si>
  <si>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</si>
  <si>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</si>
  <si>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</si>
  <si>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</si>
  <si>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</si>
  <si>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</si>
  <si>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</si>
  <si>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</si>
  <si>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</si>
  <si>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</si>
  <si>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</si>
  <si>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</si>
  <si>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</si>
  <si>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</si>
  <si>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</si>
  <si>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</si>
  <si>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</si>
  <si>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</si>
  <si>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</si>
  <si>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</si>
  <si>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</si>
  <si>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</si>
  <si>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</si>
  <si>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</si>
  <si>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</si>
  <si>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</si>
  <si>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</si>
  <si>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</si>
  <si>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</si>
  <si>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</si>
  <si>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</si>
  <si>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</si>
  <si>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</si>
  <si>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</si>
  <si>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</si>
  <si>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</si>
  <si>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</si>
  <si>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</si>
  <si>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</si>
  <si>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</si>
  <si>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</si>
  <si>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</si>
  <si>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</si>
  <si>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</si>
  <si>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</si>
  <si>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</si>
  <si>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</si>
  <si>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</si>
  <si>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</si>
  <si>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</si>
  <si>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</si>
  <si>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</si>
  <si>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</si>
  <si>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</si>
  <si>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</si>
  <si>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</si>
  <si>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</si>
  <si>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</si>
  <si>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</si>
  <si>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</si>
  <si>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</si>
  <si>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</si>
  <si>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</si>
  <si>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</si>
  <si>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</si>
  <si>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</si>
  <si>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</si>
  <si>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</si>
  <si>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</si>
  <si>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</si>
  <si>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</si>
  <si>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</si>
  <si>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</si>
  <si>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</si>
  <si>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</si>
  <si>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</si>
  <si>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</si>
  <si>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</si>
  <si>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</si>
  <si>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</si>
  <si>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</si>
  <si>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</si>
  <si>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</si>
  <si>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</si>
  <si>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</si>
  <si>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</si>
  <si>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</si>
  <si>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</si>
  <si>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</si>
  <si>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</si>
  <si>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</si>
  <si>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</si>
  <si>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</si>
  <si>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</si>
  <si>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</si>
  <si>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</si>
  <si>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</si>
  <si>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</si>
  <si>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</si>
  <si>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</si>
  <si>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</si>
  <si>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</si>
  <si>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</si>
  <si>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</si>
  <si>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</si>
  <si>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</si>
  <si>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</si>
  <si>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</si>
  <si>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</si>
  <si>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</si>
  <si>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</si>
  <si>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</si>
  <si>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</si>
  <si>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</si>
  <si>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</si>
  <si>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</si>
  <si>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</si>
  <si>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</si>
  <si>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</si>
  <si>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</si>
  <si>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</si>
  <si>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</si>
  <si>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</si>
  <si>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</si>
  <si>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</si>
  <si>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</si>
  <si>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</si>
  <si>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</si>
  <si>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</si>
  <si>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</si>
  <si>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</si>
  <si>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</si>
  <si>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</si>
  <si>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</si>
  <si>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</si>
  <si>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</si>
  <si>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</si>
  <si>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</si>
  <si>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</si>
  <si>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</si>
  <si>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</si>
  <si>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</si>
  <si>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</si>
  <si>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</si>
  <si>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</si>
  <si>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</si>
  <si>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</si>
  <si>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</si>
  <si>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</si>
  <si>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</si>
  <si>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</si>
  <si>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</si>
  <si>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</si>
  <si>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</si>
  <si>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</si>
  <si>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</si>
  <si>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</si>
  <si>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</si>
  <si>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</si>
  <si>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</si>
  <si>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</si>
  <si>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</si>
  <si>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</si>
  <si>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</si>
  <si>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</si>
  <si>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</si>
  <si>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</si>
  <si>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</si>
  <si>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</si>
  <si>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</si>
  <si>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</si>
  <si>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</si>
  <si>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</si>
  <si>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</si>
  <si>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</si>
  <si>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</si>
  <si>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</si>
  <si>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</si>
  <si>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</si>
  <si>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</si>
  <si>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</si>
  <si>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</si>
  <si>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</si>
  <si>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</si>
  <si>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</si>
  <si>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</si>
  <si>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</si>
  <si>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</si>
  <si>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</si>
  <si>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</si>
  <si>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</si>
  <si>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</si>
  <si>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</si>
  <si>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</si>
  <si>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</si>
  <si>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</si>
  <si>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</si>
  <si>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</si>
  <si>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</si>
  <si>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</si>
  <si>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</si>
  <si>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</si>
  <si>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</si>
  <si>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</si>
  <si>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</si>
  <si>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</si>
  <si>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</si>
  <si>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</si>
  <si>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</si>
  <si>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</si>
  <si>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</si>
  <si>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</si>
  <si>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</si>
  <si>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</si>
  <si>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</si>
  <si>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</si>
  <si>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</si>
  <si>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</si>
  <si>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</si>
  <si>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</si>
  <si>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</si>
  <si>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</si>
  <si>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</si>
  <si>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</si>
  <si>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</si>
  <si>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</si>
  <si>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</si>
  <si>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</si>
  <si>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</si>
  <si>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</si>
  <si>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</si>
  <si>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</si>
  <si>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</si>
  <si>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</si>
  <si>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</si>
  <si>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</si>
  <si>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</si>
  <si>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</si>
  <si>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</si>
  <si>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</si>
  <si>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</si>
  <si>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</si>
  <si>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</si>
  <si>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</si>
  <si>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</si>
  <si>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</si>
  <si>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</si>
  <si>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</si>
  <si>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</si>
  <si>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</si>
  <si>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</si>
  <si>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</si>
  <si>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</si>
  <si>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</si>
  <si>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</si>
  <si>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</si>
  <si>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</si>
  <si>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</si>
  <si>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</si>
  <si>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</si>
  <si>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</si>
  <si>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</si>
  <si>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</si>
  <si>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</si>
  <si>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</si>
  <si>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</si>
  <si>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</si>
  <si>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</si>
  <si>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</si>
  <si>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</si>
  <si>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</si>
  <si>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</si>
  <si>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</si>
  <si>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</si>
  <si>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</si>
  <si>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</si>
  <si>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</si>
  <si>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</si>
  <si>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</si>
  <si>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</si>
  <si>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</si>
  <si>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</si>
  <si>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</si>
  <si>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</si>
  <si>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</si>
  <si>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</si>
  <si>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</si>
  <si>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</si>
  <si>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</si>
  <si>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</si>
  <si>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</si>
  <si>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</si>
  <si>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</si>
  <si>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</si>
  <si>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</si>
  <si>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</si>
  <si>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</si>
  <si>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</si>
  <si>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</si>
  <si>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</si>
  <si>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</si>
  <si>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</si>
  <si>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</si>
  <si>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</si>
  <si>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</si>
  <si>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</si>
  <si>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</si>
  <si>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</si>
  <si>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</si>
  <si>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</si>
  <si>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</si>
  <si>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</si>
  <si>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</si>
  <si>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</si>
  <si>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</si>
  <si>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</si>
  <si>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</si>
  <si>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</si>
  <si>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</si>
  <si>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</si>
  <si>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</si>
  <si>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</si>
  <si>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</si>
  <si>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</si>
  <si>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</si>
  <si>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</si>
  <si>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</si>
  <si>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</si>
  <si>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</si>
  <si>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</si>
  <si>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</si>
  <si>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</si>
  <si>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</si>
  <si>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</si>
  <si>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</si>
  <si>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</si>
  <si>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</si>
  <si>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</si>
  <si>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</si>
  <si>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</si>
  <si>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</si>
  <si>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</si>
  <si>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</si>
  <si>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</si>
  <si>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</si>
  <si>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</si>
  <si>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</si>
  <si>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</si>
  <si>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</si>
  <si>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</si>
  <si>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</si>
  <si>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</si>
  <si>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</si>
  <si>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</si>
  <si>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</si>
  <si>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</si>
  <si>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</si>
  <si>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</si>
  <si>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</si>
  <si>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</si>
  <si>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</si>
  <si>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</si>
  <si>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</si>
  <si>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</si>
  <si>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</si>
  <si>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</si>
  <si>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</si>
  <si>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</si>
  <si>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</si>
  <si>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</si>
  <si>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</si>
  <si>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</si>
  <si>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</si>
  <si>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</si>
  <si>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</si>
  <si>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</si>
  <si>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</si>
  <si>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</si>
  <si>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</si>
  <si>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</si>
  <si>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</si>
  <si>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</si>
  <si>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</si>
  <si>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</si>
  <si>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</si>
  <si>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</si>
  <si>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</si>
  <si>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</si>
  <si>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</si>
  <si>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</si>
  <si>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</si>
  <si>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</si>
  <si>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</si>
  <si>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</si>
  <si>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</si>
  <si>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</si>
  <si>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</si>
  <si>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</si>
  <si>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</si>
  <si>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</si>
  <si>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</si>
  <si>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</si>
  <si>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</si>
  <si>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</si>
  <si>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</si>
  <si>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</si>
  <si>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</si>
  <si>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</si>
  <si>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</si>
  <si>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</si>
  <si>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</si>
  <si>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</si>
  <si>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</si>
  <si>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</si>
  <si>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</si>
  <si>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</si>
  <si>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</si>
  <si>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</si>
  <si>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</si>
  <si>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</si>
  <si>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</si>
  <si>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</si>
  <si>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</si>
  <si>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</si>
  <si>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</si>
  <si>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</si>
  <si>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</si>
  <si>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</si>
  <si>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</si>
  <si>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</si>
  <si>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</si>
  <si>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</si>
  <si>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</si>
  <si>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</si>
  <si>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</si>
  <si>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</si>
  <si>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</si>
  <si>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</si>
  <si>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</si>
  <si>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</si>
  <si>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</si>
  <si>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</si>
  <si>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</si>
  <si>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</si>
  <si>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</si>
  <si>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</si>
  <si>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</si>
  <si>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</si>
  <si>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</si>
  <si>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</si>
  <si>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</si>
  <si>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</si>
  <si>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</si>
  <si>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</si>
  <si>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</si>
  <si>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</si>
  <si>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</si>
  <si>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</si>
  <si>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</si>
  <si>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</si>
  <si>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</si>
  <si>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</si>
  <si>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</si>
  <si>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</si>
  <si>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</si>
  <si>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</si>
  <si>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</si>
  <si>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</si>
  <si>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</si>
  <si>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</si>
  <si>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</si>
  <si>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</si>
  <si>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</si>
  <si>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</si>
  <si>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</si>
  <si>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</si>
  <si>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</si>
  <si>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</si>
  <si>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</si>
  <si>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</si>
  <si>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</si>
  <si>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</si>
  <si>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</si>
  <si>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</si>
  <si>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</si>
  <si>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</si>
  <si>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</si>
  <si>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</si>
  <si>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</si>
  <si>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</si>
  <si>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</si>
  <si>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</si>
  <si>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</si>
  <si>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</si>
  <si>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</si>
  <si>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</si>
  <si>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</si>
  <si>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</si>
  <si>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</si>
  <si>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</si>
  <si>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</si>
  <si>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</si>
  <si>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</si>
  <si>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</si>
  <si>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</si>
  <si>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</si>
  <si>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</si>
  <si>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</si>
  <si>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</si>
  <si>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</si>
  <si>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</si>
  <si>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</si>
  <si>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</si>
  <si>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</si>
  <si>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</si>
  <si>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</si>
  <si>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</si>
  <si>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</si>
  <si>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</si>
  <si>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</si>
  <si>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</si>
  <si>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</si>
  <si>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</si>
  <si>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</si>
  <si>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</si>
  <si>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</si>
  <si>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</si>
  <si>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</si>
  <si>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</si>
  <si>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</si>
  <si>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</si>
  <si>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</si>
  <si>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</si>
  <si>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</si>
  <si>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</si>
  <si>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</si>
  <si>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</si>
  <si>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</si>
  <si>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</si>
  <si>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</si>
  <si>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</si>
  <si>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</si>
  <si>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</si>
  <si>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</si>
  <si>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</si>
  <si>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</si>
  <si>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</si>
  <si>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</si>
  <si>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</si>
  <si>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</si>
  <si>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</si>
  <si>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</si>
  <si>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</si>
  <si>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</si>
  <si>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</si>
  <si>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</si>
  <si>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</si>
  <si>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</si>
  <si>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</si>
  <si>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</si>
  <si>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</si>
  <si>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</si>
  <si>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</si>
  <si>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</si>
  <si>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</si>
  <si>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</si>
  <si>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</si>
  <si>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</si>
  <si>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</si>
  <si>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</si>
  <si>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</si>
  <si>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</si>
  <si>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</si>
  <si>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</si>
  <si>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</si>
  <si>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</si>
  <si>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</si>
  <si>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</si>
  <si>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</si>
  <si>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</si>
  <si>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</si>
  <si>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</si>
  <si>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</si>
  <si>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</si>
  <si>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</si>
  <si>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</si>
  <si>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</si>
  <si>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</si>
  <si>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</si>
  <si>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</si>
  <si>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</si>
  <si>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</si>
  <si>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</si>
  <si>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</si>
  <si>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</si>
  <si>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</si>
  <si>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</si>
  <si>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</si>
  <si>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</si>
  <si>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</si>
  <si>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</si>
  <si>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</si>
  <si>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</si>
  <si>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</si>
  <si>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</si>
  <si>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</si>
  <si>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</si>
  <si>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</si>
  <si>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</si>
  <si>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</si>
  <si>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</si>
  <si>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</si>
  <si>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</si>
  <si>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</si>
  <si>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</si>
  <si>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</si>
  <si>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</si>
  <si>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</si>
  <si>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</si>
  <si>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</si>
  <si>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</si>
  <si>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</si>
  <si>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</si>
  <si>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</si>
  <si>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</si>
  <si>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</si>
  <si>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</si>
  <si>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</si>
  <si>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</si>
  <si>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</si>
  <si>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</si>
  <si>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</si>
  <si>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</si>
  <si>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</si>
  <si>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</si>
  <si>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</si>
  <si>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</si>
  <si>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</si>
  <si>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</si>
  <si>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</si>
  <si>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</si>
  <si>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</si>
  <si>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</si>
  <si>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</si>
  <si>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</si>
  <si>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</si>
  <si>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</si>
  <si>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</si>
  <si>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</si>
  <si>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</si>
  <si>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</si>
  <si>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</si>
  <si>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</si>
  <si>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</si>
  <si>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</si>
  <si>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</si>
  <si>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</si>
  <si>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</si>
  <si>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</si>
  <si>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</si>
  <si>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</si>
  <si>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</si>
  <si>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</si>
  <si>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</si>
  <si>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</si>
  <si>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</si>
  <si>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</si>
  <si>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</si>
  <si>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</si>
  <si>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</si>
  <si>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</si>
  <si>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</si>
  <si>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</si>
  <si>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</si>
  <si>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</si>
  <si>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</si>
  <si>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</si>
  <si>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</si>
  <si>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</si>
  <si>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</si>
  <si>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</si>
  <si>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</si>
  <si>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</si>
  <si>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</si>
  <si>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</si>
  <si>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</si>
  <si>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</si>
  <si>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</si>
  <si>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</si>
  <si>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</si>
  <si>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</si>
  <si>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</si>
  <si>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</si>
  <si>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</si>
  <si>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</si>
  <si>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</si>
  <si>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</si>
  <si>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</si>
  <si>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</si>
  <si>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</si>
  <si>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</si>
  <si>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</si>
  <si>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</si>
  <si>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</si>
  <si>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</si>
  <si>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</si>
  <si>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</si>
  <si>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</si>
  <si>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</si>
  <si>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</si>
  <si>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</si>
  <si>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</si>
  <si>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</si>
  <si>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</si>
  <si>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</si>
  <si>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</si>
  <si>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</si>
  <si>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</si>
  <si>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</si>
  <si>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</si>
  <si>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</si>
  <si>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</si>
  <si>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</si>
  <si>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</si>
  <si>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</si>
  <si>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</si>
  <si>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</si>
  <si>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</si>
  <si>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</si>
  <si>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</si>
  <si>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</si>
  <si>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</si>
  <si>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</si>
  <si>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</si>
  <si>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</si>
  <si>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</si>
  <si>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</si>
  <si>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</si>
  <si>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</si>
  <si>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</si>
  <si>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</si>
  <si>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</si>
  <si>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</si>
  <si>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</si>
  <si>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</si>
  <si>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</si>
  <si>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</si>
  <si>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</si>
  <si>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</si>
  <si>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</si>
  <si>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</si>
  <si>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</si>
  <si>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</si>
  <si>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</si>
  <si>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</si>
  <si>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</si>
  <si>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</si>
  <si>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</si>
  <si>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</si>
  <si>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</si>
  <si>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</si>
  <si>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</si>
  <si>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</si>
  <si>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</si>
  <si>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</si>
  <si>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</si>
  <si>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</si>
  <si>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</si>
  <si>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</si>
  <si>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</si>
  <si>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</si>
  <si>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</si>
  <si>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</si>
  <si>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</si>
  <si>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</si>
  <si>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</si>
  <si>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</si>
  <si>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</si>
  <si>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</si>
  <si>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</si>
  <si>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</si>
  <si>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</si>
  <si>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</si>
  <si>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</si>
  <si>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</si>
  <si>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</si>
  <si>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</si>
  <si>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</si>
  <si>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</si>
  <si>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</si>
  <si>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</si>
  <si>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</si>
  <si>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</si>
  <si>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</si>
  <si>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</si>
  <si>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</si>
  <si>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</si>
  <si>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</si>
  <si>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</si>
  <si>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</si>
  <si>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</si>
  <si>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</si>
  <si>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</si>
  <si>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</si>
  <si>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</si>
  <si>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</si>
  <si>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</si>
  <si>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</si>
  <si>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</si>
  <si>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</si>
  <si>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</si>
  <si>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</si>
  <si>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</si>
  <si>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</si>
  <si>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</si>
  <si>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</si>
  <si>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</si>
  <si>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</si>
  <si>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</si>
  <si>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</si>
  <si>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</si>
  <si>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</si>
  <si>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</si>
  <si>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</si>
  <si>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</si>
  <si>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</si>
  <si>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</si>
  <si>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</si>
  <si>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</si>
  <si>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</si>
  <si>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</si>
  <si>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</si>
  <si>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</si>
  <si>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</si>
  <si>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</si>
  <si>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</si>
  <si>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</si>
  <si>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</si>
  <si>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</si>
  <si>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</si>
  <si>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</si>
  <si>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</si>
  <si>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</si>
  <si>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</si>
  <si>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</si>
  <si>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</si>
  <si>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</si>
  <si>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</si>
  <si>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</si>
  <si>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</si>
  <si>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</si>
  <si>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</si>
  <si>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</si>
  <si>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</si>
  <si>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</si>
  <si>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</si>
  <si>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</si>
  <si>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</si>
  <si>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</si>
  <si>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</si>
  <si>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</si>
  <si>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</si>
  <si>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</si>
  <si>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</si>
  <si>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</si>
  <si>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</si>
  <si>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</si>
  <si>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</si>
  <si>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</si>
  <si>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</si>
  <si>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</si>
  <si>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</si>
  <si>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</si>
  <si>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</si>
  <si>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</si>
  <si>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</si>
  <si>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</si>
  <si>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</si>
  <si>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</si>
  <si>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</si>
  <si>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</si>
  <si>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</si>
  <si>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</si>
  <si>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</si>
  <si>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</si>
  <si>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</si>
  <si>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</si>
  <si>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</si>
  <si>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</si>
  <si>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</si>
  <si>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</si>
  <si>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</si>
  <si>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</si>
  <si>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</si>
  <si>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</si>
  <si>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</si>
  <si>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</si>
  <si>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</si>
  <si>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</si>
  <si>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</si>
  <si>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</si>
  <si>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</si>
  <si>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</si>
  <si>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</si>
  <si>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</si>
  <si>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</si>
  <si>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</si>
  <si>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</si>
  <si>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</si>
  <si>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</si>
  <si>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</si>
  <si>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</si>
  <si>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</si>
  <si>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</si>
  <si>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</si>
  <si>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</si>
  <si>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</si>
  <si>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</si>
  <si>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</si>
  <si>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</si>
  <si>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</si>
  <si>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</si>
  <si>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</si>
  <si>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</si>
  <si>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</si>
  <si>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</si>
  <si>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</si>
  <si>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</si>
  <si>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</si>
  <si>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</si>
  <si>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</si>
  <si>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</si>
  <si>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</si>
  <si>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</si>
  <si>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</si>
  <si>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</si>
  <si>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</si>
  <si>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</si>
  <si>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</si>
  <si>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</si>
  <si>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</si>
  <si>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</si>
  <si>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</si>
  <si>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</si>
  <si>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</si>
  <si>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</si>
  <si>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</si>
  <si>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</si>
  <si>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</si>
  <si>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</si>
  <si>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</si>
  <si>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</si>
  <si>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</si>
  <si>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</si>
  <si>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</si>
  <si>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</si>
  <si>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</si>
  <si>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</si>
  <si>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</si>
  <si>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</si>
  <si>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</si>
  <si>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</si>
  <si>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</si>
  <si>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</si>
  <si>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</si>
  <si>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</si>
  <si>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</si>
  <si>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</si>
  <si>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</si>
  <si>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</si>
  <si>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</si>
  <si>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</si>
  <si>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</si>
  <si>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</si>
  <si>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</si>
  <si>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</si>
  <si>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</si>
  <si>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</si>
  <si>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</si>
  <si>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</si>
  <si>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</si>
  <si>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</si>
  <si>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</si>
  <si>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</si>
  <si>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</si>
  <si>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</si>
  <si>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</si>
  <si>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</si>
  <si>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</si>
  <si>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</si>
  <si>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</si>
  <si>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</si>
  <si>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</si>
  <si>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</si>
  <si>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</si>
  <si>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</si>
  <si>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</si>
  <si>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</si>
  <si>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</si>
  <si>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</si>
  <si>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</si>
  <si>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</si>
  <si>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</si>
  <si>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</si>
  <si>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</si>
  <si>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</si>
  <si>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</si>
  <si>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</si>
  <si>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</si>
  <si>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</si>
  <si>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</si>
  <si>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</si>
  <si>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</si>
  <si>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</si>
  <si>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</si>
  <si>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</si>
  <si>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</si>
  <si>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</si>
  <si>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</si>
  <si>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</si>
  <si>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</si>
  <si>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</si>
  <si>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</si>
  <si>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</si>
  <si>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</si>
  <si>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</si>
  <si>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</si>
  <si>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</si>
  <si>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</si>
  <si>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</si>
  <si>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</si>
  <si>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</si>
  <si>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</si>
  <si>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</si>
  <si>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</si>
  <si>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</si>
  <si>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</si>
  <si>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</si>
  <si>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</si>
  <si>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</si>
  <si>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</si>
  <si>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</si>
  <si>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</si>
  <si>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</si>
  <si>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</si>
  <si>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</si>
  <si>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</si>
  <si>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</si>
  <si>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</si>
  <si>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</si>
  <si>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</si>
  <si>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</si>
  <si>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</si>
  <si>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</si>
  <si>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</si>
  <si>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</si>
  <si>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</si>
  <si>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</si>
  <si>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</si>
  <si>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</si>
  <si>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</si>
  <si>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</si>
  <si>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</si>
  <si>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</si>
  <si>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</si>
  <si>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</si>
  <si>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</si>
  <si>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</si>
  <si>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</si>
  <si>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</si>
  <si>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</si>
  <si>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</si>
  <si>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</si>
  <si>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</si>
  <si>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</si>
  <si>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</si>
  <si>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</si>
  <si>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</si>
  <si>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</si>
  <si>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</si>
  <si>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</si>
  <si>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</si>
  <si>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</si>
  <si>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</si>
  <si>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</si>
  <si>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</si>
  <si>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</si>
  <si>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</si>
  <si>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</si>
  <si>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</si>
  <si>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</si>
  <si>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</si>
  <si>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</si>
  <si>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</si>
  <si>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</si>
  <si>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</si>
  <si>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</si>
  <si>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</si>
  <si>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</si>
  <si>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</si>
  <si>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</si>
  <si>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</si>
  <si>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</si>
  <si>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</si>
  <si>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</si>
  <si>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</si>
  <si>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</si>
  <si>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</si>
  <si>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</si>
  <si>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</si>
  <si>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</si>
  <si>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</si>
  <si>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</si>
  <si>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</si>
  <si>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</si>
  <si>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</si>
  <si>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</si>
  <si>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</si>
  <si>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</si>
  <si>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</si>
  <si>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</si>
  <si>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</si>
  <si>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</si>
  <si>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</si>
  <si>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</si>
  <si>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</si>
  <si>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</si>
  <si>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</si>
  <si>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</si>
  <si>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</si>
  <si>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</si>
  <si>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</si>
  <si>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</si>
  <si>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</si>
  <si>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</si>
  <si>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</si>
  <si>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</si>
  <si>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</si>
  <si>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</si>
  <si>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</si>
  <si>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</si>
  <si>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</si>
  <si>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</si>
  <si>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</si>
  <si>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</si>
  <si>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</si>
  <si>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</si>
  <si>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</si>
  <si>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</si>
  <si>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</si>
  <si>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</si>
  <si>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</si>
  <si>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</si>
  <si>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</si>
  <si>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</si>
  <si>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</si>
  <si>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</si>
  <si>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</si>
  <si>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</si>
  <si>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</si>
  <si>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</si>
  <si>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</si>
  <si>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</si>
  <si>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</si>
  <si>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</si>
  <si>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</si>
  <si>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</si>
  <si>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</si>
  <si>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</si>
  <si>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</si>
  <si>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</si>
  <si>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</si>
  <si>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</si>
  <si>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</si>
  <si>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</si>
  <si>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</si>
  <si>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</si>
  <si>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</si>
  <si>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</si>
  <si>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</si>
  <si>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</si>
  <si>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</si>
  <si>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</si>
  <si>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</si>
  <si>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</si>
  <si>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</si>
  <si>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</si>
  <si>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</si>
  <si>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</si>
  <si>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</si>
  <si>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</si>
  <si>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</si>
  <si>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</si>
  <si>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</si>
  <si>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</si>
  <si>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</si>
  <si>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</si>
  <si>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</si>
  <si>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</si>
  <si>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</si>
  <si>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</si>
  <si>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</si>
  <si>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</si>
  <si>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</si>
  <si>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</si>
  <si>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</si>
  <si>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</si>
  <si>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</si>
  <si>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</si>
  <si>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</si>
  <si>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</si>
  <si>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</si>
  <si>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</si>
  <si>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</si>
  <si>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</si>
  <si>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</si>
  <si>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</si>
  <si>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</si>
  <si>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</si>
  <si>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</si>
  <si>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</si>
  <si>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</si>
  <si>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</si>
  <si>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</si>
  <si>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</si>
  <si>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</si>
  <si>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</si>
  <si>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</si>
  <si>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</si>
  <si>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</si>
  <si>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</si>
  <si>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</si>
  <si>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</si>
  <si>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</si>
  <si>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</si>
  <si>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</si>
  <si>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</si>
  <si>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</si>
  <si>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</si>
  <si>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</si>
  <si>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</si>
  <si>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</si>
  <si>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</si>
  <si>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</si>
  <si>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</si>
  <si>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</si>
  <si>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</si>
  <si>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</si>
  <si>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</si>
  <si>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</si>
  <si>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</si>
  <si>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</si>
  <si>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</si>
  <si>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</si>
  <si>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</si>
  <si>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</si>
  <si>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</si>
  <si>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</si>
  <si>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</si>
  <si>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</si>
  <si>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</si>
  <si>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</si>
  <si>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</si>
  <si>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</si>
  <si>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</si>
  <si>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</si>
  <si>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</si>
  <si>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</si>
  <si>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</si>
  <si>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</si>
  <si>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</si>
  <si>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</si>
  <si>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</si>
  <si>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</si>
  <si>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</si>
  <si>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</si>
  <si>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</si>
  <si>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</si>
  <si>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</si>
  <si>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</si>
  <si>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</si>
  <si>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</si>
  <si>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</si>
  <si>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</si>
  <si>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</si>
  <si>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</si>
  <si>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</si>
  <si>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</si>
  <si>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</si>
  <si>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</si>
  <si>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</si>
  <si>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</si>
  <si>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</si>
  <si>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</si>
  <si>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</si>
  <si>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</si>
  <si>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</si>
  <si>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</si>
  <si>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</si>
  <si>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</si>
  <si>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</si>
  <si>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</si>
  <si>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</si>
  <si>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</si>
  <si>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</si>
  <si>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</si>
  <si>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</si>
  <si>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</si>
  <si>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</si>
  <si>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</si>
  <si>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</si>
  <si>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</si>
  <si>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</si>
  <si>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</si>
  <si>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</si>
  <si>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</si>
  <si>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</si>
  <si>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</si>
  <si>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</si>
  <si>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</si>
  <si>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</si>
  <si>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</si>
  <si>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</si>
  <si>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</si>
  <si>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</si>
  <si>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</si>
  <si>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</si>
  <si>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</si>
  <si>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</si>
  <si>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</si>
  <si>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</si>
  <si>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</si>
  <si>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</si>
  <si>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</si>
  <si>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</si>
  <si>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</si>
  <si>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</si>
  <si>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</si>
  <si>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</si>
  <si>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</si>
  <si>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</si>
  <si>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</si>
  <si>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</si>
  <si>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</si>
  <si>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</si>
  <si>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</si>
  <si>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</si>
  <si>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</si>
  <si>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</si>
  <si>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</si>
  <si>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</si>
  <si>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</si>
  <si>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</si>
  <si>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</si>
  <si>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</si>
  <si>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</si>
  <si>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</si>
  <si>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</si>
  <si>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</si>
  <si>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</si>
  <si>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</si>
  <si>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</si>
  <si>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</si>
  <si>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</si>
  <si>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</si>
  <si>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</si>
  <si>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</si>
  <si>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</si>
  <si>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</si>
  <si>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</si>
  <si>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</si>
  <si>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</si>
  <si>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</si>
  <si>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</si>
  <si>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</si>
  <si>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</si>
  <si>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</si>
  <si>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</si>
  <si>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</si>
  <si>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</si>
  <si>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</si>
  <si>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</si>
  <si>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</si>
  <si>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</si>
  <si>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</si>
  <si>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</si>
  <si>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</si>
  <si>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</si>
  <si>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</si>
  <si>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</si>
  <si>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</si>
  <si>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</si>
  <si>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</si>
  <si>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</si>
  <si>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</si>
  <si>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</si>
  <si>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</si>
  <si>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</si>
  <si>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</si>
  <si>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</si>
  <si>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</si>
  <si>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</si>
  <si>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</si>
  <si>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</si>
  <si>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</si>
  <si>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</si>
  <si>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</si>
  <si>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</si>
  <si>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</si>
  <si>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</si>
  <si>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</si>
  <si>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</si>
  <si>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</si>
  <si>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</si>
  <si>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</si>
  <si>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</si>
  <si>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</si>
  <si>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</si>
  <si>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</si>
  <si>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</si>
  <si>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</si>
  <si>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</si>
  <si>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</si>
  <si>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</si>
  <si>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</si>
  <si>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</si>
  <si>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</si>
  <si>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</si>
  <si>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</si>
  <si>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</si>
  <si>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</si>
  <si>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</si>
  <si>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</si>
  <si>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</si>
  <si>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</si>
  <si>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</si>
  <si>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</si>
  <si>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</si>
  <si>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</si>
  <si>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</si>
  <si>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</si>
  <si>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</si>
  <si>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</si>
  <si>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</si>
  <si>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</si>
  <si>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</si>
  <si>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</si>
  <si>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</si>
  <si>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</si>
  <si>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</si>
  <si>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</si>
  <si>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</si>
  <si>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</si>
  <si>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</si>
  <si>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</si>
  <si>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</si>
  <si>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</si>
  <si>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</si>
  <si>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</si>
  <si>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</si>
  <si>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</si>
  <si>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</si>
  <si>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</si>
  <si>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</si>
  <si>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</si>
  <si>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</si>
  <si>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</si>
  <si>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</si>
  <si>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</si>
  <si>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</si>
  <si>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</si>
  <si>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</si>
  <si>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</si>
  <si>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</si>
  <si>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</si>
  <si>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</si>
  <si>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</si>
  <si>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</si>
  <si>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</si>
  <si>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</si>
  <si>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</si>
  <si>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</si>
  <si>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</si>
  <si>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</si>
  <si>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</si>
  <si>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</si>
  <si>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</si>
  <si>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</si>
  <si>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</si>
  <si>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</si>
  <si>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</si>
  <si>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</si>
  <si>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</si>
  <si>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</si>
  <si>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</si>
  <si>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</si>
  <si>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</si>
  <si>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</si>
  <si>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</si>
  <si>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</si>
  <si>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</si>
  <si>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</si>
  <si>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</si>
  <si>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</si>
  <si>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</si>
  <si>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</si>
  <si>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</si>
  <si>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</si>
  <si>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</si>
  <si>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</si>
  <si>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</si>
  <si>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</si>
  <si>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</si>
  <si>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</si>
  <si>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</si>
  <si>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</si>
  <si>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</si>
  <si>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</si>
  <si>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</si>
  <si>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</si>
  <si>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</si>
  <si>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</si>
  <si>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</si>
  <si>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</si>
  <si>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</si>
  <si>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</si>
  <si>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</si>
  <si>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</si>
  <si>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</si>
  <si>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</si>
  <si>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</si>
  <si>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</si>
  <si>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</si>
  <si>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</si>
  <si>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</si>
  <si>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</si>
  <si>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</si>
  <si>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</si>
  <si>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</si>
  <si>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</si>
  <si>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</si>
  <si>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</si>
  <si>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</si>
  <si>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</si>
  <si>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</si>
  <si>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</si>
  <si>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</si>
  <si>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</si>
  <si>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</si>
  <si>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</si>
  <si>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</si>
  <si>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</si>
  <si>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</si>
  <si>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</si>
  <si>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</si>
  <si>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</si>
  <si>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</si>
  <si>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</si>
  <si>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</si>
  <si>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</si>
  <si>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</si>
  <si>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</si>
  <si>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</si>
  <si>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</si>
  <si>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</si>
  <si>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</si>
  <si>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</si>
  <si>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</si>
  <si>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</si>
  <si>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</si>
  <si>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</si>
  <si>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</si>
  <si>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</si>
  <si>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</si>
  <si>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</si>
  <si>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</si>
  <si>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</si>
  <si>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</si>
  <si>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</si>
  <si>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</si>
  <si>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</si>
  <si>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</si>
  <si>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</si>
  <si>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</si>
  <si>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</si>
  <si>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</si>
  <si>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</si>
  <si>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</si>
  <si>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</si>
  <si>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</si>
  <si>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</si>
  <si>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</si>
  <si>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</si>
  <si>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</si>
  <si>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</si>
  <si>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</si>
  <si>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</si>
  <si>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</si>
  <si>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</si>
  <si>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</si>
  <si>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</si>
  <si>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</si>
  <si>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</si>
  <si>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</si>
  <si>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</si>
  <si>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</si>
  <si>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</si>
  <si>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</si>
  <si>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</si>
  <si>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</si>
  <si>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</si>
  <si>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</si>
  <si>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</si>
  <si>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</si>
  <si>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</si>
  <si>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</si>
  <si>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</si>
  <si>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</si>
  <si>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</si>
  <si>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</si>
  <si>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</si>
  <si>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</si>
  <si>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</si>
  <si>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</si>
  <si>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</si>
  <si>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</si>
  <si>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</si>
  <si>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</si>
  <si>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</si>
  <si>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</si>
  <si>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</si>
  <si>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</si>
  <si>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</si>
  <si>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</si>
  <si>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</si>
  <si>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</si>
  <si>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</si>
  <si>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</si>
  <si>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</si>
  <si>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</si>
  <si>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</si>
  <si>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</si>
  <si>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</si>
  <si>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</si>
  <si>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</si>
  <si>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</si>
  <si>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</si>
  <si>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</si>
  <si>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</si>
  <si>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</si>
  <si>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</si>
  <si>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</si>
  <si>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</si>
  <si>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</si>
  <si>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</si>
  <si>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</si>
  <si>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</si>
  <si>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</si>
  <si>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</si>
  <si>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</si>
  <si>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</si>
  <si>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</si>
  <si>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</si>
  <si>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</si>
  <si>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</si>
  <si>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</si>
  <si>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</si>
  <si>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</si>
  <si>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</si>
  <si>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</si>
  <si>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</si>
  <si>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</si>
  <si>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</si>
  <si>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</si>
  <si>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</si>
  <si>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</si>
  <si>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</si>
  <si>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</si>
  <si>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</si>
  <si>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</si>
  <si>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</si>
  <si>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</si>
  <si>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</si>
  <si>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</si>
  <si>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</si>
  <si>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</si>
  <si>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</si>
  <si>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</si>
  <si>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</si>
  <si>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</si>
  <si>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</si>
  <si>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</si>
  <si>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</si>
  <si>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</si>
  <si>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</si>
  <si>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</si>
  <si>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</si>
  <si>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</si>
  <si>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</si>
  <si>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</si>
  <si>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</si>
  <si>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</si>
  <si>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</si>
  <si>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</si>
  <si>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</si>
  <si>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</si>
  <si>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</si>
  <si>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</si>
  <si>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</si>
  <si>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</si>
  <si>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</si>
  <si>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</si>
  <si>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</si>
  <si>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</si>
  <si>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</si>
  <si>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</si>
  <si>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</si>
  <si>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</si>
  <si>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</si>
  <si>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</si>
  <si>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</si>
  <si>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</si>
  <si>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</si>
  <si>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</si>
  <si>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</si>
  <si>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</si>
  <si>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</si>
  <si>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</si>
  <si>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</si>
  <si>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</si>
  <si>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</si>
  <si>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</si>
  <si>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</si>
  <si>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</si>
  <si>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</si>
  <si>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</si>
  <si>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</si>
  <si>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</si>
  <si>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</si>
  <si>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</si>
  <si>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</si>
  <si>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</si>
  <si>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</si>
  <si>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</si>
  <si>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</si>
  <si>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</si>
  <si>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</si>
  <si>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</si>
  <si>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</si>
  <si>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</si>
  <si>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</si>
  <si>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</si>
  <si>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</si>
  <si>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</si>
  <si>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</si>
  <si>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</si>
  <si>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</si>
  <si>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</si>
  <si>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</si>
  <si>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</si>
  <si>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</si>
  <si>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</si>
  <si>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</si>
  <si>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</si>
  <si>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</si>
  <si>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</si>
  <si>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</si>
  <si>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</si>
  <si>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</si>
  <si>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</si>
  <si>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</si>
  <si>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</si>
  <si>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</si>
  <si>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</si>
  <si>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</si>
  <si>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</si>
  <si>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</si>
  <si>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</si>
  <si>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</si>
  <si>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</si>
  <si>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</si>
  <si>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</si>
  <si>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</si>
  <si>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</si>
  <si>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</si>
  <si>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</si>
  <si>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</si>
  <si>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</si>
  <si>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</si>
  <si>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</si>
  <si>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</si>
  <si>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</si>
  <si>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</si>
  <si>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</si>
  <si>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</si>
  <si>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</si>
  <si>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</si>
  <si>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</si>
  <si>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</si>
  <si>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</si>
  <si>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</si>
  <si>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</si>
  <si>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</si>
  <si>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</si>
  <si>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</si>
  <si>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</si>
  <si>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</si>
  <si>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</si>
  <si>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</si>
  <si>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</si>
  <si>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</si>
  <si>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</si>
  <si>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</si>
  <si>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</si>
  <si>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</si>
  <si>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</si>
  <si>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</si>
  <si>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</si>
  <si>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</si>
  <si>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</si>
  <si>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</si>
  <si>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</si>
  <si>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</si>
  <si>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</si>
  <si>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</si>
  <si>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</si>
  <si>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</si>
  <si>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</si>
  <si>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</si>
  <si>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</si>
  <si>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</si>
  <si>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</si>
  <si>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</si>
  <si>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</si>
  <si>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</si>
  <si>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</si>
  <si>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</si>
  <si>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</si>
  <si>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</si>
  <si>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</si>
  <si>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</si>
  <si>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</si>
  <si>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</si>
  <si>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</si>
  <si>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</si>
  <si>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</si>
  <si>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</si>
  <si>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</si>
  <si>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</si>
  <si>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</si>
  <si>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</si>
  <si>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</si>
  <si>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</si>
  <si>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</si>
  <si>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</si>
  <si>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</si>
  <si>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</si>
  <si>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</si>
  <si>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</si>
  <si>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</si>
  <si>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</si>
  <si>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</si>
  <si>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</si>
  <si>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</si>
  <si>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</si>
  <si>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</si>
  <si>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</si>
  <si>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</si>
  <si>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</si>
  <si>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</si>
  <si>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</si>
  <si>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</si>
  <si>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</si>
  <si>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</si>
  <si>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</si>
  <si>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</si>
  <si>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</si>
  <si>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</si>
  <si>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</si>
  <si>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</si>
  <si>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</si>
  <si>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</si>
  <si>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</si>
  <si>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</si>
  <si>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</si>
  <si>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</si>
  <si>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</si>
  <si>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</si>
  <si>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</si>
  <si>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</si>
  <si>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</si>
  <si>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</si>
  <si>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</si>
  <si>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</si>
  <si>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</si>
  <si>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</si>
  <si>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</si>
  <si>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</si>
  <si>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</si>
  <si>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</si>
  <si>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</si>
  <si>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</si>
  <si>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</si>
  <si>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</si>
  <si>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</si>
  <si>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</si>
  <si>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</si>
  <si>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</si>
  <si>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</si>
  <si>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</si>
  <si>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</si>
  <si>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</si>
  <si>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</si>
  <si>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</si>
  <si>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</si>
  <si>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</si>
  <si>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</si>
  <si>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</si>
  <si>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</si>
  <si>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</si>
  <si>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</si>
  <si>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</si>
  <si>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</si>
  <si>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</si>
  <si>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</si>
  <si>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</si>
  <si>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</si>
  <si>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</si>
  <si>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</si>
  <si>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</si>
  <si>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</si>
  <si>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</si>
  <si>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</si>
  <si>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</si>
  <si>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</si>
  <si>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</si>
  <si>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</si>
  <si>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</si>
  <si>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</si>
  <si>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</si>
  <si>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</si>
  <si>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</si>
  <si>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</si>
  <si>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</si>
  <si>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</si>
  <si>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</si>
  <si>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</si>
  <si>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</si>
  <si>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</si>
  <si>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</si>
  <si>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</si>
  <si>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</si>
  <si>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</si>
  <si>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</si>
  <si>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</si>
  <si>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</si>
  <si>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</si>
  <si>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</si>
  <si>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</si>
  <si>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</si>
  <si>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</si>
  <si>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</si>
  <si>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</si>
  <si>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</si>
  <si>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</si>
  <si>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</si>
  <si>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</si>
  <si>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</si>
  <si>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</si>
  <si>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</si>
  <si>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</si>
  <si>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</si>
  <si>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</si>
  <si>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</si>
  <si>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</si>
  <si>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</si>
  <si>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</si>
  <si>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</si>
  <si>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</si>
  <si>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</si>
  <si>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</si>
  <si>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</si>
  <si>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</si>
  <si>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</si>
  <si>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</si>
  <si>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</si>
  <si>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</si>
  <si>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</si>
  <si>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</si>
  <si>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</si>
  <si>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</si>
  <si>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</si>
  <si>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</si>
  <si>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</si>
  <si>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</si>
  <si>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</si>
  <si>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</si>
  <si>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</si>
  <si>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</si>
  <si>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</si>
  <si>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</si>
  <si>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</si>
  <si>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</si>
  <si>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</si>
  <si>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</si>
  <si>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</si>
  <si>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</si>
  <si>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</si>
  <si>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</si>
  <si>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</si>
  <si>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</si>
  <si>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</si>
  <si>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</si>
  <si>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</si>
  <si>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</si>
  <si>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</si>
  <si>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</si>
  <si>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</si>
  <si>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</si>
  <si>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</si>
  <si>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</si>
  <si>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</si>
  <si>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</si>
  <si>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</si>
  <si>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</si>
  <si>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</si>
  <si>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</si>
  <si>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</si>
  <si>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</si>
  <si>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</si>
  <si>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</si>
  <si>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</si>
  <si>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</si>
  <si>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</si>
  <si>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</si>
  <si>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</si>
  <si>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</si>
  <si>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</si>
  <si>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</si>
  <si>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</si>
  <si>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</si>
  <si>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</si>
  <si>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</si>
  <si>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</si>
  <si>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</si>
  <si>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</si>
  <si>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</si>
  <si>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</si>
  <si>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</si>
  <si>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</si>
  <si>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</si>
  <si>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</si>
  <si>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</si>
  <si>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</si>
  <si>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</si>
  <si>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</si>
  <si>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</si>
  <si>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</si>
  <si>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</si>
  <si>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</si>
  <si>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</si>
  <si>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</si>
  <si>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</si>
  <si>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</si>
  <si>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</si>
  <si>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</si>
  <si>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</si>
  <si>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</si>
  <si>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</si>
  <si>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</si>
  <si>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</si>
  <si>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</si>
  <si>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</si>
  <si>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</si>
  <si>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</si>
  <si>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</si>
  <si>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</si>
  <si>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</si>
  <si>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</si>
  <si>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</si>
  <si>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</si>
  <si>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</si>
  <si>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</si>
  <si>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</si>
  <si>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</si>
  <si>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</si>
  <si>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</si>
  <si>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</si>
  <si>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</si>
  <si>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</si>
  <si>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</si>
  <si>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</si>
  <si>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</si>
  <si>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</si>
  <si>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</si>
  <si>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</si>
  <si>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</si>
  <si>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</si>
  <si>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</si>
  <si>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</si>
  <si>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</si>
  <si>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</si>
  <si>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</si>
  <si>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</si>
  <si>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</si>
  <si>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</si>
  <si>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</si>
  <si>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</si>
  <si>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</si>
  <si>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</si>
  <si>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</si>
  <si>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</si>
  <si>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</si>
  <si>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</si>
  <si>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</si>
  <si>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</si>
  <si>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</si>
  <si>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</si>
  <si>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</si>
  <si>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</si>
  <si>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</si>
  <si>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</si>
  <si>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</si>
  <si>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</si>
  <si>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</si>
  <si>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</si>
  <si>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</si>
  <si>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</si>
  <si>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</si>
  <si>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</si>
  <si>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</si>
  <si>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</si>
  <si>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</si>
  <si>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</si>
  <si>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</si>
  <si>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</si>
  <si>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</si>
  <si>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</si>
  <si>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</si>
  <si>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</si>
  <si>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</si>
  <si>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</si>
  <si>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</si>
  <si>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</si>
  <si>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</si>
  <si>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</si>
  <si>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</si>
  <si>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</si>
  <si>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</si>
  <si>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</si>
  <si>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</si>
  <si>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</si>
  <si>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</si>
  <si>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</si>
  <si>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</si>
  <si>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</si>
  <si>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</si>
  <si>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</si>
  <si>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</si>
  <si>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</si>
  <si>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【多图】B237882临街纯一层密云零食，烟酒店转让-北京58安居客</t>
  </si>
  <si>
    <t>密云世纪家园</t>
    <phoneticPr fontId="134" type="noConversion"/>
  </si>
  <si>
    <t>【多图】V密云阳光街保利花园菜鸟驿站低价转让118182-北京58安居客</t>
  </si>
  <si>
    <t>密云保利花园</t>
    <phoneticPr fontId="134" type="noConversion"/>
  </si>
  <si>
    <t>【多图】V密云城区临街底商直租业态不限117857-北京58安居客</t>
  </si>
  <si>
    <t>密云新中街商铺</t>
    <phoneticPr fontId="134" type="noConversion"/>
  </si>
  <si>
    <t>【多图】V密云中心地段品牌餐饮店低价转让118402-北京58安居客</t>
  </si>
  <si>
    <t>密云城区</t>
    <phoneticPr fontId="134" type="noConversion"/>
  </si>
  <si>
    <t>【多图】小区门口，街面底商，7年老店，社区医院，整转-北京58安居客</t>
  </si>
  <si>
    <t>密云果园西里</t>
    <phoneticPr fontId="134" type="noConversion"/>
  </si>
  <si>
    <t>【多图】商铺，现忍痛转让位于此地堪称-北京58安居客</t>
  </si>
  <si>
    <t>密云檀城西区</t>
    <phoneticPr fontId="134" type="noConversion"/>
  </si>
  <si>
    <t>密云上营北区</t>
    <phoneticPr fontId="134" type="noConversion"/>
  </si>
  <si>
    <t>【多图】出租出租收回火锅店位置好前后居民小区紧靠中小学-北京58安居客</t>
  </si>
  <si>
    <t>【多图】密云建材城门脸招租房主直租-北京58安居客</t>
  </si>
  <si>
    <t>密云宁静之都檀城</t>
    <phoneticPr fontId="134" type="noConversion"/>
  </si>
  <si>
    <t>租金</t>
  </si>
  <si>
    <t>较好</t>
  </si>
  <si>
    <t>较好</t>
    <phoneticPr fontId="30" type="noConversion"/>
  </si>
  <si>
    <t>一般</t>
  </si>
  <si>
    <t>一般</t>
    <phoneticPr fontId="30" type="noConversion"/>
  </si>
  <si>
    <t>正常</t>
  </si>
  <si>
    <t>挂牌</t>
  </si>
  <si>
    <t>挂牌</t>
    <phoneticPr fontId="30" type="noConversion"/>
  </si>
  <si>
    <r>
      <t>2</t>
    </r>
    <r>
      <rPr>
        <sz val="11"/>
        <color theme="1"/>
        <rFont val="宋体"/>
        <family val="3"/>
        <charset val="134"/>
        <scheme val="minor"/>
      </rPr>
      <t>025.1.9报价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</si>
</sst>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19">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9</xdr:col>
      <xdr:colOff>303990</xdr:colOff>
      <xdr:row>29</xdr:row>
      <xdr:rowOff>75593</xdr:rowOff>
    </xdr:to>
    <xdr:pic>
      <xdr:nvPicPr>
        <xdr:cNvPr id="2" name="图片 1">
          <a:extLst>
            <a:ext uri="{FF2B5EF4-FFF2-40B4-BE49-F238E27FC236}">
              <a16:creationId xmlns:a16="http://schemas.microsoft.com/office/drawing/2014/main" id="{4DB257EF-8A3F-83BE-BD04-02344F14C333}"/>
            </a:ext>
          </a:extLst>
        </xdr:cNvPr>
        <xdr:cNvPicPr>
          <a:picLocks noChangeAspect="1"/>
        </xdr:cNvPicPr>
      </xdr:nvPicPr>
      <xdr:blipFill>
        <a:blip xmlns:r="http://schemas.openxmlformats.org/officeDocument/2006/relationships" r:embed="rId1"/>
        <a:stretch>
          <a:fillRect/>
        </a:stretch>
      </xdr:blipFill>
      <xdr:spPr>
        <a:xfrm>
          <a:off x="0" y="190500"/>
          <a:ext cx="6476190" cy="4857143"/>
        </a:xfrm>
        <a:prstGeom prst="rect">
          <a:avLst/>
        </a:prstGeom>
      </xdr:spPr>
    </xdr:pic>
    <xdr:clientData/>
  </xdr:twoCellAnchor>
  <xdr:twoCellAnchor editAs="oneCell">
    <xdr:from>
      <xdr:col>0</xdr:col>
      <xdr:colOff>0</xdr:colOff>
      <xdr:row>31</xdr:row>
      <xdr:rowOff>0</xdr:rowOff>
    </xdr:from>
    <xdr:to>
      <xdr:col>9</xdr:col>
      <xdr:colOff>103990</xdr:colOff>
      <xdr:row>55</xdr:row>
      <xdr:rowOff>94724</xdr:rowOff>
    </xdr:to>
    <xdr:pic>
      <xdr:nvPicPr>
        <xdr:cNvPr id="3" name="图片 2">
          <a:extLst>
            <a:ext uri="{FF2B5EF4-FFF2-40B4-BE49-F238E27FC236}">
              <a16:creationId xmlns:a16="http://schemas.microsoft.com/office/drawing/2014/main" id="{C4243385-B5F1-BE20-1222-D6074E8251D2}"/>
            </a:ext>
          </a:extLst>
        </xdr:cNvPr>
        <xdr:cNvPicPr>
          <a:picLocks noChangeAspect="1"/>
        </xdr:cNvPicPr>
      </xdr:nvPicPr>
      <xdr:blipFill>
        <a:blip xmlns:r="http://schemas.openxmlformats.org/officeDocument/2006/relationships" r:embed="rId2"/>
        <a:stretch>
          <a:fillRect/>
        </a:stretch>
      </xdr:blipFill>
      <xdr:spPr>
        <a:xfrm>
          <a:off x="0" y="5314950"/>
          <a:ext cx="6276190" cy="4209524"/>
        </a:xfrm>
        <a:prstGeom prst="rect">
          <a:avLst/>
        </a:prstGeom>
      </xdr:spPr>
    </xdr:pic>
    <xdr:clientData/>
  </xdr:twoCellAnchor>
  <xdr:twoCellAnchor editAs="oneCell">
    <xdr:from>
      <xdr:col>0</xdr:col>
      <xdr:colOff>0</xdr:colOff>
      <xdr:row>57</xdr:row>
      <xdr:rowOff>0</xdr:rowOff>
    </xdr:from>
    <xdr:to>
      <xdr:col>9</xdr:col>
      <xdr:colOff>275419</xdr:colOff>
      <xdr:row>85</xdr:row>
      <xdr:rowOff>142257</xdr:rowOff>
    </xdr:to>
    <xdr:pic>
      <xdr:nvPicPr>
        <xdr:cNvPr id="5" name="图片 4">
          <a:extLst>
            <a:ext uri="{FF2B5EF4-FFF2-40B4-BE49-F238E27FC236}">
              <a16:creationId xmlns:a16="http://schemas.microsoft.com/office/drawing/2014/main" id="{60CBAB37-8B8A-8EA4-533C-D17A3B9CA5DB}"/>
            </a:ext>
          </a:extLst>
        </xdr:cNvPr>
        <xdr:cNvPicPr>
          <a:picLocks noChangeAspect="1"/>
        </xdr:cNvPicPr>
      </xdr:nvPicPr>
      <xdr:blipFill>
        <a:blip xmlns:r="http://schemas.openxmlformats.org/officeDocument/2006/relationships" r:embed="rId3"/>
        <a:stretch>
          <a:fillRect/>
        </a:stretch>
      </xdr:blipFill>
      <xdr:spPr>
        <a:xfrm>
          <a:off x="0" y="9772650"/>
          <a:ext cx="6447619" cy="4942857"/>
        </a:xfrm>
        <a:prstGeom prst="rect">
          <a:avLst/>
        </a:prstGeom>
      </xdr:spPr>
    </xdr:pic>
    <xdr:clientData/>
  </xdr:twoCellAnchor>
  <xdr:twoCellAnchor editAs="oneCell">
    <xdr:from>
      <xdr:col>0</xdr:col>
      <xdr:colOff>0</xdr:colOff>
      <xdr:row>87</xdr:row>
      <xdr:rowOff>104775</xdr:rowOff>
    </xdr:from>
    <xdr:to>
      <xdr:col>8</xdr:col>
      <xdr:colOff>665981</xdr:colOff>
      <xdr:row>110</xdr:row>
      <xdr:rowOff>142377</xdr:rowOff>
    </xdr:to>
    <xdr:pic>
      <xdr:nvPicPr>
        <xdr:cNvPr id="6" name="图片 5">
          <a:extLst>
            <a:ext uri="{FF2B5EF4-FFF2-40B4-BE49-F238E27FC236}">
              <a16:creationId xmlns:a16="http://schemas.microsoft.com/office/drawing/2014/main" id="{6C7F3F47-9271-97FC-682E-6F0F0AE8EF48}"/>
            </a:ext>
          </a:extLst>
        </xdr:cNvPr>
        <xdr:cNvPicPr>
          <a:picLocks noChangeAspect="1"/>
        </xdr:cNvPicPr>
      </xdr:nvPicPr>
      <xdr:blipFill>
        <a:blip xmlns:r="http://schemas.openxmlformats.org/officeDocument/2006/relationships" r:embed="rId4"/>
        <a:stretch>
          <a:fillRect/>
        </a:stretch>
      </xdr:blipFill>
      <xdr:spPr>
        <a:xfrm>
          <a:off x="0" y="15020925"/>
          <a:ext cx="6152381" cy="3980952"/>
        </a:xfrm>
        <a:prstGeom prst="rect">
          <a:avLst/>
        </a:prstGeom>
      </xdr:spPr>
    </xdr:pic>
    <xdr:clientData/>
  </xdr:twoCellAnchor>
  <xdr:twoCellAnchor editAs="oneCell">
    <xdr:from>
      <xdr:col>0</xdr:col>
      <xdr:colOff>0</xdr:colOff>
      <xdr:row>112</xdr:row>
      <xdr:rowOff>0</xdr:rowOff>
    </xdr:from>
    <xdr:to>
      <xdr:col>9</xdr:col>
      <xdr:colOff>75419</xdr:colOff>
      <xdr:row>138</xdr:row>
      <xdr:rowOff>56586</xdr:rowOff>
    </xdr:to>
    <xdr:pic>
      <xdr:nvPicPr>
        <xdr:cNvPr id="7" name="图片 6">
          <a:extLst>
            <a:ext uri="{FF2B5EF4-FFF2-40B4-BE49-F238E27FC236}">
              <a16:creationId xmlns:a16="http://schemas.microsoft.com/office/drawing/2014/main" id="{34E2B6BC-5682-96A7-7F4B-6D56296C3545}"/>
            </a:ext>
          </a:extLst>
        </xdr:cNvPr>
        <xdr:cNvPicPr>
          <a:picLocks noChangeAspect="1"/>
        </xdr:cNvPicPr>
      </xdr:nvPicPr>
      <xdr:blipFill>
        <a:blip xmlns:r="http://schemas.openxmlformats.org/officeDocument/2006/relationships" r:embed="rId5"/>
        <a:stretch>
          <a:fillRect/>
        </a:stretch>
      </xdr:blipFill>
      <xdr:spPr>
        <a:xfrm>
          <a:off x="0" y="19202400"/>
          <a:ext cx="6247619" cy="4514286"/>
        </a:xfrm>
        <a:prstGeom prst="rect">
          <a:avLst/>
        </a:prstGeom>
      </xdr:spPr>
    </xdr:pic>
    <xdr:clientData/>
  </xdr:twoCellAnchor>
  <xdr:twoCellAnchor editAs="oneCell">
    <xdr:from>
      <xdr:col>17</xdr:col>
      <xdr:colOff>295275</xdr:colOff>
      <xdr:row>2</xdr:row>
      <xdr:rowOff>19050</xdr:rowOff>
    </xdr:from>
    <xdr:to>
      <xdr:col>26</xdr:col>
      <xdr:colOff>408789</xdr:colOff>
      <xdr:row>27</xdr:row>
      <xdr:rowOff>161371</xdr:rowOff>
    </xdr:to>
    <xdr:pic>
      <xdr:nvPicPr>
        <xdr:cNvPr id="8" name="图片 7">
          <a:extLst>
            <a:ext uri="{FF2B5EF4-FFF2-40B4-BE49-F238E27FC236}">
              <a16:creationId xmlns:a16="http://schemas.microsoft.com/office/drawing/2014/main" id="{3DC8F215-67F9-3A1D-4176-83469C994ABF}"/>
            </a:ext>
          </a:extLst>
        </xdr:cNvPr>
        <xdr:cNvPicPr>
          <a:picLocks noChangeAspect="1"/>
        </xdr:cNvPicPr>
      </xdr:nvPicPr>
      <xdr:blipFill>
        <a:blip xmlns:r="http://schemas.openxmlformats.org/officeDocument/2006/relationships" r:embed="rId6"/>
        <a:stretch>
          <a:fillRect/>
        </a:stretch>
      </xdr:blipFill>
      <xdr:spPr>
        <a:xfrm>
          <a:off x="12258675" y="361950"/>
          <a:ext cx="6285714" cy="4428571"/>
        </a:xfrm>
        <a:prstGeom prst="rect">
          <a:avLst/>
        </a:prstGeom>
      </xdr:spPr>
    </xdr:pic>
    <xdr:clientData/>
  </xdr:twoCellAnchor>
  <xdr:twoCellAnchor editAs="oneCell">
    <xdr:from>
      <xdr:col>17</xdr:col>
      <xdr:colOff>485775</xdr:colOff>
      <xdr:row>30</xdr:row>
      <xdr:rowOff>152400</xdr:rowOff>
    </xdr:from>
    <xdr:to>
      <xdr:col>26</xdr:col>
      <xdr:colOff>646908</xdr:colOff>
      <xdr:row>58</xdr:row>
      <xdr:rowOff>85133</xdr:rowOff>
    </xdr:to>
    <xdr:pic>
      <xdr:nvPicPr>
        <xdr:cNvPr id="9" name="图片 8">
          <a:extLst>
            <a:ext uri="{FF2B5EF4-FFF2-40B4-BE49-F238E27FC236}">
              <a16:creationId xmlns:a16="http://schemas.microsoft.com/office/drawing/2014/main" id="{4B8AB9F9-F988-A337-6B77-E69A7B250E12}"/>
            </a:ext>
          </a:extLst>
        </xdr:cNvPr>
        <xdr:cNvPicPr>
          <a:picLocks noChangeAspect="1"/>
        </xdr:cNvPicPr>
      </xdr:nvPicPr>
      <xdr:blipFill>
        <a:blip xmlns:r="http://schemas.openxmlformats.org/officeDocument/2006/relationships" r:embed="rId7"/>
        <a:stretch>
          <a:fillRect/>
        </a:stretch>
      </xdr:blipFill>
      <xdr:spPr>
        <a:xfrm>
          <a:off x="12449175" y="5295900"/>
          <a:ext cx="6333333" cy="4733333"/>
        </a:xfrm>
        <a:prstGeom prst="rect">
          <a:avLst/>
        </a:prstGeom>
      </xdr:spPr>
    </xdr:pic>
    <xdr:clientData/>
  </xdr:twoCellAnchor>
  <xdr:twoCellAnchor editAs="oneCell">
    <xdr:from>
      <xdr:col>18</xdr:col>
      <xdr:colOff>0</xdr:colOff>
      <xdr:row>60</xdr:row>
      <xdr:rowOff>0</xdr:rowOff>
    </xdr:from>
    <xdr:to>
      <xdr:col>27</xdr:col>
      <xdr:colOff>418276</xdr:colOff>
      <xdr:row>86</xdr:row>
      <xdr:rowOff>170871</xdr:rowOff>
    </xdr:to>
    <xdr:pic>
      <xdr:nvPicPr>
        <xdr:cNvPr id="10" name="图片 9">
          <a:extLst>
            <a:ext uri="{FF2B5EF4-FFF2-40B4-BE49-F238E27FC236}">
              <a16:creationId xmlns:a16="http://schemas.microsoft.com/office/drawing/2014/main" id="{A851E30F-5927-1134-2612-9989707AD87E}"/>
            </a:ext>
          </a:extLst>
        </xdr:cNvPr>
        <xdr:cNvPicPr>
          <a:picLocks noChangeAspect="1"/>
        </xdr:cNvPicPr>
      </xdr:nvPicPr>
      <xdr:blipFill>
        <a:blip xmlns:r="http://schemas.openxmlformats.org/officeDocument/2006/relationships" r:embed="rId8"/>
        <a:stretch>
          <a:fillRect/>
        </a:stretch>
      </xdr:blipFill>
      <xdr:spPr>
        <a:xfrm>
          <a:off x="12649200" y="10287000"/>
          <a:ext cx="6590476" cy="4628571"/>
        </a:xfrm>
        <a:prstGeom prst="rect">
          <a:avLst/>
        </a:prstGeom>
      </xdr:spPr>
    </xdr:pic>
    <xdr:clientData/>
  </xdr:twoCellAnchor>
  <xdr:twoCellAnchor editAs="oneCell">
    <xdr:from>
      <xdr:col>8</xdr:col>
      <xdr:colOff>266699</xdr:colOff>
      <xdr:row>30</xdr:row>
      <xdr:rowOff>14945</xdr:rowOff>
    </xdr:from>
    <xdr:to>
      <xdr:col>19</xdr:col>
      <xdr:colOff>665326</xdr:colOff>
      <xdr:row>69</xdr:row>
      <xdr:rowOff>27463</xdr:rowOff>
    </xdr:to>
    <xdr:pic>
      <xdr:nvPicPr>
        <xdr:cNvPr id="12" name="图片 11">
          <a:extLst>
            <a:ext uri="{FF2B5EF4-FFF2-40B4-BE49-F238E27FC236}">
              <a16:creationId xmlns:a16="http://schemas.microsoft.com/office/drawing/2014/main" id="{6CB72278-77FE-70D6-47E6-623FC3525BC9}"/>
            </a:ext>
          </a:extLst>
        </xdr:cNvPr>
        <xdr:cNvPicPr>
          <a:picLocks noChangeAspect="1"/>
        </xdr:cNvPicPr>
      </xdr:nvPicPr>
      <xdr:blipFill>
        <a:blip xmlns:r="http://schemas.openxmlformats.org/officeDocument/2006/relationships" r:embed="rId9"/>
        <a:stretch>
          <a:fillRect/>
        </a:stretch>
      </xdr:blipFill>
      <xdr:spPr>
        <a:xfrm>
          <a:off x="5753099" y="5158445"/>
          <a:ext cx="8571077" cy="6699068"/>
        </a:xfrm>
        <a:prstGeom prst="rect">
          <a:avLst/>
        </a:prstGeom>
      </xdr:spPr>
    </xdr:pic>
    <xdr:clientData/>
  </xdr:twoCellAnchor>
  <xdr:twoCellAnchor editAs="oneCell">
    <xdr:from>
      <xdr:col>10</xdr:col>
      <xdr:colOff>380999</xdr:colOff>
      <xdr:row>16</xdr:row>
      <xdr:rowOff>33995</xdr:rowOff>
    </xdr:from>
    <xdr:to>
      <xdr:col>14</xdr:col>
      <xdr:colOff>552006</xdr:colOff>
      <xdr:row>21</xdr:row>
      <xdr:rowOff>24364</xdr:rowOff>
    </xdr:to>
    <xdr:pic>
      <xdr:nvPicPr>
        <xdr:cNvPr id="13" name="图片 12">
          <a:extLst>
            <a:ext uri="{FF2B5EF4-FFF2-40B4-BE49-F238E27FC236}">
              <a16:creationId xmlns:a16="http://schemas.microsoft.com/office/drawing/2014/main" id="{228608AF-3814-A531-432C-90E65422EECE}"/>
            </a:ext>
          </a:extLst>
        </xdr:cNvPr>
        <xdr:cNvPicPr>
          <a:picLocks noChangeAspect="1"/>
        </xdr:cNvPicPr>
      </xdr:nvPicPr>
      <xdr:blipFill>
        <a:blip xmlns:r="http://schemas.openxmlformats.org/officeDocument/2006/relationships" r:embed="rId10"/>
        <a:stretch>
          <a:fillRect/>
        </a:stretch>
      </xdr:blipFill>
      <xdr:spPr>
        <a:xfrm>
          <a:off x="7238999" y="2777195"/>
          <a:ext cx="3542857" cy="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8" Type="http://schemas.openxmlformats.org/officeDocument/2006/relationships/hyperlink" Target="https://bj.sydc.anjuke.com/sp-zu/d3264852994546689/?proType=geren&amp;legoHuiDu=0&amp;houseid=3264852994546689&amp;pt=0&amp;zhidingLegoHuiDu=0&amp;uniqid=e1fb47644d1b4b60bdd24c5aee0e5b12&amp;gpos=40&amp;urlParamsMap=39BD8B5C58BAFF9035B30B526343D266D7F57E5A8861A1184E5CF735B8C7C489CCFA7C76EAC7699442807FD19AE78874D8B66460477AC7A327A87810D76C5D2A3C2113365236B155AF75D9F7067EE42ACD5C10B189419D9C3B5026F938940EA4&amp;" TargetMode="External"/><Relationship Id="rId3" Type="http://schemas.openxmlformats.org/officeDocument/2006/relationships/hyperlink" Target="https://bj.sydc.anjuke.com/sp-zu/6943460665/?proType=combo&amp;legoHuiDu=0&amp;houseid=3691076604256266&amp;pt=1&amp;zhidingLegoHuiDu=0&amp;uniqid=4825b6b421444b13a0a10d303e187df0&amp;gpos=10&amp;urlParamsMap=39BD8B5C58BAFF9035B30B526343D266D7F57E5A8861A1184E5CF735B8C7C489CCFA7C76EAC769942D1C9C4A4A9947E9DDCAC7F5E6142693AA04BF3536388FF29FB644CAE52DA0BF46FA6DBF2ED174032747F46227745E9F1C8E485A02D3BD32&amp;" TargetMode="External"/><Relationship Id="rId7" Type="http://schemas.openxmlformats.org/officeDocument/2006/relationships/hyperlink" Target="https://bj.sydc.anjuke.com/sp-zu/d3710878784872453/?proType=geren&amp;legoHuiDu=0&amp;houseid=3710878784872453&amp;pt=0&amp;zhidingLegoHuiDu=0&amp;uniqid=69629c29b98e492e8a9f649ed538c12b&amp;gpos=35&amp;urlParamsMap=39BD8B5C58BAFF9035B30B526343D266D7F57E5A8861A1184E5CF735B8C7C489CCFA7C76EAC7699442807FD19AE78874D8B66460477AC7A327A87810D76C5D2A3C2113365236B155AF75D9F7067EE42ACD5C10B189419D9CD24E64434D04D4FF&amp;" TargetMode="External"/><Relationship Id="rId2" Type="http://schemas.openxmlformats.org/officeDocument/2006/relationships/hyperlink" Target="https://bj.sydc.anjuke.com/sp-zu/6992007643/?proType=combo&amp;legoHuiDu=0&amp;houseid=3781255917559809&amp;pt=1&amp;zhidingLegoHuiDu=0&amp;uniqid=62ec1d2ccebc4441b4618181bce8db71&amp;gpos=9&amp;urlParamsMap=39BD8B5C58BAFF9035B30B526343D266D7F57E5A8861A1184E5CF735B8C7C489CCFA7C76EAC769942D1C9C4A4A9947E9DDCAC7F5E6142693AA04BF3536388FF29FB644CAE52DA0BF46FA6DBF2ED174032747F46227745E9F80AE0DAE58C0CEFA&amp;" TargetMode="External"/><Relationship Id="rId1" Type="http://schemas.openxmlformats.org/officeDocument/2006/relationships/hyperlink" Target="https://bj.sydc.anjuke.com/sp-zu/7042156575/?proType=combo&amp;legoHuiDu=0&amp;houseid=3883390165101575&amp;pt=1&amp;zhidingLegoHuiDu=0&amp;uniqid=8ec563d626154a76b1b75edd70690e9c&amp;gpos=8&amp;urlParamsMap=39BD8B5C58BAFF9035B30B526343D266D7F57E5A8861A1184E5CF735B8C7C489CCFA7C76EAC769942D1C9C4A4A9947E9DDCAC7F5E6142693AA04BF3536388FF29FB644CAE52DA0BF46FA6DBF2ED174032747F46227745E9F80AE0DAE58C0CEFA&amp;" TargetMode="External"/><Relationship Id="rId6" Type="http://schemas.openxmlformats.org/officeDocument/2006/relationships/hyperlink" Target="https://bj.sydc.anjuke.com/sp-zu/d3815298037407745/?proType=geren&amp;legoHuiDu=0&amp;houseid=3815298037407745&amp;pt=0&amp;zhidingLegoHuiDu=0&amp;uniqid=edee7330f83043ba90556af3ff4c85ea&amp;gpos=28&amp;urlParamsMap=39BD8B5C58BAFF9035B30B526343D266D7F57E5A8861A1184E5CF735B8C7C489CCFA7C76EAC7699442807FD19AE78874D8B66460477AC7A327A87810D76C5D2A3C2113365236B155AF75D9F7067EE42ACD5C10B189419D9CB6446DD16D6A96F3&amp;" TargetMode="External"/><Relationship Id="rId5" Type="http://schemas.openxmlformats.org/officeDocument/2006/relationships/hyperlink" Target="https://bj.sydc.anjuke.com/sp-zu/d3707520770023435/?proType=geren&amp;legoHuiDu=0&amp;houseid=3707520770023435&amp;pt=0&amp;zhidingLegoHuiDu=0&amp;uniqid=d88e8b02195e484bb419e4e651b9b7b1&amp;gpos=27&amp;urlParamsMap=39BD8B5C58BAFF9035B30B526343D266D7F57E5A8861A1184E5CF735B8C7C489CCFA7C76EAC7699442807FD19AE78874D8B66460477AC7A327A87810D76C5D2A3C2113365236B155AF75D9F7067EE42A2747F46227745E9F99676CC6490D47E2&amp;" TargetMode="External"/><Relationship Id="rId4" Type="http://schemas.openxmlformats.org/officeDocument/2006/relationships/hyperlink" Target="https://bj.sydc.anjuke.com/sp-zu/7018941406/?proType=combo&amp;legoHuiDu=0&amp;houseid=3832443405017101&amp;pt=1&amp;zhidingLegoHuiDu=0&amp;uniqid=4fbffd00f0f14a448d07f25816e13464&amp;gpos=15&amp;urlParamsMap=39BD8B5C58BAFF9035B30B526343D266D7F57E5A8861A1184E5CF735B8C7C489CCFA7C76EAC769942D1C9C4A4A9947E9DDCAC7F5E6142693AA04BF3536388FF29FB644CAE52DA0BF46FA6DBF2ED174032747F46227745E9FD67320ABAF38597A&amp;" TargetMode="External"/><Relationship Id="rId9"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3390</v>
      </c>
    </row>
    <row r="50" spans="1:4">
      <c r="A50" s="3145" t="s">
        <v>3391</v>
      </c>
      <c r="B50" s="3145" t="s">
        <v>3392</v>
      </c>
      <c r="C50" s="3145" t="s">
        <v>3393</v>
      </c>
      <c r="D50" s="3145" t="s">
        <v>3394</v>
      </c>
    </row>
    <row r="51" spans="1:4">
      <c r="A51" s="3145" t="s">
        <v>3395</v>
      </c>
      <c r="B51" s="2765">
        <f>B52+B53</f>
        <v>15000</v>
      </c>
      <c r="C51" s="3146">
        <f>D51/B51</f>
        <v>2666.6666666666665</v>
      </c>
      <c r="D51" s="2765">
        <f>D52+D53</f>
        <v>40000000</v>
      </c>
    </row>
    <row r="52" spans="1:4">
      <c r="A52" s="3147" t="s">
        <v>3396</v>
      </c>
      <c r="B52" s="3148">
        <v>10000</v>
      </c>
      <c r="C52" s="3148">
        <v>1500</v>
      </c>
      <c r="D52" s="3149">
        <f>C52*B52</f>
        <v>15000000</v>
      </c>
    </row>
    <row r="53" spans="1:4">
      <c r="A53" s="3147" t="s">
        <v>3397</v>
      </c>
      <c r="B53" s="3148">
        <v>5000</v>
      </c>
      <c r="C53" s="3148">
        <v>5000</v>
      </c>
      <c r="D53" s="3149">
        <f>C53*B53</f>
        <v>25000000</v>
      </c>
    </row>
    <row r="54" spans="1:4">
      <c r="A54" s="3145" t="s">
        <v>3398</v>
      </c>
      <c r="B54" s="2765">
        <f>B51</f>
        <v>15000</v>
      </c>
      <c r="C54" s="2771">
        <v>700</v>
      </c>
      <c r="D54" s="2765">
        <f t="shared" ref="D54:D55" si="5">C54*B54</f>
        <v>10500000</v>
      </c>
    </row>
    <row r="55" spans="1:4">
      <c r="A55" s="3145" t="s">
        <v>3399</v>
      </c>
      <c r="B55" s="2765">
        <f>B51</f>
        <v>15000</v>
      </c>
      <c r="C55" s="2771">
        <v>1500</v>
      </c>
      <c r="D55" s="2765">
        <f t="shared" si="5"/>
        <v>22500000</v>
      </c>
    </row>
    <row r="56" spans="1:4">
      <c r="A56" s="3145" t="s">
        <v>3400</v>
      </c>
      <c r="B56" s="2765">
        <f>B51</f>
        <v>15000</v>
      </c>
      <c r="C56" s="3150">
        <f>C51+C54+C55</f>
        <v>4866.6666666666661</v>
      </c>
      <c r="D56" s="2765">
        <f>D51+D54+D55</f>
        <v>73000000</v>
      </c>
    </row>
    <row r="58" spans="1:4">
      <c r="A58" s="3145" t="s">
        <v>3401</v>
      </c>
      <c r="B58" s="3151">
        <v>0.05</v>
      </c>
      <c r="C58" s="2765">
        <f>C56*(1+B58)</f>
        <v>5110</v>
      </c>
      <c r="D58" s="2765">
        <f>D56*B58</f>
        <v>3650000</v>
      </c>
    </row>
    <row r="60" spans="1:4">
      <c r="A60" s="3145" t="s">
        <v>3402</v>
      </c>
      <c r="B60" s="2771">
        <v>3500</v>
      </c>
      <c r="C60" s="2771">
        <f>C53</f>
        <v>5000</v>
      </c>
      <c r="D60" s="2765">
        <f>C60*B60</f>
        <v>17500000</v>
      </c>
    </row>
    <row r="62" spans="1:4">
      <c r="A62" s="3145" t="s">
        <v>3403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4" zoomScale="90" zoomScaleNormal="100" zoomScaleSheetLayoutView="90" workbookViewId="0">
      <selection activeCell="C13" sqref="C13:I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6" t="s">
        <v>2177</v>
      </c>
      <c r="E8" s="2202"/>
      <c r="F8" s="2203"/>
      <c r="G8" s="2442"/>
      <c r="H8" s="2442"/>
      <c r="I8" s="2442"/>
      <c r="J8" s="2245"/>
      <c r="K8" s="2400"/>
      <c r="L8" s="2399"/>
      <c r="M8" s="2399"/>
      <c r="N8" s="2245"/>
      <c r="O8" s="1670"/>
      <c r="P8" s="2245"/>
      <c r="Q8" s="2245"/>
      <c r="R8" s="2245"/>
    </row>
    <row r="9" spans="1:30" ht="13.5" thickBot="1">
      <c r="A9" s="2204" t="s">
        <v>2178</v>
      </c>
      <c r="B9" s="2205"/>
      <c r="C9" s="2206"/>
      <c r="D9" s="320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0</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c r="D4" s="1626"/>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c r="D14" s="3279"/>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66" t="s">
        <v>2131</v>
      </c>
      <c r="F18" s="3267"/>
      <c r="G18" s="3267"/>
      <c r="H18" s="3267"/>
      <c r="I18" s="3267"/>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t="e">
        <f ca="1">ROUND(H101*F45,0)</f>
        <v>#REF!</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0</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06" t="s">
        <v>1340</v>
      </c>
      <c r="L48" s="3306"/>
      <c r="M48" s="3328" t="e">
        <f ca="1">H101</f>
        <v>#REF!</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抵押担保权已注销时的房地产抵押价值</v>
      </c>
      <c r="L49" s="3306"/>
      <c r="M49" s="3328" t="str">
        <f>IF(项目基本情况!E8="房地产抵押价值",H107,H109)</f>
        <v>——</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t="e">
        <f ca="1">ROUND(D45*'数据-取费表'!B41/(1+'数据-取费表'!C42),0)</f>
        <v>#REF!</v>
      </c>
      <c r="E52" s="1256" t="s">
        <v>1354</v>
      </c>
      <c r="F52" s="2340">
        <f>'数据-取费表'!B41</f>
        <v>0</v>
      </c>
      <c r="G52" s="2341"/>
      <c r="H52" s="2331"/>
      <c r="I52" s="1669"/>
      <c r="J52" s="2310">
        <v>1</v>
      </c>
      <c r="K52" s="3307" t="s">
        <v>1355</v>
      </c>
      <c r="L52" s="3307"/>
      <c r="M52" s="2312" t="b">
        <f>D48</f>
        <v>0</v>
      </c>
      <c r="N52" s="2310" t="str">
        <f>E48</f>
        <v>销售额×税（费）率</v>
      </c>
      <c r="O52" s="2313">
        <f>F48</f>
        <v>0</v>
      </c>
    </row>
    <row r="53" spans="1:35" ht="12" customHeight="1">
      <c r="A53" s="2153" t="s">
        <v>1356</v>
      </c>
      <c r="B53" s="3268" t="s">
        <v>2291</v>
      </c>
      <c r="C53" s="3269"/>
      <c r="D53" s="1024" t="e">
        <f ca="1">ROUND(D45*'数据-取费表'!B41/(1+'数据-取费表'!C42),0)</f>
        <v>#REF!</v>
      </c>
      <c r="E53" s="1256" t="s">
        <v>1354</v>
      </c>
      <c r="F53" s="2340">
        <f>'数据-取费表'!B41</f>
        <v>0</v>
      </c>
      <c r="G53" s="2341"/>
      <c r="H53" s="2331"/>
      <c r="I53" s="1669"/>
      <c r="J53" s="2310">
        <v>2</v>
      </c>
      <c r="K53" s="3307" t="s">
        <v>1357</v>
      </c>
      <c r="L53" s="3307"/>
      <c r="M53" s="2312" t="e">
        <f t="shared" ref="M53:O54" ca="1" si="0">D55</f>
        <v>#REF!</v>
      </c>
      <c r="N53" s="2310" t="str">
        <f t="shared" si="0"/>
        <v>销售额×税（费）率</v>
      </c>
      <c r="O53" s="2313" t="str">
        <f t="shared" si="0"/>
        <v>免征</v>
      </c>
    </row>
    <row r="54" spans="1:35" ht="12" customHeight="1">
      <c r="A54" s="2153" t="s">
        <v>1358</v>
      </c>
      <c r="B54" s="3268" t="s">
        <v>2292</v>
      </c>
      <c r="C54" s="3269"/>
      <c r="D54" s="1024" t="e">
        <f ca="1">C68</f>
        <v>#REF!</v>
      </c>
      <c r="E54" s="319" t="s">
        <v>1359</v>
      </c>
      <c r="F54" s="2340">
        <f>'数据-取费表'!B41</f>
        <v>0</v>
      </c>
      <c r="G54" s="2341"/>
      <c r="H54" s="2342"/>
      <c r="I54" s="1669"/>
      <c r="J54" s="2310">
        <v>3</v>
      </c>
      <c r="K54" s="3307" t="s">
        <v>1360</v>
      </c>
      <c r="L54" s="3307"/>
      <c r="M54" s="2312" t="e">
        <f t="shared" ca="1" si="0"/>
        <v>#REF!</v>
      </c>
      <c r="N54" s="2310" t="str">
        <f t="shared" si="0"/>
        <v>增值额×税（费）率</v>
      </c>
      <c r="O54" s="2314" t="str">
        <f t="shared" si="0"/>
        <v>免征</v>
      </c>
    </row>
    <row r="55" spans="1:35" ht="24" customHeight="1">
      <c r="A55" s="3257" t="s">
        <v>1361</v>
      </c>
      <c r="B55" s="3258"/>
      <c r="C55" s="3258"/>
      <c r="D55" s="12" t="e">
        <f ca="1">IF(H55="个人住宅",0,ROUND(D45*I55,0))</f>
        <v>#REF!</v>
      </c>
      <c r="E55" s="1256" t="s">
        <v>1362</v>
      </c>
      <c r="F55" s="2340" t="str">
        <f>IF(H55="正常",I55,"免征")</f>
        <v>免征</v>
      </c>
      <c r="G55" s="2341"/>
      <c r="H55" s="2337"/>
      <c r="I55" s="157">
        <f>'数据-取费表'!B49</f>
        <v>0</v>
      </c>
      <c r="J55" s="2310">
        <f>IF(H59="非个人房产","",4)</f>
        <v>4</v>
      </c>
      <c r="K55" s="3307" t="str">
        <f>IF(H59="非个人房产","——","个人所得税")</f>
        <v>个人所得税</v>
      </c>
      <c r="L55" s="3307"/>
      <c r="M55" s="2315" t="e">
        <f ca="1">D59</f>
        <v>#REF!</v>
      </c>
      <c r="N55" s="1883" t="str">
        <f>E59</f>
        <v>差额计税</v>
      </c>
      <c r="O55" s="2316">
        <f>F59</f>
        <v>0.01</v>
      </c>
    </row>
    <row r="56" spans="1:35" ht="24.75">
      <c r="A56" s="3257" t="s">
        <v>1363</v>
      </c>
      <c r="B56" s="3258"/>
      <c r="C56" s="3258"/>
      <c r="D56" s="12" t="e">
        <f ca="1">IF(H56="个人住宅",D57,D58)</f>
        <v>#REF!</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0</v>
      </c>
      <c r="O57" s="2320"/>
      <c r="P57" s="2465" t="e">
        <f ca="1">N57/M49</f>
        <v>#VALUE!</v>
      </c>
    </row>
    <row r="58" spans="1:35" ht="24.75">
      <c r="A58" s="2153" t="s">
        <v>1352</v>
      </c>
      <c r="B58" s="3268" t="s">
        <v>1369</v>
      </c>
      <c r="C58" s="3242"/>
      <c r="D58" s="12" t="e">
        <f ca="1">IF(H58="转让取得",C81,C97)</f>
        <v>#REF!</v>
      </c>
      <c r="E58" s="1256" t="s">
        <v>1364</v>
      </c>
      <c r="F58" s="294" t="s">
        <v>28</v>
      </c>
      <c r="G58" s="2341"/>
      <c r="H58" s="2344"/>
      <c r="I58" s="1670"/>
      <c r="J58" s="3307"/>
      <c r="K58" s="3307"/>
      <c r="L58" s="2317" t="s">
        <v>1370</v>
      </c>
      <c r="M58" s="2321"/>
      <c r="N58" s="2322" t="str">
        <f ca="1">NUMBERSTRING(INT(N57*10000),2)&amp;"元整"</f>
        <v>零元整</v>
      </c>
      <c r="O58" s="2323"/>
    </row>
    <row r="59" spans="1:35" ht="24.75" thickBot="1">
      <c r="A59" s="3310" t="s">
        <v>1371</v>
      </c>
      <c r="B59" s="3311"/>
      <c r="C59" s="331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t="e">
        <f ca="1">M49-N57</f>
        <v>#VALUE!</v>
      </c>
      <c r="O59" s="2326"/>
    </row>
    <row r="60" spans="1:35" ht="12" customHeight="1">
      <c r="A60" s="1671"/>
      <c r="B60" s="646"/>
      <c r="C60" s="646"/>
      <c r="D60" s="646"/>
      <c r="E60" s="1466"/>
      <c r="F60" s="1670"/>
      <c r="G60" s="1670"/>
      <c r="H60" s="151"/>
      <c r="I60" s="121"/>
      <c r="J60" s="3309"/>
      <c r="K60" s="3307"/>
      <c r="L60" s="2317" t="s">
        <v>1370</v>
      </c>
      <c r="M60" s="2321"/>
      <c r="N60" s="2322" t="e">
        <f ca="1">NUMBERSTRING(INT(N59*10000),2)&amp;"元整"</f>
        <v>#VALUE!</v>
      </c>
      <c r="O60" s="2323"/>
    </row>
    <row r="61" spans="1:35" ht="13.5" thickBot="1">
      <c r="A61" s="3255" t="s">
        <v>1373</v>
      </c>
      <c r="B61" s="3255"/>
      <c r="C61" s="3255"/>
      <c r="D61" s="3255"/>
      <c r="E61" s="3255"/>
      <c r="F61" s="1670"/>
      <c r="G61" s="1670"/>
      <c r="H61" s="151"/>
      <c r="I61" s="121"/>
      <c r="J61" s="2310">
        <f>J59+1</f>
        <v>7</v>
      </c>
      <c r="K61" s="3307" t="s">
        <v>1374</v>
      </c>
      <c r="L61" s="3307"/>
      <c r="M61" s="2327"/>
      <c r="N61" s="2328" t="e">
        <f ca="1">ROUND(N59*10000/'数据-汇总表'!E3,0)</f>
        <v>#VALUE!</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2"/>
      <c r="K69" s="1245" t="s">
        <v>1393</v>
      </c>
      <c r="L69" s="1245"/>
      <c r="M69" s="294" t="e">
        <f>ROUND(SUM(M63:M68),0)</f>
        <v>#VALUE!</v>
      </c>
      <c r="N69" s="2332" t="e">
        <f>M69/M49</f>
        <v>#VALUE!</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f>C4</f>
        <v>0</v>
      </c>
      <c r="D101" s="2372">
        <f>D4</f>
        <v>0</v>
      </c>
      <c r="E101" s="3329" t="s">
        <v>1431</v>
      </c>
      <c r="F101" s="3286"/>
      <c r="G101" s="1687" t="s">
        <v>1432</v>
      </c>
      <c r="H101" s="2381" t="e">
        <f ca="1">H118</f>
        <v>#REF!</v>
      </c>
      <c r="I101" s="121"/>
    </row>
    <row r="102" spans="1:35" ht="18.75" customHeight="1">
      <c r="A102" s="3288" t="s">
        <v>1433</v>
      </c>
      <c r="B102" s="2370" t="s">
        <v>1432</v>
      </c>
      <c r="C102" s="2371" t="e">
        <f ca="1">IF(D32="楼面单价",ROUND(C19,0),C19)</f>
        <v>#REF!</v>
      </c>
      <c r="D102" s="2372" t="e">
        <f ca="1">IF(D32="楼面单价",ROUND(D19,0),D19)</f>
        <v>#REF!</v>
      </c>
      <c r="E102" s="3329"/>
      <c r="F102" s="3286"/>
      <c r="G102" s="1687" t="s">
        <v>1434</v>
      </c>
      <c r="H102" s="2341" t="e">
        <f ca="1">I118</f>
        <v>#REF!</v>
      </c>
      <c r="I102" s="121"/>
    </row>
    <row r="103" spans="1:35" ht="42.75" customHeight="1">
      <c r="A103" s="3288"/>
      <c r="B103" s="2370" t="s">
        <v>1434</v>
      </c>
      <c r="C103" s="2373" t="e">
        <f ca="1">C20</f>
        <v>#REF!</v>
      </c>
      <c r="D103" s="2374" t="e">
        <f ca="1">D20</f>
        <v>#REF!</v>
      </c>
      <c r="E103" s="3323" t="s">
        <v>1435</v>
      </c>
      <c r="F103" s="3324"/>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t="e">
        <f ca="1">IF(E107="——","——",H101-H103)</f>
        <v>#REF!</v>
      </c>
      <c r="I107" s="121"/>
    </row>
    <row r="108" spans="1:35" ht="18.75" customHeight="1">
      <c r="A108" s="121"/>
      <c r="B108" s="121"/>
      <c r="C108" s="121"/>
      <c r="D108" s="121"/>
      <c r="E108" s="3285"/>
      <c r="F108" s="3286"/>
      <c r="G108" s="1687" t="s">
        <v>1434</v>
      </c>
      <c r="H108" s="2341">
        <f ca="1">IF(H107=H101,H102,ROUND(H107*10000/'数据-汇总表'!E3,0))</f>
        <v>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6" t="s">
        <v>1452</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84"/>
    </row>
    <row r="123" spans="1:27" ht="18.75" customHeight="1">
      <c r="A123" s="3256" t="s">
        <v>1452</v>
      </c>
      <c r="B123" s="3256"/>
      <c r="C123" s="3256"/>
      <c r="D123" s="3296" t="e">
        <f ca="1">NUMBERSTRING(INT(D122*10000),2)&amp;"元整"</f>
        <v>#REF!</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0</v>
      </c>
      <c r="D44" s="230"/>
      <c r="E44" s="230"/>
      <c r="F44" s="231"/>
      <c r="G44" s="333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36" t="s">
        <v>1591</v>
      </c>
    </row>
    <row r="43" spans="1:7" ht="13.5" customHeight="1">
      <c r="A43" s="734" t="s">
        <v>347</v>
      </c>
      <c r="B43" s="207" t="s">
        <v>1545</v>
      </c>
      <c r="C43" s="230">
        <f ca="1">ROUND(IF('数据-取费表'!B22&lt;=1,C39*F22*'数据-取费表'!B20/2,C39*(POWER((1+F22),'数据-取费表'!B20/2)-1)),0)</f>
        <v>0</v>
      </c>
      <c r="D43" s="230"/>
      <c r="E43" s="230"/>
      <c r="F43" s="231"/>
      <c r="G43" s="3337"/>
    </row>
    <row r="44" spans="1:7" ht="13.5" customHeight="1">
      <c r="A44" s="734" t="s">
        <v>348</v>
      </c>
      <c r="B44" s="207" t="s">
        <v>1546</v>
      </c>
      <c r="C44" s="230">
        <f ca="1">ROUND(IF('数据-取费表'!B22&lt;=1,C40*F22*'数据-取费表'!B20/2,C40*(POWER((1+F22),'数据-取费表'!B20/2)-1)),4)</f>
        <v>0</v>
      </c>
      <c r="D44" s="230"/>
      <c r="E44" s="230"/>
      <c r="F44" s="231"/>
      <c r="G44" s="333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403" t="s">
        <v>1680</v>
      </c>
      <c r="Q7" s="3405"/>
      <c r="R7" s="664" t="s">
        <v>20</v>
      </c>
      <c r="S7" s="665">
        <f t="shared" ref="S7:S15" si="0">F7</f>
        <v>100</v>
      </c>
      <c r="T7" s="664" t="s">
        <v>20</v>
      </c>
      <c r="U7" s="665">
        <f t="shared" ref="U7:U15" si="1">H7</f>
        <v>100</v>
      </c>
      <c r="V7" s="664" t="s">
        <v>20</v>
      </c>
      <c r="W7" s="665">
        <f t="shared" ref="W7:W15" si="2">J7</f>
        <v>100</v>
      </c>
      <c r="X7" s="666"/>
      <c r="Y7" s="3403" t="s">
        <v>1680</v>
      </c>
      <c r="Z7" s="3404"/>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68" t="str">
        <f>A48</f>
        <v>比较价值（元/平方米）</v>
      </c>
      <c r="Q48" s="3368"/>
      <c r="R48" s="3369" t="e">
        <f>IF(F1="售价",ROUND(PRODUCT(R47,AA7:AA46),0),ROUND(PRODUCT(R47,AA7:AA46),1))</f>
        <v>#N/A</v>
      </c>
      <c r="S48" s="3369"/>
      <c r="T48" s="3369" t="e">
        <f>IF(F1="售价",ROUND(PRODUCT(T47,AB7:AB46),0),ROUND(PRODUCT(T47,AB7:AB46),1))</f>
        <v>#N/A</v>
      </c>
      <c r="U48" s="3369"/>
      <c r="V48" s="3369" t="e">
        <f>IF(F1="售价",ROUND(PRODUCT(V47,AC7:AC46),0),ROUND(PRODUCT(V47,AC7:AC46),1))</f>
        <v>#N/A</v>
      </c>
      <c r="W48" s="3369"/>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#N/A</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Normal="70" zoomScaleSheetLayoutView="100" workbookViewId="0">
      <selection activeCell="K18" sqref="K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3426</v>
      </c>
      <c r="D8" s="355">
        <v>100</v>
      </c>
      <c r="E8" s="358" t="s">
        <v>3427</v>
      </c>
      <c r="F8" s="357">
        <f>SUMIF(61:61,E8,62:62)-SUMIF(61:61,C8,62:62)+100</f>
        <v>105</v>
      </c>
      <c r="G8" s="358" t="s">
        <v>3427</v>
      </c>
      <c r="H8" s="355">
        <f>SUMIF(61:61,G8,62:62)-SUMIF(61:61,C8,62:62)+100</f>
        <v>105</v>
      </c>
      <c r="I8" s="358" t="s">
        <v>3427</v>
      </c>
      <c r="J8" s="355">
        <f>SUMIF(61:61,I8,62:62)-SUMIF(61:61,C8,62:62)+100</f>
        <v>105</v>
      </c>
      <c r="K8" s="38"/>
      <c r="L8" s="2489"/>
      <c r="M8" s="2440"/>
      <c r="N8" s="2440"/>
      <c r="O8" s="2440"/>
      <c r="P8" s="3403" t="s">
        <v>1683</v>
      </c>
      <c r="Q8" s="3404"/>
      <c r="R8" s="664" t="s">
        <v>14</v>
      </c>
      <c r="S8" s="665">
        <f t="shared" si="0"/>
        <v>105</v>
      </c>
      <c r="T8" s="664" t="s">
        <v>14</v>
      </c>
      <c r="U8" s="665">
        <f t="shared" si="1"/>
        <v>105</v>
      </c>
      <c r="V8" s="664" t="s">
        <v>14</v>
      </c>
      <c r="W8" s="665">
        <f t="shared" si="2"/>
        <v>105</v>
      </c>
      <c r="X8" s="666"/>
      <c r="Y8" s="3403" t="s">
        <v>1683</v>
      </c>
      <c r="Z8" s="340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105</v>
      </c>
      <c r="I15" s="381"/>
      <c r="J15" s="380">
        <f>SUMIF(76:76,I16,77:77)-SUMIF(76:76,C16,77:77)+100</f>
        <v>105</v>
      </c>
      <c r="K15" s="540">
        <v>5</v>
      </c>
      <c r="L15" s="2493"/>
      <c r="M15" s="2488"/>
      <c r="N15" s="2488"/>
      <c r="O15" s="2488"/>
      <c r="P15" s="3377" t="s">
        <v>1691</v>
      </c>
      <c r="Q15" s="1263" t="str">
        <f t="shared" si="6"/>
        <v>商业繁华度</v>
      </c>
      <c r="R15" s="667" t="s">
        <v>14</v>
      </c>
      <c r="S15" s="668">
        <f t="shared" si="0"/>
        <v>105</v>
      </c>
      <c r="T15" s="667" t="s">
        <v>14</v>
      </c>
      <c r="U15" s="668">
        <f t="shared" si="1"/>
        <v>105</v>
      </c>
      <c r="V15" s="667" t="s">
        <v>14</v>
      </c>
      <c r="W15" s="668">
        <f t="shared" si="2"/>
        <v>105</v>
      </c>
      <c r="X15" s="1265"/>
      <c r="Y15" s="3370" t="s">
        <v>1691</v>
      </c>
      <c r="Z15" s="1264" t="str">
        <f t="shared" si="7"/>
        <v>商业繁华度</v>
      </c>
      <c r="AA15" s="1264">
        <f t="shared" si="3"/>
        <v>0.95238095238095233</v>
      </c>
      <c r="AB15" s="1264">
        <f t="shared" si="4"/>
        <v>0.95238095238095233</v>
      </c>
      <c r="AC15" s="1264">
        <f t="shared" si="5"/>
        <v>0.95238095238095233</v>
      </c>
    </row>
    <row r="16" spans="1:29" ht="15">
      <c r="A16" s="367"/>
      <c r="B16" s="385"/>
      <c r="C16" s="386" t="s">
        <v>3424</v>
      </c>
      <c r="D16" s="387"/>
      <c r="E16" s="386" t="s">
        <v>3422</v>
      </c>
      <c r="F16" s="388"/>
      <c r="G16" s="386" t="s">
        <v>3422</v>
      </c>
      <c r="H16" s="389"/>
      <c r="I16" s="386" t="s">
        <v>3422</v>
      </c>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105</v>
      </c>
      <c r="I17" s="391"/>
      <c r="J17" s="394">
        <f>SUMIF(78:78,I18,79:79)-SUMIF(78:78,C18,79:79)+100</f>
        <v>105</v>
      </c>
      <c r="K17" s="540">
        <v>5</v>
      </c>
      <c r="L17" s="2493"/>
      <c r="M17" s="2488"/>
      <c r="N17" s="2488"/>
      <c r="O17" s="2488"/>
      <c r="P17" s="3378"/>
      <c r="Q17" s="1263" t="str">
        <f>B17</f>
        <v>交通便捷度</v>
      </c>
      <c r="R17" s="667" t="s">
        <v>14</v>
      </c>
      <c r="S17" s="668">
        <f>F17</f>
        <v>105</v>
      </c>
      <c r="T17" s="667" t="s">
        <v>14</v>
      </c>
      <c r="U17" s="668">
        <f>H17</f>
        <v>105</v>
      </c>
      <c r="V17" s="667" t="s">
        <v>14</v>
      </c>
      <c r="W17" s="668">
        <f>J17</f>
        <v>105</v>
      </c>
      <c r="X17" s="1265"/>
      <c r="Y17" s="3371"/>
      <c r="Z17" s="1264" t="str">
        <f>Q17</f>
        <v>交通便捷度</v>
      </c>
      <c r="AA17" s="1264">
        <f t="shared" si="3"/>
        <v>0.95238095238095233</v>
      </c>
      <c r="AB17" s="1264">
        <f t="shared" si="4"/>
        <v>0.95238095238095233</v>
      </c>
      <c r="AC17" s="1264">
        <f t="shared" si="5"/>
        <v>0.95238095238095233</v>
      </c>
    </row>
    <row r="18" spans="1:29" ht="15">
      <c r="A18" s="367"/>
      <c r="B18" s="395"/>
      <c r="C18" s="1755" t="s">
        <v>3424</v>
      </c>
      <c r="D18" s="389"/>
      <c r="E18" s="1757" t="s">
        <v>3422</v>
      </c>
      <c r="F18" s="392"/>
      <c r="G18" s="1756" t="s">
        <v>3422</v>
      </c>
      <c r="H18" s="387"/>
      <c r="I18" s="1757" t="s">
        <v>3422</v>
      </c>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t="s">
        <v>3424</v>
      </c>
      <c r="D27" s="401">
        <v>100</v>
      </c>
      <c r="E27" s="1807" t="s">
        <v>3422</v>
      </c>
      <c r="F27" s="395">
        <f>SUMIF(90:90,E27,91:91)-SUMIF(90:90,C27,91:91)+100</f>
        <v>105</v>
      </c>
      <c r="G27" s="1807" t="s">
        <v>3422</v>
      </c>
      <c r="H27" s="401">
        <f>SUMIF(90:90,G27,91:91)-SUMIF(90:90,C27,91:91)+100</f>
        <v>105</v>
      </c>
      <c r="I27" s="1807" t="s">
        <v>3422</v>
      </c>
      <c r="J27" s="401">
        <f>SUMIF(90:90,I27,91:91)-SUMIF(90:90,C27,91:91)+100</f>
        <v>105</v>
      </c>
      <c r="K27" s="538">
        <v>5</v>
      </c>
      <c r="L27" s="2489"/>
      <c r="M27" s="2440"/>
      <c r="N27" s="2440"/>
      <c r="O27" s="2440"/>
      <c r="P27" s="3378"/>
      <c r="Q27" s="530" t="str">
        <f t="shared" si="11"/>
        <v>人流量</v>
      </c>
      <c r="R27" s="664" t="s">
        <v>14</v>
      </c>
      <c r="S27" s="665">
        <f>F27</f>
        <v>105</v>
      </c>
      <c r="T27" s="664" t="s">
        <v>14</v>
      </c>
      <c r="U27" s="665">
        <f>H27</f>
        <v>105</v>
      </c>
      <c r="V27" s="664" t="s">
        <v>14</v>
      </c>
      <c r="W27" s="665">
        <f>J27</f>
        <v>105</v>
      </c>
      <c r="X27" s="666"/>
      <c r="Y27" s="3371"/>
      <c r="Z27" s="50" t="str">
        <f>Q27</f>
        <v>人流量</v>
      </c>
      <c r="AA27" s="1264">
        <f>D27/F27</f>
        <v>0.95238095238095233</v>
      </c>
      <c r="AB27" s="1264">
        <f>D27/H27</f>
        <v>0.95238095238095233</v>
      </c>
      <c r="AC27" s="1264">
        <f>D27/J27</f>
        <v>0.95238095238095233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73"/>
      <c r="Q33" s="531" t="str">
        <f t="shared" si="11"/>
        <v>项目建筑规模</v>
      </c>
      <c r="R33" s="669" t="s">
        <v>14</v>
      </c>
      <c r="S33" s="670">
        <f t="shared" si="12"/>
        <v>100</v>
      </c>
      <c r="T33" s="669" t="s">
        <v>14</v>
      </c>
      <c r="U33" s="670">
        <f t="shared" si="13"/>
        <v>100</v>
      </c>
      <c r="V33" s="669" t="s">
        <v>14</v>
      </c>
      <c r="W33" s="670">
        <f t="shared" si="14"/>
        <v>100</v>
      </c>
      <c r="X33" s="671"/>
      <c r="Y33" s="3375"/>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373"/>
      <c r="Q36" s="1263" t="str">
        <f t="shared" si="11"/>
        <v>成新度</v>
      </c>
      <c r="R36" s="667" t="s">
        <v>14</v>
      </c>
      <c r="S36" s="668">
        <f t="shared" si="12"/>
        <v>100</v>
      </c>
      <c r="T36" s="667" t="s">
        <v>14</v>
      </c>
      <c r="U36" s="668">
        <f t="shared" si="13"/>
        <v>100</v>
      </c>
      <c r="V36" s="667" t="s">
        <v>14</v>
      </c>
      <c r="W36" s="668">
        <f t="shared" si="14"/>
        <v>100</v>
      </c>
      <c r="X36" s="1265"/>
      <c r="Y36" s="337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f>案例!O4</f>
        <v>2.85</v>
      </c>
      <c r="F47" s="420"/>
      <c r="G47" s="421">
        <f>案例!O7</f>
        <v>2.98</v>
      </c>
      <c r="H47" s="422"/>
      <c r="I47" s="419">
        <f>案例!O8</f>
        <v>3.03</v>
      </c>
      <c r="J47" s="422"/>
      <c r="K47" s="674"/>
      <c r="L47" s="2495"/>
      <c r="M47" s="2488"/>
      <c r="N47" s="2488"/>
      <c r="O47" s="2488"/>
      <c r="P47" s="3368" t="str">
        <f>A47</f>
        <v>成交单价（元/平方米）</v>
      </c>
      <c r="Q47" s="3368"/>
      <c r="R47" s="3369">
        <f>E47</f>
        <v>2.85</v>
      </c>
      <c r="S47" s="3369"/>
      <c r="T47" s="3369">
        <f>G47</f>
        <v>2.98</v>
      </c>
      <c r="U47" s="3369"/>
      <c r="V47" s="3369">
        <f>I47</f>
        <v>3.03</v>
      </c>
      <c r="W47" s="3369"/>
      <c r="X47" s="385"/>
      <c r="Y47" s="673"/>
      <c r="Z47" s="385"/>
      <c r="AA47" s="385"/>
      <c r="AB47" s="385"/>
      <c r="AC47" s="385"/>
    </row>
    <row r="48" spans="1:29" ht="15.75" thickBot="1">
      <c r="A48" s="423" t="s">
        <v>1793</v>
      </c>
      <c r="B48" s="424"/>
      <c r="C48" s="1082">
        <f>R49</f>
        <v>2.4300000000000002</v>
      </c>
      <c r="D48" s="2141" t="s">
        <v>2138</v>
      </c>
      <c r="E48" s="1083">
        <f>R48</f>
        <v>2.34</v>
      </c>
      <c r="F48" s="2142"/>
      <c r="G48" s="1082">
        <f>T48</f>
        <v>2.4500000000000002</v>
      </c>
      <c r="H48" s="2142"/>
      <c r="I48" s="1083">
        <f>V48</f>
        <v>2.4900000000000002</v>
      </c>
      <c r="J48" s="2142"/>
      <c r="K48" s="2144">
        <f>F48+H48+J48</f>
        <v>0</v>
      </c>
      <c r="L48" s="2495"/>
      <c r="M48" s="2488"/>
      <c r="N48" s="2488"/>
      <c r="O48" s="2488"/>
      <c r="P48" s="3368" t="str">
        <f>A48</f>
        <v>比较价值（元/平方米）</v>
      </c>
      <c r="Q48" s="3368"/>
      <c r="R48" s="3369">
        <f>IF(F1="售价",ROUND(PRODUCT(R47,AA7:AA46),0),ROUND(PRODUCT(R47,AA7:AA46),2))</f>
        <v>2.34</v>
      </c>
      <c r="S48" s="3369"/>
      <c r="T48" s="3369">
        <f>IF(F1="售价",ROUND(PRODUCT(T47,AB7:AB46),0),ROUND(PRODUCT(T47,AB7:AB46),2))</f>
        <v>2.4500000000000002</v>
      </c>
      <c r="U48" s="3369"/>
      <c r="V48" s="3369">
        <f>IF(F1="售价",ROUND(PRODUCT(V47,AC7:AC46),0),ROUND(PRODUCT(V47,AC7:AC46),2))</f>
        <v>2.4900000000000002</v>
      </c>
      <c r="W48" s="3369"/>
      <c r="X48" s="385"/>
      <c r="Y48" s="385"/>
      <c r="Z48" s="385"/>
      <c r="AA48" s="385"/>
      <c r="AB48" s="385"/>
      <c r="AC48" s="385"/>
    </row>
    <row r="49" spans="1:29" ht="15.75" thickBot="1">
      <c r="A49" s="427" t="s">
        <v>1794</v>
      </c>
      <c r="B49" s="428"/>
      <c r="C49" s="351">
        <f>R49</f>
        <v>2.4300000000000002</v>
      </c>
      <c r="D49" s="351"/>
      <c r="E49" s="351"/>
      <c r="F49" s="351"/>
      <c r="G49" s="351"/>
      <c r="H49" s="351"/>
      <c r="I49" s="351"/>
      <c r="J49" s="351"/>
      <c r="K49" s="675"/>
      <c r="L49" s="2495"/>
      <c r="M49" s="2488"/>
      <c r="N49" s="2488"/>
      <c r="O49" s="2488"/>
      <c r="P49" s="3365" t="str">
        <f>A49</f>
        <v>估价对象XX用房的比较价值（楼面单价，元/平方米）</v>
      </c>
      <c r="Q49" s="3366"/>
      <c r="R49" s="3367">
        <f>IF(F1="售价",ROUND(IF(D48="简单平均",AVERAGE(R48:V48),R48*F48+T48*H48+V48*J48),0),ROUND(IF(D48="简单平均",AVERAGE(R48:V48),R48*F48+T48*H48+V48*J48),2))</f>
        <v>2.4300000000000002</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0.21794871794871806</v>
      </c>
      <c r="F52" s="435" t="str">
        <f>IF(OR(E52&gt;=0.3,E52&lt;=-0.3),"超过30%","")</f>
        <v/>
      </c>
      <c r="G52" s="434">
        <f>IF(G47&lt;G48,G48/G47-1,G47/G48-1)</f>
        <v>0.21632653061224483</v>
      </c>
      <c r="H52" s="435" t="str">
        <f>IF(OR(G52&gt;=0.3,G52&lt;=-0.3),"超过30%","")</f>
        <v/>
      </c>
      <c r="I52" s="434">
        <f>IF(I47&lt;I48,I48/I47-1,I47/I48-1)</f>
        <v>0.21686746987951788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4.7008547008547064E-2</v>
      </c>
      <c r="F53" s="435" t="str">
        <f>IF(OR(E53&gt;=0.2,E53&lt;=-0.2),"超过20%","")</f>
        <v/>
      </c>
      <c r="G53" s="434">
        <f>IF(G48&lt;I48,I48/G48-1,G48/I48-1)</f>
        <v>1.6326530612244872E-2</v>
      </c>
      <c r="H53" s="435" t="str">
        <f>IF(OR(G53&gt;=0.2,G53&lt;=-0.2),"超过20%","")</f>
        <v/>
      </c>
      <c r="I53" s="434">
        <f>IF(I48&lt;E48,E48/I48-1,I48/E48-1)</f>
        <v>6.4102564102564319E-2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4.5614035087719218E-2</v>
      </c>
      <c r="F54" s="435" t="str">
        <f>IF(OR(E54&gt;=0.3,E54&lt;=-0.3),"超过30%","")</f>
        <v/>
      </c>
      <c r="G54" s="434">
        <f>IF(G47&lt;I47,I47/G47-1,G47/I47-1)</f>
        <v>1.6778523489932917E-2</v>
      </c>
      <c r="H54" s="435" t="str">
        <f>IF(OR(G54&gt;=0.3,G54&lt;=-0.3),"超过30%","")</f>
        <v/>
      </c>
      <c r="I54" s="434">
        <f>IF(I47&lt;E47,E47/I47-1,I47/E47-1)</f>
        <v>6.315789473684208E-2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495" t="s">
        <v>3428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95</v>
      </c>
      <c r="E79" s="475">
        <f>D79-$K17</f>
        <v>90</v>
      </c>
      <c r="F79" s="475">
        <f>E79-$K17</f>
        <v>85</v>
      </c>
      <c r="G79" s="475">
        <f>F79-$K17</f>
        <v>80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494" t="s">
        <v>3423</v>
      </c>
      <c r="D90" s="3494" t="s">
        <v>3425</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2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379" t="str">
        <f>A49</f>
        <v>比较价值（元/平方米）</v>
      </c>
      <c r="Q49" s="3368"/>
      <c r="R49" s="3369" t="e">
        <f>IF(F1="售价",ROUND(PRODUCT(R48,AA7:AA47),0),ROUND(PRODUCT(R48,AA7:AA47),1))</f>
        <v>#N/A</v>
      </c>
      <c r="S49" s="3369"/>
      <c r="T49" s="3369" t="e">
        <f>IF(F1="售价",ROUND(PRODUCT(T48,AB7:AB47),0),ROUND(PRODUCT(T48,AB7:AB47),1))</f>
        <v>#N/A</v>
      </c>
      <c r="U49" s="3369"/>
      <c r="V49" s="3369" t="e">
        <f>IF(F1="售价",ROUND(PRODUCT(V48,AC7:AC47),0),ROUND(PRODUCT(V48,AC7:AC47),1))</f>
        <v>#N/A</v>
      </c>
      <c r="W49" s="3369"/>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#N/A</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68" t="str">
        <f>A42</f>
        <v>比较价值（元/平方米）</v>
      </c>
      <c r="Q42" s="3368"/>
      <c r="R42" s="3369" t="e">
        <f>IF(F1="售价",ROUND(PRODUCT(R41,AA7:AA40),0),ROUND(PRODUCT(R41,AA7:AA40),1))</f>
        <v>#N/A</v>
      </c>
      <c r="S42" s="3369"/>
      <c r="T42" s="3369" t="e">
        <f>IF(F1="售价",ROUND(PRODUCT(T41,AB7:AB40),0),ROUND(PRODUCT(T41,AB7:AB40),1))</f>
        <v>#N/A</v>
      </c>
      <c r="U42" s="3369"/>
      <c r="V42" s="3369" t="e">
        <f>IF(F1="售价",ROUND(PRODUCT(V41,AC7:AC40),0),ROUND(PRODUCT(V41,AC7:AC40),1))</f>
        <v>#N/A</v>
      </c>
      <c r="W42" s="3369"/>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#N/A</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03" t="s">
        <v>1680</v>
      </c>
      <c r="Q7" s="3405"/>
      <c r="R7" s="664" t="s">
        <v>14</v>
      </c>
      <c r="S7" s="665">
        <f t="shared" ref="S7:S14" si="0">F7</f>
        <v>100</v>
      </c>
      <c r="T7" s="664" t="s">
        <v>14</v>
      </c>
      <c r="U7" s="665">
        <f t="shared" ref="U7:U14" si="1">H7</f>
        <v>100</v>
      </c>
      <c r="V7" s="664" t="s">
        <v>14</v>
      </c>
      <c r="W7" s="665">
        <f t="shared" ref="W7:W14" si="2">J7</f>
        <v>100</v>
      </c>
      <c r="X7" s="666"/>
      <c r="Y7" s="3403" t="s">
        <v>1680</v>
      </c>
      <c r="Z7" s="3404"/>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03" t="s">
        <v>1680</v>
      </c>
      <c r="Q7" s="3405"/>
      <c r="R7" s="664" t="s">
        <v>14</v>
      </c>
      <c r="S7" s="665">
        <f t="shared" ref="S7:S14" si="0">F7</f>
        <v>100</v>
      </c>
      <c r="T7" s="664" t="s">
        <v>14</v>
      </c>
      <c r="U7" s="665">
        <f t="shared" ref="U7:U14" si="1">H7</f>
        <v>100</v>
      </c>
      <c r="V7" s="664" t="s">
        <v>14</v>
      </c>
      <c r="W7" s="665">
        <f t="shared" ref="W7:W14" si="2">J7</f>
        <v>100</v>
      </c>
      <c r="X7" s="666"/>
      <c r="Y7" s="3403" t="s">
        <v>1680</v>
      </c>
      <c r="Z7" s="3404"/>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68" t="str">
        <f>A36</f>
        <v>比较价值（元/平方米）</v>
      </c>
      <c r="Q36" s="3368"/>
      <c r="R36" s="3369" t="e">
        <f>IF(F1="售价",ROUND(PRODUCT(R35,AA7:AA34),0),ROUND(PRODUCT(R35,AA7:AA34),1))</f>
        <v>#N/A</v>
      </c>
      <c r="S36" s="3369"/>
      <c r="T36" s="3369" t="e">
        <f>IF(F1="售价",ROUND(PRODUCT(T35,AB7:AB34),0),ROUND(PRODUCT(T35,AB7:AB34),1))</f>
        <v>#N/A</v>
      </c>
      <c r="U36" s="3369"/>
      <c r="V36" s="3369" t="e">
        <f>IF(F1="售价",ROUND(PRODUCT(V35,AC7:AC34),0),ROUND(PRODUCT(V35,AC7:AC34),1))</f>
        <v>#N/A</v>
      </c>
      <c r="W36" s="3369"/>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#N/A</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68"/>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68"/>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t="e">
        <f>ROUND(IF(F21="与级别开发程度一致",0,(G21-E21)/C21),0)</f>
        <v>#DIV/0!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0</v>
      </c>
      <c r="H23" s="3049" t="s">
        <v>3256</v>
      </c>
      <c r="I23" s="3050" t="str">
        <f>IF(H23="季度增幅（自定义）",SUMIF(N25:N28,E2,O25:O28),"")</f>
        <v/>
      </c>
      <c r="J23" s="3142" t="s">
        <v>3255</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0</v>
      </c>
      <c r="D44" s="230"/>
      <c r="E44" s="230"/>
      <c r="F44" s="231"/>
      <c r="G44" s="333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t="e">
        <f ca="1">结果表!H101</f>
        <v>#REF!</v>
      </c>
    </row>
    <row r="6" spans="1:5" ht="15.75">
      <c r="B6" s="3156"/>
      <c r="C6" s="1392" t="s">
        <v>911</v>
      </c>
      <c r="D6" s="797" t="e">
        <f ca="1">NUMBERSTRING(INT(D5*10000),2)&amp;"元整"</f>
        <v>#REF!</v>
      </c>
    </row>
    <row r="7" spans="1:5" ht="15.75">
      <c r="B7" s="3161"/>
      <c r="C7" s="1393" t="s">
        <v>912</v>
      </c>
      <c r="D7" s="798" t="e">
        <f ca="1">结果表!H102</f>
        <v>#REF!</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t="e">
        <f ca="1">结果表!H107</f>
        <v>#REF!</v>
      </c>
    </row>
    <row r="14" spans="1:5" ht="15.75">
      <c r="B14" s="3156"/>
      <c r="C14" s="1392" t="s">
        <v>911</v>
      </c>
      <c r="D14" s="797" t="e">
        <f ca="1">NUMBERSTRING(INT(D13*10000),2)&amp;"元整"</f>
        <v>#REF!</v>
      </c>
    </row>
    <row r="15" spans="1:5" ht="15">
      <c r="B15" s="3161"/>
      <c r="C15" s="1393" t="s">
        <v>921</v>
      </c>
      <c r="D15" s="806" t="e">
        <f ca="1">结果表!H108</f>
        <v>#REF!</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0</v>
      </c>
      <c r="B1" s="2930" t="s">
        <v>3380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3383</v>
      </c>
    </row>
    <row r="24" spans="1:30">
      <c r="I24" s="1405" t="s">
        <v>2825</v>
      </c>
    </row>
    <row r="26" spans="1:30" s="2009" customFormat="1" ht="12.75">
      <c r="B26" s="2930" t="s">
        <v>3381</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E872F-1F88-484F-9051-3829F300D8ED}">
  <dimension ref="A1:S112"/>
  <sheetViews>
    <sheetView tabSelected="1" workbookViewId="0">
      <selection activeCell="M26" sqref="M26"/>
    </sheetView>
  </sheetViews>
  <sheetFormatPr defaultRowHeight="13.5"/>
  <cols>
    <col min="12" max="12" width="17.25" bestFit="1" customWidth="1"/>
  </cols>
  <sheetData>
    <row r="1" spans="2:19">
      <c r="B1" s="3489" t="s">
        <v>3405</v>
      </c>
    </row>
    <row r="2" spans="2:19">
      <c r="S2" s="3489" t="s">
        <v>3415</v>
      </c>
    </row>
    <row r="3" spans="2:19">
      <c r="L3" s="1405" t="s">
        <v>3406</v>
      </c>
      <c r="M3">
        <v>100</v>
      </c>
      <c r="N3">
        <v>11300</v>
      </c>
      <c r="O3">
        <f>ROUND(N3/30/M3,2)</f>
        <v>3.77</v>
      </c>
    </row>
    <row r="4" spans="2:19">
      <c r="L4" s="3490" t="s">
        <v>3408</v>
      </c>
      <c r="M4" s="3491">
        <v>40</v>
      </c>
      <c r="N4" s="3491">
        <v>3417</v>
      </c>
      <c r="O4" s="3491">
        <f t="shared" ref="O4:O10" si="0">ROUND(N4/30/M4,2)</f>
        <v>2.85</v>
      </c>
    </row>
    <row r="5" spans="2:19">
      <c r="L5" s="1405" t="s">
        <v>3410</v>
      </c>
      <c r="M5">
        <v>320</v>
      </c>
      <c r="N5">
        <v>24800</v>
      </c>
      <c r="O5">
        <f t="shared" si="0"/>
        <v>2.58</v>
      </c>
    </row>
    <row r="6" spans="2:19">
      <c r="L6" s="1405" t="s">
        <v>3412</v>
      </c>
      <c r="M6">
        <v>410</v>
      </c>
      <c r="N6">
        <v>40000</v>
      </c>
      <c r="O6">
        <f t="shared" si="0"/>
        <v>3.25</v>
      </c>
    </row>
    <row r="7" spans="2:19">
      <c r="L7" s="3490" t="s">
        <v>3414</v>
      </c>
      <c r="M7" s="3491">
        <v>112</v>
      </c>
      <c r="N7" s="3491">
        <v>10000</v>
      </c>
      <c r="O7" s="3491">
        <f t="shared" si="0"/>
        <v>2.98</v>
      </c>
    </row>
    <row r="8" spans="2:19">
      <c r="L8" s="3490" t="s">
        <v>3416</v>
      </c>
      <c r="M8" s="3491">
        <v>156</v>
      </c>
      <c r="N8" s="3491">
        <v>14200</v>
      </c>
      <c r="O8" s="3491">
        <f t="shared" si="0"/>
        <v>3.03</v>
      </c>
    </row>
    <row r="9" spans="2:19">
      <c r="L9" s="1405" t="s">
        <v>3417</v>
      </c>
      <c r="M9">
        <v>67</v>
      </c>
      <c r="N9">
        <v>6500</v>
      </c>
      <c r="O9">
        <f t="shared" si="0"/>
        <v>3.23</v>
      </c>
    </row>
    <row r="10" spans="2:19">
      <c r="L10" s="3492" t="s">
        <v>3420</v>
      </c>
      <c r="M10" s="3493">
        <v>130</v>
      </c>
      <c r="N10" s="3493">
        <v>8000</v>
      </c>
      <c r="O10">
        <f t="shared" si="0"/>
        <v>2.0499999999999998</v>
      </c>
    </row>
    <row r="11" spans="2:19">
      <c r="O11" t="e">
        <f t="shared" ref="O4:O12" si="1">N11/30/M11</f>
        <v>#DIV/0!</v>
      </c>
    </row>
    <row r="12" spans="2:19">
      <c r="O12" t="e">
        <f t="shared" si="1"/>
        <v>#DIV/0!</v>
      </c>
    </row>
    <row r="16" spans="2:19">
      <c r="L16" s="1405" t="s">
        <v>3429</v>
      </c>
    </row>
    <row r="29" spans="2:19">
      <c r="S29" s="3489" t="s">
        <v>3418</v>
      </c>
    </row>
    <row r="31" spans="2:19">
      <c r="B31" s="3489" t="s">
        <v>3407</v>
      </c>
    </row>
    <row r="57" spans="2:19">
      <c r="B57" s="3489" t="s">
        <v>3409</v>
      </c>
    </row>
    <row r="60" spans="2:19">
      <c r="S60" s="3489" t="s">
        <v>3419</v>
      </c>
    </row>
    <row r="87" spans="2:2">
      <c r="B87" s="3489" t="s">
        <v>3411</v>
      </c>
    </row>
    <row r="112" spans="1:1">
      <c r="A112" s="3489" t="s">
        <v>3413</v>
      </c>
    </row>
  </sheetData>
  <phoneticPr fontId="134" type="noConversion"/>
  <hyperlinks>
    <hyperlink ref="B1" r:id="rId1" display="https://bj.sydc.anjuke.com/sp-zu/7042156575/?proType=combo&amp;legoHuiDu=0&amp;houseid=3883390165101575&amp;pt=1&amp;zhidingLegoHuiDu=0&amp;uniqid=8ec563d626154a76b1b75edd70690e9c&amp;gpos=8&amp;urlParamsMap=39BD8B5C58BAFF9035B30B526343D266D7F57E5A8861A1184E5CF735B8C7C489CCFA7C76EAC769942D1C9C4A4A9947E9DDCAC7F5E6142693AA04BF3536388FF29FB644CAE52DA0BF46FA6DBF2ED174032747F46227745E9F80AE0DAE58C0CEFA&amp;" xr:uid="{207F031E-1378-4507-94CF-33CD16BDF888}"/>
    <hyperlink ref="B31" r:id="rId2" display="https://bj.sydc.anjuke.com/sp-zu/6992007643/?proType=combo&amp;legoHuiDu=0&amp;houseid=3781255917559809&amp;pt=1&amp;zhidingLegoHuiDu=0&amp;uniqid=62ec1d2ccebc4441b4618181bce8db71&amp;gpos=9&amp;urlParamsMap=39BD8B5C58BAFF9035B30B526343D266D7F57E5A8861A1184E5CF735B8C7C489CCFA7C76EAC769942D1C9C4A4A9947E9DDCAC7F5E6142693AA04BF3536388FF29FB644CAE52DA0BF46FA6DBF2ED174032747F46227745E9F80AE0DAE58C0CEFA&amp;" xr:uid="{AC3D4F80-6493-4E75-AD19-4E8368A5A2B3}"/>
    <hyperlink ref="B57" r:id="rId3" display="https://bj.sydc.anjuke.com/sp-zu/6943460665/?proType=combo&amp;legoHuiDu=0&amp;houseid=3691076604256266&amp;pt=1&amp;zhidingLegoHuiDu=0&amp;uniqid=4825b6b421444b13a0a10d303e187df0&amp;gpos=10&amp;urlParamsMap=39BD8B5C58BAFF9035B30B526343D266D7F57E5A8861A1184E5CF735B8C7C489CCFA7C76EAC769942D1C9C4A4A9947E9DDCAC7F5E6142693AA04BF3536388FF29FB644CAE52DA0BF46FA6DBF2ED174032747F46227745E9F1C8E485A02D3BD32&amp;" xr:uid="{FA5B22ED-0775-4503-A3EB-C948AAE403ED}"/>
    <hyperlink ref="B87" r:id="rId4" display="https://bj.sydc.anjuke.com/sp-zu/7018941406/?proType=combo&amp;legoHuiDu=0&amp;houseid=3832443405017101&amp;pt=1&amp;zhidingLegoHuiDu=0&amp;uniqid=4fbffd00f0f14a448d07f25816e13464&amp;gpos=15&amp;urlParamsMap=39BD8B5C58BAFF9035B30B526343D266D7F57E5A8861A1184E5CF735B8C7C489CCFA7C76EAC769942D1C9C4A4A9947E9DDCAC7F5E6142693AA04BF3536388FF29FB644CAE52DA0BF46FA6DBF2ED174032747F46227745E9FD67320ABAF38597A&amp;" xr:uid="{4C02C696-1182-4595-B427-3CCB2F9D18C2}"/>
    <hyperlink ref="A112" r:id="rId5" display="https://bj.sydc.anjuke.com/sp-zu/d3707520770023435/?proType=geren&amp;legoHuiDu=0&amp;houseid=3707520770023435&amp;pt=0&amp;zhidingLegoHuiDu=0&amp;uniqid=d88e8b02195e484bb419e4e651b9b7b1&amp;gpos=27&amp;urlParamsMap=39BD8B5C58BAFF9035B30B526343D266D7F57E5A8861A1184E5CF735B8C7C489CCFA7C76EAC7699442807FD19AE78874D8B66460477AC7A327A87810D76C5D2A3C2113365236B155AF75D9F7067EE42A2747F46227745E9F99676CC6490D47E2&amp;" xr:uid="{6E6DB8A2-6743-4AA3-B3A5-2498564EF228}"/>
    <hyperlink ref="S2" r:id="rId6" display="https://bj.sydc.anjuke.com/sp-zu/d3815298037407745/?proType=geren&amp;legoHuiDu=0&amp;houseid=3815298037407745&amp;pt=0&amp;zhidingLegoHuiDu=0&amp;uniqid=edee7330f83043ba90556af3ff4c85ea&amp;gpos=28&amp;urlParamsMap=39BD8B5C58BAFF9035B30B526343D266D7F57E5A8861A1184E5CF735B8C7C489CCFA7C76EAC7699442807FD19AE78874D8B66460477AC7A327A87810D76C5D2A3C2113365236B155AF75D9F7067EE42ACD5C10B189419D9CB6446DD16D6A96F3&amp;" xr:uid="{F037D200-3525-421C-90D8-539A7A1E4E47}"/>
    <hyperlink ref="S29" r:id="rId7" display="https://bj.sydc.anjuke.com/sp-zu/d3710878784872453/?proType=geren&amp;legoHuiDu=0&amp;houseid=3710878784872453&amp;pt=0&amp;zhidingLegoHuiDu=0&amp;uniqid=69629c29b98e492e8a9f649ed538c12b&amp;gpos=35&amp;urlParamsMap=39BD8B5C58BAFF9035B30B526343D266D7F57E5A8861A1184E5CF735B8C7C489CCFA7C76EAC7699442807FD19AE78874D8B66460477AC7A327A87810D76C5D2A3C2113365236B155AF75D9F7067EE42ACD5C10B189419D9CD24E64434D04D4FF&amp;" xr:uid="{F89C92EA-FCBD-402A-8CCB-529A45FDFA31}"/>
    <hyperlink ref="S60" r:id="rId8" display="https://bj.sydc.anjuke.com/sp-zu/d3264852994546689/?proType=geren&amp;legoHuiDu=0&amp;houseid=3264852994546689&amp;pt=0&amp;zhidingLegoHuiDu=0&amp;uniqid=e1fb47644d1b4b60bdd24c5aee0e5b12&amp;gpos=40&amp;urlParamsMap=39BD8B5C58BAFF9035B30B526343D266D7F57E5A8861A1184E5CF735B8C7C489CCFA7C76EAC7699442807FD19AE78874D8B66460477AC7A327A87810D76C5D2A3C2113365236B155AF75D9F7067EE42ACD5C10B189419D9C3B5026F938940EA4&amp;" xr:uid="{306C837C-E073-4AA0-868A-982F5D4AD787}"/>
  </hyperlinks>
  <pageMargins left="0.7" right="0.7" top="0.75" bottom="0.75" header="0.3" footer="0.3"/>
  <drawing r:id="rId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INDIRECT("d"&amp;$K$1)/100</f>
        <v>0</v>
      </c>
      <c r="H1" s="1217" t="s">
        <v>634</v>
      </c>
      <c r="I1" s="1213">
        <f ca="1">F4/100</f>
        <v>0</v>
      </c>
      <c r="J1" s="1218">
        <f>IF(C1&gt;C13,0,MATCH(C1,C$13:C$114,-1))+IF(SUMIF(C13:C114,C1,D13:D114)=0,13,12)</f>
        <v>72</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t="e">
        <f ca="1">结果表!D122</f>
        <v>#REF!</v>
      </c>
      <c r="E8" s="3167"/>
      <c r="F8" s="3167"/>
      <c r="G8" s="3167"/>
      <c r="H8" s="3167"/>
      <c r="I8" s="3167"/>
    </row>
    <row r="9" spans="1:9" ht="15">
      <c r="A9" s="3168" t="s">
        <v>927</v>
      </c>
      <c r="B9" s="3168"/>
      <c r="C9" s="3168"/>
      <c r="D9" s="3168" t="e">
        <f ca="1">结果表!D123</f>
        <v>#REF!</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9"/>
      <c r="C12" s="3179"/>
      <c r="D12" s="3179"/>
    </row>
    <row r="13" spans="1:4" ht="30" customHeight="1">
      <c r="A13" s="3174" t="str">
        <f>IF(项目基本情况!B8="抵押","3.抵押双方在办理抵押登记手续时，应使用本公司出具的正式《房地产评估报告》，特提醒报告使用者注意。","——")</f>
        <v>——</v>
      </c>
      <c r="B13" s="3179"/>
      <c r="C13" s="3179"/>
      <c r="D13" s="3179"/>
    </row>
    <row r="14" spans="1:4" ht="15.75" customHeight="1">
      <c r="A14" s="3174" t="str">
        <f>IF(项目基本情况!B8="抵押","4.本次评估估价师所知悉的法定优先受偿款情况说明如下：","——")</f>
        <v>——</v>
      </c>
      <c r="B14" s="3179"/>
      <c r="C14" s="3179"/>
      <c r="D14" s="3179"/>
    </row>
    <row r="15" spans="1:4" ht="42" customHeight="1">
      <c r="A15" s="3174" t="str">
        <f>IF(项目基本情况!B8="抵押","（1）"&amp;CONCATENATE(项目基本情况!L20,项目基本情况!L21,项目基本情况!L22),"——")</f>
        <v>——</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45666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2025-01-09T09:28:24Z</dcterms:modified>
</cp:coreProperties>
</file>