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金果园老农永宁镇\"/>
    </mc:Choice>
  </mc:AlternateContent>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N6" i="1" l="1"/>
  <c r="B55" i="1" l="1"/>
  <c r="B56" i="1"/>
  <c r="B57" i="1"/>
  <c r="B58" i="1"/>
  <c r="B59" i="1"/>
  <c r="B54" i="1"/>
  <c r="Y6" i="1"/>
  <c r="G19" i="6"/>
  <c r="F19" i="6"/>
  <c r="D29" i="43" s="1"/>
  <c r="D3" i="4"/>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D4" i="73"/>
  <c r="F4" i="73"/>
  <c r="E20" i="43" l="1"/>
  <c r="I1" i="73"/>
  <c r="B39" i="1" s="1"/>
  <c r="D7" i="73"/>
  <c r="D6"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13" i="1"/>
  <c r="AO11"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s="1"/>
  <c r="K86" i="43"/>
  <c r="J86" i="43" s="1"/>
  <c r="M85" i="43"/>
  <c r="N85" i="43"/>
  <c r="K85" i="43"/>
  <c r="J85" i="43"/>
  <c r="M84" i="43"/>
  <c r="N84" i="43" s="1"/>
  <c r="K84" i="43"/>
  <c r="J84" i="43" s="1"/>
  <c r="M83" i="43"/>
  <c r="N83" i="43"/>
  <c r="K83" i="43"/>
  <c r="J83" i="43"/>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F16" i="4" s="1"/>
  <c r="A18" i="51" s="1"/>
  <c r="B13" i="72" s="1"/>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C12" i="43" s="1"/>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AB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F41" i="39"/>
  <c r="S41" i="39" s="1"/>
  <c r="H40" i="39"/>
  <c r="AB40" i="39" s="1"/>
  <c r="H39" i="39"/>
  <c r="U39" i="39" s="1"/>
  <c r="S38" i="39"/>
  <c r="H34" i="39"/>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J15" i="34"/>
  <c r="AC15" i="34" s="1"/>
  <c r="H15" i="34"/>
  <c r="AB15" i="34" s="1"/>
  <c r="S9" i="34"/>
  <c r="J28" i="34"/>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J13" i="36"/>
  <c r="AC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J13" i="35"/>
  <c r="AC13" i="35" s="1"/>
  <c r="J25" i="35"/>
  <c r="W25" i="35" s="1"/>
  <c r="H25" i="35"/>
  <c r="AB25" i="35" s="1"/>
  <c r="F35" i="35"/>
  <c r="AA35" i="35" s="1"/>
  <c r="J25" i="36"/>
  <c r="W25" i="36" s="1"/>
  <c r="H25" i="36"/>
  <c r="AB25" i="36" s="1"/>
  <c r="F13" i="37"/>
  <c r="S13" i="37" s="1"/>
  <c r="F28" i="37"/>
  <c r="AA28" i="37" s="1"/>
  <c r="J28" i="37"/>
  <c r="AC28" i="37" s="1"/>
  <c r="H28" i="37"/>
  <c r="J38" i="37"/>
  <c r="AC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F13" i="40"/>
  <c r="AA13" i="40" s="1"/>
  <c r="F27" i="37"/>
  <c r="AA27" i="37" s="1"/>
  <c r="J13" i="39"/>
  <c r="W13" i="39" s="1"/>
  <c r="H14" i="40"/>
  <c r="J14" i="40"/>
  <c r="W14" i="40" s="1"/>
  <c r="F14" i="40"/>
  <c r="J27" i="37"/>
  <c r="AC27" i="37" s="1"/>
  <c r="J36" i="37"/>
  <c r="AC36" i="37" s="1"/>
  <c r="AB11" i="35"/>
  <c r="J10" i="36"/>
  <c r="AC10" i="36" s="1"/>
  <c r="AB26" i="33"/>
  <c r="W13" i="36"/>
  <c r="W11" i="36"/>
  <c r="W11" i="35"/>
  <c r="AC30" i="34"/>
  <c r="S45" i="33"/>
  <c r="AB31" i="33"/>
  <c r="W29" i="33"/>
  <c r="AC28" i="21"/>
  <c r="S44" i="34"/>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AZ540" i="3" s="1"/>
  <c r="BA536" i="3"/>
  <c r="BA532" i="3"/>
  <c r="BA528" i="3"/>
  <c r="BA526" i="3"/>
  <c r="BA524" i="3"/>
  <c r="BA520" i="3"/>
  <c r="BA516" i="3"/>
  <c r="BA512" i="3"/>
  <c r="AZ512" i="3" s="1"/>
  <c r="BA510" i="3"/>
  <c r="BA508" i="3"/>
  <c r="BA504" i="3"/>
  <c r="BA502" i="3"/>
  <c r="BA498" i="3"/>
  <c r="BA496" i="3"/>
  <c r="BA587" i="3"/>
  <c r="BA583" i="3"/>
  <c r="BA579" i="3"/>
  <c r="BA575" i="3"/>
  <c r="BA571" i="3"/>
  <c r="BA567" i="3"/>
  <c r="AZ567" i="3" s="1"/>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Q579" i="3"/>
  <c r="BQ577" i="3"/>
  <c r="BL577" i="3" s="1"/>
  <c r="BQ575" i="3"/>
  <c r="BL575" i="3"/>
  <c r="BQ573" i="3"/>
  <c r="BQ571" i="3"/>
  <c r="BQ569" i="3"/>
  <c r="BL569" i="3" s="1"/>
  <c r="BQ567" i="3"/>
  <c r="BL567" i="3"/>
  <c r="BQ565" i="3"/>
  <c r="BQ563" i="3"/>
  <c r="BQ561" i="3"/>
  <c r="BQ559" i="3"/>
  <c r="BL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G517" i="3"/>
  <c r="G513" i="3"/>
  <c r="BQ519" i="3"/>
  <c r="BQ517" i="3"/>
  <c r="BL517" i="3" s="1"/>
  <c r="AZ517" i="3" s="1"/>
  <c r="BQ515" i="3"/>
  <c r="BL515" i="3"/>
  <c r="BQ513" i="3"/>
  <c r="BQ511" i="3"/>
  <c r="BA509" i="3"/>
  <c r="AC509" i="3"/>
  <c r="BQ509" i="3"/>
  <c r="BL509" i="3" s="1"/>
  <c r="AZ509" i="3" s="1"/>
  <c r="G507" i="3"/>
  <c r="G503" i="3"/>
  <c r="G499" i="3"/>
  <c r="G495" i="3"/>
  <c r="BQ507" i="3"/>
  <c r="BL507" i="3"/>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AC32" i="36"/>
  <c r="AC33" i="36"/>
  <c r="AA12" i="35"/>
  <c r="W23" i="35"/>
  <c r="U33" i="37"/>
  <c r="W26" i="37"/>
  <c r="AC8" i="37"/>
  <c r="U26" i="37"/>
  <c r="AB13" i="34"/>
  <c r="AB37" i="34"/>
  <c r="AA13" i="33"/>
  <c r="AC45"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F15" i="37"/>
  <c r="AA15" i="37" s="1"/>
  <c r="F31" i="37"/>
  <c r="S31" i="37" s="1"/>
  <c r="F12" i="39"/>
  <c r="S12" i="39" s="1"/>
  <c r="J42" i="39"/>
  <c r="AC42" i="39" s="1"/>
  <c r="H21" i="40"/>
  <c r="AB21" i="40" s="1"/>
  <c r="AC12" i="37"/>
  <c r="H31" i="37"/>
  <c r="U31" i="37" s="1"/>
  <c r="G71" i="37"/>
  <c r="J15" i="37"/>
  <c r="W15" i="37" s="1"/>
  <c r="U12" i="37"/>
  <c r="AT6" i="3"/>
  <c r="H19" i="40"/>
  <c r="U19" i="40" s="1"/>
  <c r="F19" i="40"/>
  <c r="S19" i="40" s="1"/>
  <c r="AC13" i="40"/>
  <c r="W23" i="39"/>
  <c r="W43" i="39"/>
  <c r="AB45" i="39"/>
  <c r="U44" i="39"/>
  <c r="H37" i="39"/>
  <c r="AB37" i="39" s="1"/>
  <c r="W37" i="39"/>
  <c r="H25" i="39"/>
  <c r="AB25" i="39" s="1"/>
  <c r="J25" i="39"/>
  <c r="F25" i="39"/>
  <c r="AA25" i="39" s="1"/>
  <c r="F15" i="39"/>
  <c r="AA15" i="39" s="1"/>
  <c r="H15" i="39"/>
  <c r="U15" i="39" s="1"/>
  <c r="J15" i="39"/>
  <c r="W15" i="39" s="1"/>
  <c r="H41" i="39"/>
  <c r="W27" i="39"/>
  <c r="U40"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8" i="3"/>
  <c r="BL549" i="3"/>
  <c r="AZ502"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s="1"/>
  <c r="BL200" i="3"/>
  <c r="G201" i="3"/>
  <c r="BA203" i="3"/>
  <c r="BL204" i="3"/>
  <c r="AZ204" i="3" s="1"/>
  <c r="AZ43" i="3"/>
  <c r="AZ47" i="3"/>
  <c r="AZ59" i="3"/>
  <c r="AZ67" i="3"/>
  <c r="AZ71" i="3"/>
  <c r="AZ79" i="3"/>
  <c r="AZ83" i="3"/>
  <c r="AZ136" i="3"/>
  <c r="AZ152" i="3"/>
  <c r="AZ160" i="3"/>
  <c r="AZ168" i="3"/>
  <c r="AZ184" i="3"/>
  <c r="AZ192" i="3"/>
  <c r="AZ200" i="3"/>
  <c r="AZ85" i="3"/>
  <c r="AZ89" i="3"/>
  <c r="AZ97" i="3"/>
  <c r="AZ105" i="3"/>
  <c r="AZ120" i="3"/>
  <c r="AZ128" i="3"/>
  <c r="G534" i="3"/>
  <c r="G522" i="3"/>
  <c r="G512" i="3"/>
  <c r="G498"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18" i="3"/>
  <c r="AZ311" i="3"/>
  <c r="AZ327" i="3"/>
  <c r="G342" i="3"/>
  <c r="BL345" i="3"/>
  <c r="AZ345" i="3" s="1"/>
  <c r="G346"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AZ388" i="3" s="1"/>
  <c r="G389" i="3"/>
  <c r="BA391" i="3"/>
  <c r="AZ391" i="3" s="1"/>
  <c r="BL392" i="3"/>
  <c r="G393" i="3"/>
  <c r="AZ275" i="3"/>
  <c r="AZ283" i="3"/>
  <c r="AZ291" i="3"/>
  <c r="AZ299" i="3"/>
  <c r="BO5" i="3"/>
  <c r="F29" i="6" s="1"/>
  <c r="BM5" i="3"/>
  <c r="BJ5" i="3"/>
  <c r="BH5" i="3"/>
  <c r="BF5" i="3"/>
  <c r="BD5" i="3"/>
  <c r="AZ305" i="3"/>
  <c r="AZ329" i="3"/>
  <c r="AZ333" i="3"/>
  <c r="AZ337" i="3"/>
  <c r="BQ5" i="3"/>
  <c r="AC5" i="3"/>
  <c r="G548" i="3"/>
  <c r="G538" i="3"/>
  <c r="G520" i="3"/>
  <c r="G502" i="3"/>
  <c r="BS5" i="3"/>
  <c r="BP5" i="3"/>
  <c r="BN5" i="3"/>
  <c r="AZ343" i="3"/>
  <c r="AZ347" i="3"/>
  <c r="BK5" i="3"/>
  <c r="BI5" i="3"/>
  <c r="BG5" i="3"/>
  <c r="BE5" i="3"/>
  <c r="BC5" i="3"/>
  <c r="G17" i="3"/>
  <c r="BA17" i="3"/>
  <c r="BT5" i="3"/>
  <c r="AZ350" i="3"/>
  <c r="AZ360" i="3"/>
  <c r="AZ368" i="3"/>
  <c r="BA15" i="3"/>
  <c r="BR5" i="3"/>
  <c r="AZ392" i="3"/>
  <c r="AZ396" i="3"/>
  <c r="AZ394" i="3"/>
  <c r="G509" i="3"/>
  <c r="BL493" i="3"/>
  <c r="AZ479" i="3"/>
  <c r="AZ481" i="3"/>
  <c r="AZ376" i="3"/>
  <c r="U36" i="40"/>
  <c r="N4" i="43"/>
  <c r="F48" i="43"/>
  <c r="H52" i="43" s="1"/>
  <c r="N7" i="43"/>
  <c r="F70" i="43"/>
  <c r="H73" i="43" s="1"/>
  <c r="M6" i="43"/>
  <c r="M11" i="43"/>
  <c r="F39" i="43"/>
  <c r="F6" i="1"/>
  <c r="I20" i="43" s="1"/>
  <c r="U17" i="39"/>
  <c r="S14" i="35"/>
  <c r="U43" i="21"/>
  <c r="U35" i="21"/>
  <c r="AC35" i="21"/>
  <c r="U10" i="21"/>
  <c r="G8" i="1"/>
  <c r="O6" i="1"/>
  <c r="P6" i="1" s="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353" i="3"/>
  <c r="AZ386" i="3"/>
  <c r="C40" i="11"/>
  <c r="AZ215" i="3"/>
  <c r="AZ223" i="3"/>
  <c r="AZ235" i="3"/>
  <c r="AZ240" i="3"/>
  <c r="AZ251" i="3"/>
  <c r="AZ268" i="3"/>
  <c r="AZ271" i="3"/>
  <c r="AZ288" i="3"/>
  <c r="AZ296" i="3"/>
  <c r="AZ117" i="3"/>
  <c r="AZ133" i="3"/>
  <c r="AZ21" i="3"/>
  <c r="AZ29" i="3"/>
  <c r="AZ31" i="3"/>
  <c r="AZ33" i="3"/>
  <c r="AZ45" i="3"/>
  <c r="AZ50" i="3"/>
  <c r="AZ61" i="3"/>
  <c r="AZ69" i="3"/>
  <c r="AZ82" i="3"/>
  <c r="AZ102" i="3"/>
  <c r="H74" i="43"/>
  <c r="F23" i="39"/>
  <c r="AA23" i="39" s="1"/>
  <c r="F97" i="39"/>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K9" i="1"/>
  <c r="M9" i="1" s="1"/>
  <c r="O9" i="1" s="1"/>
  <c r="P9" i="1" s="1"/>
  <c r="F3" i="35"/>
  <c r="D93" i="9"/>
  <c r="AE9" i="1"/>
  <c r="A2" i="9" l="1"/>
  <c r="A4" i="52"/>
  <c r="B41" i="72" s="1"/>
  <c r="F35" i="43"/>
  <c r="H49" i="43"/>
  <c r="J17" i="43"/>
  <c r="I17" i="43"/>
  <c r="E17" i="43"/>
  <c r="H113" i="43"/>
  <c r="F36" i="43"/>
  <c r="G28" i="6"/>
  <c r="G29" i="6"/>
  <c r="E8" i="6"/>
  <c r="F27" i="6" s="1"/>
  <c r="E15" i="6"/>
  <c r="E60" i="40" s="1"/>
  <c r="E29" i="6"/>
  <c r="AZ557" i="3"/>
  <c r="AZ575" i="3"/>
  <c r="U28" i="37"/>
  <c r="AB28" i="37"/>
  <c r="AC47" i="34"/>
  <c r="W47" i="34"/>
  <c r="AC40" i="37"/>
  <c r="W40" i="37"/>
  <c r="AC37" i="34"/>
  <c r="W37" i="34"/>
  <c r="AB32" i="33"/>
  <c r="U32" i="33"/>
  <c r="AA42" i="39"/>
  <c r="S42" i="39"/>
  <c r="W45" i="39"/>
  <c r="AC45" i="39"/>
  <c r="BL587" i="3"/>
  <c r="BA585" i="3"/>
  <c r="S12" i="21"/>
  <c r="AA12" i="21"/>
  <c r="J27" i="21"/>
  <c r="W27" i="21" s="1"/>
  <c r="H27" i="21"/>
  <c r="AB27" i="21" s="1"/>
  <c r="J29" i="21"/>
  <c r="AC29" i="21" s="1"/>
  <c r="H29" i="21"/>
  <c r="U29" i="21" s="1"/>
  <c r="H31" i="21"/>
  <c r="F31" i="21"/>
  <c r="S31" i="21" s="1"/>
  <c r="B74" i="43"/>
  <c r="C27" i="39"/>
  <c r="AB35" i="33"/>
  <c r="U35" i="33"/>
  <c r="AB8" i="35"/>
  <c r="U8" i="35"/>
  <c r="AC28" i="36"/>
  <c r="W28" i="36"/>
  <c r="H13" i="36"/>
  <c r="AB13" i="36" s="1"/>
  <c r="F13" i="36"/>
  <c r="S13" i="36" s="1"/>
  <c r="W16" i="36"/>
  <c r="AC16" i="36"/>
  <c r="F32" i="36"/>
  <c r="H32" i="36"/>
  <c r="AB32" i="36" s="1"/>
  <c r="S31" i="36"/>
  <c r="AA31" i="36"/>
  <c r="H13" i="37"/>
  <c r="J13" i="37"/>
  <c r="W13" i="37" s="1"/>
  <c r="J39" i="37"/>
  <c r="AC39" i="37" s="1"/>
  <c r="F39" i="37"/>
  <c r="H39" i="37"/>
  <c r="AB40" i="40"/>
  <c r="U40" i="40"/>
  <c r="J31" i="40"/>
  <c r="H31" i="40"/>
  <c r="U31" i="40" s="1"/>
  <c r="J33" i="40"/>
  <c r="H33" i="40"/>
  <c r="F38" i="40"/>
  <c r="H38" i="40"/>
  <c r="J40" i="40"/>
  <c r="F40" i="40"/>
  <c r="BA569" i="3"/>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BL534" i="3"/>
  <c r="BA534" i="3"/>
  <c r="BA533" i="3"/>
  <c r="BL532" i="3"/>
  <c r="AZ532" i="3" s="1"/>
  <c r="BA530" i="3"/>
  <c r="AZ530" i="3" s="1"/>
  <c r="BA529" i="3"/>
  <c r="BL528" i="3"/>
  <c r="BL526" i="3"/>
  <c r="AZ526" i="3" s="1"/>
  <c r="BA525" i="3"/>
  <c r="BL524" i="3"/>
  <c r="BA522" i="3"/>
  <c r="AZ522" i="3" s="1"/>
  <c r="BL521" i="3"/>
  <c r="BA521" i="3"/>
  <c r="AZ521" i="3" s="1"/>
  <c r="BL519" i="3"/>
  <c r="BA519" i="3"/>
  <c r="BA518" i="3"/>
  <c r="AZ518" i="3" s="1"/>
  <c r="BL516" i="3"/>
  <c r="BA515" i="3"/>
  <c r="BL514" i="3"/>
  <c r="BA514" i="3"/>
  <c r="BL511" i="3"/>
  <c r="AZ511" i="3" s="1"/>
  <c r="BA511" i="3"/>
  <c r="BL508" i="3"/>
  <c r="AZ508" i="3" s="1"/>
  <c r="BL506" i="3"/>
  <c r="BA506" i="3"/>
  <c r="AZ506" i="3" s="1"/>
  <c r="BA505" i="3"/>
  <c r="BL504" i="3"/>
  <c r="BL503" i="3"/>
  <c r="AZ503" i="3" s="1"/>
  <c r="BA501" i="3"/>
  <c r="BA500" i="3"/>
  <c r="AZ500" i="3" s="1"/>
  <c r="BL498" i="3"/>
  <c r="BA497" i="3"/>
  <c r="BL496" i="3"/>
  <c r="AZ496" i="3" s="1"/>
  <c r="BA494" i="3"/>
  <c r="AZ494" i="3" s="1"/>
  <c r="BA493" i="3"/>
  <c r="AZ493" i="3" s="1"/>
  <c r="S34" i="33"/>
  <c r="H48" i="43"/>
  <c r="H50" i="43"/>
  <c r="E12" i="6"/>
  <c r="E57" i="40" s="1"/>
  <c r="F28" i="6"/>
  <c r="AZ380" i="3"/>
  <c r="AZ362" i="3"/>
  <c r="W14" i="39"/>
  <c r="W15" i="34"/>
  <c r="AZ497" i="3"/>
  <c r="AZ501" i="3"/>
  <c r="AZ515" i="3"/>
  <c r="AZ520" i="3"/>
  <c r="AZ559" i="3"/>
  <c r="AZ569" i="3"/>
  <c r="AZ507" i="3"/>
  <c r="AZ587" i="3"/>
  <c r="AZ498" i="3"/>
  <c r="AZ504" i="3"/>
  <c r="AZ510" i="3"/>
  <c r="AZ516" i="3"/>
  <c r="AZ524" i="3"/>
  <c r="AZ528" i="3"/>
  <c r="AZ536" i="3"/>
  <c r="W31" i="34"/>
  <c r="AA14" i="40"/>
  <c r="S14" i="40"/>
  <c r="AB14" i="40"/>
  <c r="U14" i="40"/>
  <c r="S44" i="33"/>
  <c r="AA44" i="33"/>
  <c r="AA11" i="36"/>
  <c r="S11" i="36"/>
  <c r="W31" i="33"/>
  <c r="AC31" i="33"/>
  <c r="W36" i="34"/>
  <c r="AC36" i="34"/>
  <c r="U33" i="35"/>
  <c r="W28" i="34"/>
  <c r="AC28" i="34"/>
  <c r="AB30" i="35"/>
  <c r="U30" i="35"/>
  <c r="U34" i="21"/>
  <c r="U34" i="39"/>
  <c r="AB34" i="39"/>
  <c r="AB39" i="40"/>
  <c r="U33" i="33"/>
  <c r="AC31" i="36"/>
  <c r="AC36" i="39"/>
  <c r="W36" i="39"/>
  <c r="AC41" i="33"/>
  <c r="AC8" i="34"/>
  <c r="W8" i="34"/>
  <c r="S12" i="34"/>
  <c r="AA12" i="34"/>
  <c r="AA35" i="34"/>
  <c r="S35" i="34"/>
  <c r="AB34" i="35"/>
  <c r="U34" i="35"/>
  <c r="J12" i="33"/>
  <c r="H12" i="33"/>
  <c r="S14" i="33"/>
  <c r="AA14" i="33"/>
  <c r="H30" i="33"/>
  <c r="AB30" i="33" s="1"/>
  <c r="J30" i="33"/>
  <c r="AC44" i="33"/>
  <c r="W44" i="33"/>
  <c r="J46" i="33"/>
  <c r="AC46" i="33" s="1"/>
  <c r="H46" i="33"/>
  <c r="J29" i="34"/>
  <c r="H29" i="34"/>
  <c r="AB29" i="34" s="1"/>
  <c r="AB31" i="34"/>
  <c r="U31" i="34"/>
  <c r="H45" i="34"/>
  <c r="U45" i="34" s="1"/>
  <c r="F45" i="34"/>
  <c r="S45" i="34" s="1"/>
  <c r="F13" i="35"/>
  <c r="H13" i="35"/>
  <c r="U13" i="35" s="1"/>
  <c r="J35" i="35"/>
  <c r="AC35" i="35" s="1"/>
  <c r="H35" i="35"/>
  <c r="AC22" i="35"/>
  <c r="W22" i="35"/>
  <c r="U12" i="36"/>
  <c r="AB12" i="36"/>
  <c r="H14" i="37"/>
  <c r="F14" i="37"/>
  <c r="J14" i="37"/>
  <c r="AC14" i="37" s="1"/>
  <c r="H38" i="37"/>
  <c r="AB38" i="37" s="1"/>
  <c r="F38" i="37"/>
  <c r="S38" i="37" s="1"/>
  <c r="H25" i="37"/>
  <c r="J25" i="37"/>
  <c r="F13" i="39"/>
  <c r="H13" i="39"/>
  <c r="F31" i="39"/>
  <c r="J31" i="39"/>
  <c r="AA34" i="39"/>
  <c r="S34" i="39"/>
  <c r="W9" i="40"/>
  <c r="AC9" i="40"/>
  <c r="AB34" i="40"/>
  <c r="U34" i="40"/>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90" i="3"/>
  <c r="AZ356" i="3"/>
  <c r="AZ342" i="3"/>
  <c r="AZ378" i="3"/>
  <c r="BL495" i="3"/>
  <c r="AZ495" i="3" s="1"/>
  <c r="BL499" i="3"/>
  <c r="AZ499" i="3" s="1"/>
  <c r="BL505" i="3"/>
  <c r="AZ505"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C30" i="9"/>
  <c r="AZ410" i="3"/>
  <c r="BL15" i="3"/>
  <c r="AZ15" i="3" s="1"/>
  <c r="BL398" i="3"/>
  <c r="AZ398" i="3" s="1"/>
  <c r="BA399" i="3"/>
  <c r="AZ399" i="3" s="1"/>
  <c r="G402" i="3"/>
  <c r="G403" i="3"/>
  <c r="G404" i="3"/>
  <c r="BL404" i="3"/>
  <c r="AZ404" i="3" s="1"/>
  <c r="BA405" i="3"/>
  <c r="AZ405" i="3" s="1"/>
  <c r="BA406" i="3"/>
  <c r="AZ406" i="3" s="1"/>
  <c r="G409" i="3"/>
  <c r="BL409" i="3"/>
  <c r="AZ409" i="3" s="1"/>
  <c r="BL411" i="3"/>
  <c r="AZ411" i="3" s="1"/>
  <c r="BA412" i="3"/>
  <c r="AZ412" i="3" s="1"/>
  <c r="BL414" i="3"/>
  <c r="AZ414" i="3" s="1"/>
  <c r="BA415" i="3"/>
  <c r="AZ415" i="3" s="1"/>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G387" i="3"/>
  <c r="AZ395" i="3"/>
  <c r="AZ211" i="3"/>
  <c r="BL216" i="3"/>
  <c r="BA217" i="3"/>
  <c r="AZ217" i="3" s="1"/>
  <c r="AZ219" i="3"/>
  <c r="BL228" i="3"/>
  <c r="AZ424" i="3"/>
  <c r="AZ434" i="3"/>
  <c r="AZ443" i="3"/>
  <c r="AZ446" i="3"/>
  <c r="AZ450" i="3"/>
  <c r="AZ459" i="3"/>
  <c r="AZ462" i="3"/>
  <c r="AZ480" i="3"/>
  <c r="G358" i="3"/>
  <c r="BL365" i="3"/>
  <c r="AZ365" i="3" s="1"/>
  <c r="BA367" i="3"/>
  <c r="AZ367" i="3" s="1"/>
  <c r="G380" i="3"/>
  <c r="G384" i="3"/>
  <c r="G397" i="3"/>
  <c r="BL397" i="3"/>
  <c r="AZ397" i="3" s="1"/>
  <c r="BA208" i="3"/>
  <c r="AZ208" i="3" s="1"/>
  <c r="BA209" i="3"/>
  <c r="AZ209" i="3" s="1"/>
  <c r="BL212" i="3"/>
  <c r="AZ212" i="3" s="1"/>
  <c r="BA213" i="3"/>
  <c r="AZ213" i="3" s="1"/>
  <c r="G219" i="3"/>
  <c r="BL219" i="3"/>
  <c r="BA220" i="3"/>
  <c r="AZ220" i="3" s="1"/>
  <c r="BL222" i="3"/>
  <c r="AZ222" i="3" s="1"/>
  <c r="G225" i="3"/>
  <c r="BL225" i="3"/>
  <c r="AZ225" i="3" s="1"/>
  <c r="BA226" i="3"/>
  <c r="AZ226" i="3" s="1"/>
  <c r="BA227" i="3"/>
  <c r="AZ227" i="3" s="1"/>
  <c r="AZ250" i="3"/>
  <c r="AZ270" i="3"/>
  <c r="AZ292" i="3"/>
  <c r="AZ301" i="3"/>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1" i="3"/>
  <c r="G292" i="3"/>
  <c r="BL292" i="3"/>
  <c r="BA293" i="3"/>
  <c r="AZ293" i="3" s="1"/>
  <c r="BL295" i="3"/>
  <c r="AZ295" i="3" s="1"/>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BA201" i="3"/>
  <c r="AZ201" i="3" s="1"/>
  <c r="BA202" i="3"/>
  <c r="AZ202" i="3" s="1"/>
  <c r="BL203" i="3"/>
  <c r="AZ203" i="3" s="1"/>
  <c r="BL206" i="3"/>
  <c r="AZ206" i="3" s="1"/>
  <c r="BA207" i="3"/>
  <c r="AZ207" i="3" s="1"/>
  <c r="G20" i="3"/>
  <c r="G21" i="3"/>
  <c r="G22" i="3"/>
  <c r="BL22" i="3"/>
  <c r="BA23" i="3"/>
  <c r="AZ23" i="3" s="1"/>
  <c r="BA24" i="3"/>
  <c r="AZ24" i="3" s="1"/>
  <c r="G27" i="3"/>
  <c r="BL27" i="3"/>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M100" i="43"/>
  <c r="I100" i="43"/>
  <c r="E100" i="43"/>
  <c r="I20" i="66"/>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E59" i="40"/>
  <c r="F30" i="6"/>
  <c r="F31" i="6" s="1"/>
  <c r="E28" i="6"/>
  <c r="E30" i="6" s="1"/>
  <c r="AQ13" i="1"/>
  <c r="AR11" i="1"/>
  <c r="T11" i="1"/>
  <c r="AQ9" i="1"/>
  <c r="AR10" i="1"/>
  <c r="T10" i="1"/>
  <c r="E19" i="69"/>
  <c r="E19" i="68"/>
  <c r="E19" i="11"/>
  <c r="E1" i="73"/>
  <c r="K1" i="73" s="1"/>
  <c r="G41" i="69"/>
  <c r="G22" i="69"/>
  <c r="G41" i="68"/>
  <c r="G22" i="68"/>
  <c r="G27" i="12"/>
  <c r="G26" i="12"/>
  <c r="G41" i="11"/>
  <c r="G22" i="11"/>
  <c r="G25" i="12"/>
  <c r="C100" i="43"/>
  <c r="E11" i="43"/>
  <c r="E10" i="43"/>
  <c r="E9" i="43"/>
  <c r="E8" i="43"/>
  <c r="E81" i="43"/>
  <c r="B79" i="43" s="1"/>
  <c r="C24" i="43" s="1"/>
  <c r="E48" i="43"/>
  <c r="B46" i="43" s="1"/>
  <c r="E70" i="43"/>
  <c r="B68" i="43" s="1"/>
  <c r="C20" i="43"/>
  <c r="F100" i="43"/>
  <c r="H17" i="43"/>
  <c r="D9" i="53"/>
  <c r="B25" i="72" s="1"/>
  <c r="B24" i="72"/>
  <c r="G6" i="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26" i="67"/>
  <c r="M29" i="15"/>
  <c r="M22" i="67"/>
  <c r="L48" i="67"/>
  <c r="F38" i="67"/>
  <c r="F6" i="15"/>
  <c r="F38" i="15"/>
  <c r="F36" i="67"/>
  <c r="F43" i="15"/>
  <c r="M22" i="15"/>
  <c r="M6" i="67"/>
  <c r="J15" i="15"/>
  <c r="F16" i="15"/>
  <c r="M9" i="15"/>
  <c r="F36" i="15"/>
  <c r="M29" i="67"/>
  <c r="F43" i="67"/>
  <c r="L48" i="15"/>
  <c r="F37" i="67"/>
  <c r="F37" i="15"/>
  <c r="F13" i="67"/>
  <c r="F42" i="67"/>
  <c r="F40" i="15"/>
  <c r="M6" i="15"/>
  <c r="F9" i="15"/>
  <c r="M28" i="67"/>
  <c r="L47" i="67"/>
  <c r="J15" i="67"/>
  <c r="M8" i="67"/>
  <c r="F13" i="15"/>
  <c r="M9" i="67"/>
  <c r="F8" i="15"/>
  <c r="M8" i="15"/>
  <c r="M23" i="67"/>
  <c r="M26" i="67"/>
  <c r="F40" i="67"/>
  <c r="C76" i="15"/>
  <c r="F16" i="67"/>
  <c r="M24" i="15"/>
  <c r="M23" i="15"/>
  <c r="M24" i="67"/>
  <c r="F26" i="15"/>
  <c r="F7" i="15"/>
  <c r="F7" i="67"/>
  <c r="F8" i="67"/>
  <c r="M26" i="15"/>
  <c r="F42" i="15"/>
  <c r="M28" i="15"/>
  <c r="L47" i="15"/>
  <c r="C76" i="67"/>
  <c r="G1" i="73"/>
  <c r="F9" i="67"/>
  <c r="F6" i="67"/>
  <c r="F81" i="43" l="1"/>
  <c r="H83" i="43" s="1"/>
  <c r="H86" i="43"/>
  <c r="H82" i="43"/>
  <c r="C6" i="43"/>
  <c r="C16" i="43"/>
  <c r="F32" i="67"/>
  <c r="F60" i="67" s="1"/>
  <c r="F32" i="15"/>
  <c r="F60" i="15" s="1"/>
  <c r="M18" i="67"/>
  <c r="F30" i="69"/>
  <c r="M18" i="15"/>
  <c r="F28" i="67"/>
  <c r="F30" i="68"/>
  <c r="C48" i="68" s="1"/>
  <c r="F31" i="12"/>
  <c r="F30" i="11"/>
  <c r="C30" i="11" s="1"/>
  <c r="F52" i="9"/>
  <c r="K20" i="6"/>
  <c r="T9" i="1"/>
  <c r="T13" i="1"/>
  <c r="E65" i="39"/>
  <c r="AQ12" i="1"/>
  <c r="T12" i="1"/>
  <c r="D9" i="69"/>
  <c r="C9" i="69" s="1"/>
  <c r="E62" i="39"/>
  <c r="E56" i="40"/>
  <c r="E16" i="6"/>
  <c r="C31" i="12"/>
  <c r="C28" i="67"/>
  <c r="E69" i="3"/>
  <c r="E237" i="3"/>
  <c r="E114" i="3"/>
  <c r="E261" i="3"/>
  <c r="E278" i="3"/>
  <c r="E304" i="3"/>
  <c r="E415" i="3"/>
  <c r="E528" i="3"/>
  <c r="E563" i="3"/>
  <c r="E565" i="3"/>
  <c r="E395" i="3"/>
  <c r="E53" i="3"/>
  <c r="E125" i="3"/>
  <c r="E175" i="3"/>
  <c r="E217" i="3"/>
  <c r="E319" i="3"/>
  <c r="E366" i="3"/>
  <c r="E530" i="3"/>
  <c r="E526" i="3"/>
  <c r="E501" i="3"/>
  <c r="E553" i="3"/>
  <c r="E343" i="3"/>
  <c r="D19" i="12"/>
  <c r="C19" i="12" s="1"/>
  <c r="AZ13" i="3"/>
  <c r="AZ5" i="3" s="1"/>
  <c r="F28" i="15"/>
  <c r="C28" i="15" s="1"/>
  <c r="AC25" i="37"/>
  <c r="W25" i="37"/>
  <c r="AB14" i="37"/>
  <c r="U14" i="37"/>
  <c r="S13" i="35"/>
  <c r="AA13" i="35"/>
  <c r="AA40" i="40"/>
  <c r="S40" i="40"/>
  <c r="AB38" i="40"/>
  <c r="U38" i="40"/>
  <c r="U33" i="40"/>
  <c r="AB33" i="40"/>
  <c r="AB39" i="37"/>
  <c r="U39" i="37"/>
  <c r="AB13" i="37"/>
  <c r="U13" i="37"/>
  <c r="AZ572" i="3"/>
  <c r="AC32" i="40"/>
  <c r="W32" i="40"/>
  <c r="AA31" i="39"/>
  <c r="S31" i="39"/>
  <c r="U25" i="37"/>
  <c r="AB25" i="37"/>
  <c r="S14" i="37"/>
  <c r="AA14" i="37"/>
  <c r="AB35" i="35"/>
  <c r="U35" i="35"/>
  <c r="AB46" i="33"/>
  <c r="U46" i="33"/>
  <c r="U12" i="33"/>
  <c r="AB12" i="33"/>
  <c r="AZ514" i="3"/>
  <c r="AZ519" i="3"/>
  <c r="AZ534" i="3"/>
  <c r="AZ556" i="3"/>
  <c r="AZ564" i="3"/>
  <c r="W40" i="40"/>
  <c r="AC40" i="40"/>
  <c r="AA38" i="40"/>
  <c r="S38" i="40"/>
  <c r="W33" i="40"/>
  <c r="AC33" i="40"/>
  <c r="AC31" i="40"/>
  <c r="W31" i="40"/>
  <c r="S39" i="37"/>
  <c r="AA39" i="37"/>
  <c r="C7" i="43"/>
  <c r="C30" i="68"/>
  <c r="E302" i="3"/>
  <c r="E328" i="3"/>
  <c r="E535" i="3"/>
  <c r="AJ6" i="3"/>
  <c r="E503" i="3"/>
  <c r="E508" i="3"/>
  <c r="E550" i="3"/>
  <c r="N6" i="3"/>
  <c r="E17" i="3"/>
  <c r="E426" i="3"/>
  <c r="E445" i="3"/>
  <c r="E322" i="3"/>
  <c r="E361" i="3"/>
  <c r="E305" i="3"/>
  <c r="E260" i="3"/>
  <c r="E282" i="3"/>
  <c r="E213" i="3"/>
  <c r="E153" i="3"/>
  <c r="E172" i="3"/>
  <c r="E268" i="3"/>
  <c r="E183" i="3"/>
  <c r="AZ14" i="3"/>
  <c r="E58" i="40"/>
  <c r="E63" i="39"/>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31" i="15"/>
  <c r="M17" i="67"/>
  <c r="F59" i="15"/>
  <c r="F31" i="67"/>
  <c r="F59" i="67"/>
  <c r="M17" i="15"/>
  <c r="D9" i="68"/>
  <c r="C16" i="15"/>
  <c r="C17" i="15"/>
  <c r="C16" i="67"/>
  <c r="H87" i="43" l="1"/>
  <c r="H81" i="43"/>
  <c r="H88" i="43"/>
  <c r="H85" i="43"/>
  <c r="H84" i="43"/>
  <c r="C9" i="68"/>
  <c r="C5" i="43"/>
  <c r="C38" i="43" s="1"/>
  <c r="G38" i="43" s="1"/>
  <c r="I38" i="43" s="1"/>
  <c r="E66" i="39"/>
  <c r="E3" i="6"/>
  <c r="B14" i="74" s="1"/>
  <c r="B1" i="74" s="1"/>
  <c r="AY6" i="3"/>
  <c r="K16" i="1"/>
  <c r="K27" i="6"/>
  <c r="AR6" i="1"/>
  <c r="M19" i="6"/>
  <c r="I19" i="6" s="1"/>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66" i="3"/>
  <c r="AY276" i="3"/>
  <c r="AY470" i="3"/>
  <c r="AY358" i="3"/>
  <c r="AY541" i="3"/>
  <c r="AY201" i="3"/>
  <c r="AY134" i="3"/>
  <c r="AY270" i="3"/>
  <c r="AY373" i="3"/>
  <c r="AY88" i="3"/>
  <c r="AY161" i="3"/>
  <c r="AY215" i="3"/>
  <c r="AY324" i="3"/>
  <c r="AY438" i="3"/>
  <c r="AY580" i="3"/>
  <c r="AY552" i="3"/>
  <c r="AY523" i="3"/>
  <c r="AY174" i="3"/>
  <c r="AY250" i="3"/>
  <c r="AY305" i="3"/>
  <c r="AY445" i="3"/>
  <c r="AY505" i="3"/>
  <c r="AY522" i="3"/>
  <c r="AY551" i="3"/>
  <c r="BP6" i="3"/>
  <c r="AY79" i="3"/>
  <c r="AY19" i="3"/>
  <c r="AY151" i="3"/>
  <c r="AY265" i="3"/>
  <c r="AY394" i="3"/>
  <c r="AY315" i="3"/>
  <c r="AY451" i="3"/>
  <c r="AY500" i="3"/>
  <c r="AY568" i="3"/>
  <c r="AY71" i="3"/>
  <c r="AY200" i="3"/>
  <c r="AY143" i="3"/>
  <c r="AY257" i="3"/>
  <c r="AY386" i="3"/>
  <c r="AY307" i="3"/>
  <c r="AY443" i="3"/>
  <c r="AY521" i="3"/>
  <c r="BT6" i="3"/>
  <c r="C47" i="69"/>
  <c r="D45" i="69" s="1"/>
  <c r="C29" i="69"/>
  <c r="D27" i="69" s="1"/>
  <c r="F28" i="12"/>
  <c r="C29" i="12" s="1"/>
  <c r="D28" i="12" s="1"/>
  <c r="P7" i="1"/>
  <c r="O16" i="1"/>
  <c r="F24" i="15"/>
  <c r="C24" i="15" s="1"/>
  <c r="F22" i="11"/>
  <c r="F25" i="12"/>
  <c r="F22" i="69"/>
  <c r="F24" i="67"/>
  <c r="C24" i="67" s="1"/>
  <c r="F22" i="68"/>
  <c r="T11" i="43"/>
  <c r="V11" i="43" s="1"/>
  <c r="T9" i="43"/>
  <c r="V9" i="43" s="1"/>
  <c r="T10" i="43"/>
  <c r="V10" i="43" s="1"/>
  <c r="F1" i="15"/>
  <c r="Q52" i="15"/>
  <c r="C36" i="43"/>
  <c r="E36"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N16" i="1" s="1"/>
  <c r="Q60" i="67"/>
  <c r="Q73" i="67"/>
  <c r="F27" i="11"/>
  <c r="Q61" i="67"/>
  <c r="Q74" i="67"/>
  <c r="C49" i="67"/>
  <c r="F1" i="67"/>
  <c r="Q52" i="67"/>
  <c r="F27" i="68"/>
  <c r="AY176" i="3" l="1"/>
  <c r="AY188" i="3"/>
  <c r="AY297" i="3"/>
  <c r="AY335" i="3"/>
  <c r="AY409" i="3"/>
  <c r="AY228" i="3"/>
  <c r="AY465" i="3"/>
  <c r="BK6" i="3"/>
  <c r="AY108" i="3"/>
  <c r="AY2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66" i="3"/>
  <c r="AY400" i="3"/>
  <c r="AY477" i="3"/>
  <c r="AY351" i="3"/>
  <c r="AY240" i="3"/>
  <c r="AY293" i="3"/>
  <c r="AY164" i="3"/>
  <c r="AY54" i="3"/>
  <c r="AY107" i="3"/>
  <c r="AY547" i="3"/>
  <c r="AY408" i="3"/>
  <c r="AY485" i="3"/>
  <c r="AY359" i="3"/>
  <c r="AY248" i="3"/>
  <c r="AY301" i="3"/>
  <c r="AY172" i="3"/>
  <c r="AY62" i="3"/>
  <c r="AY493" i="3"/>
  <c r="AY545" i="3"/>
  <c r="AY515" i="3"/>
  <c r="AY538" i="3"/>
  <c r="AY402" i="3"/>
  <c r="AY479" i="3"/>
  <c r="AY361" i="3"/>
  <c r="AY113" i="3"/>
  <c r="AY64" i="3"/>
  <c r="AY532" i="3"/>
  <c r="AY536" i="3"/>
  <c r="AY419" i="3"/>
  <c r="AY480" i="3"/>
  <c r="AY341" i="3"/>
  <c r="AY275" i="3"/>
  <c r="AY29" i="3"/>
  <c r="AY507" i="3"/>
  <c r="AY227" i="3"/>
  <c r="AY286" i="3"/>
  <c r="AY173" i="3"/>
  <c r="AY45" i="3"/>
  <c r="AY433" i="3"/>
  <c r="AY180" i="3"/>
  <c r="AY225" i="3"/>
  <c r="AY115" i="3"/>
  <c r="C29" i="68"/>
  <c r="D27" i="68" s="1"/>
  <c r="C37" i="43"/>
  <c r="G37" i="43" s="1"/>
  <c r="I37" i="43" s="1"/>
  <c r="C39" i="43"/>
  <c r="T15" i="43"/>
  <c r="V15" i="43" s="1"/>
  <c r="T14" i="43"/>
  <c r="V14" i="43" s="1"/>
  <c r="C35" i="43"/>
  <c r="G35" i="43" s="1"/>
  <c r="I35" i="43" s="1"/>
  <c r="C34" i="43"/>
  <c r="G34" i="43" s="1"/>
  <c r="I34" i="43" s="1"/>
  <c r="C33" i="43"/>
  <c r="G33" i="43" s="1"/>
  <c r="I33" i="43" s="1"/>
  <c r="T13" i="43"/>
  <c r="V13" i="43" s="1"/>
  <c r="T8" i="43"/>
  <c r="V8" i="43" s="1"/>
  <c r="T12" i="43"/>
  <c r="V12" i="43" s="1"/>
  <c r="T16" i="43"/>
  <c r="V16" i="43" s="1"/>
  <c r="M18" i="9"/>
  <c r="B118" i="9" s="1"/>
  <c r="D14" i="12"/>
  <c r="D17" i="12" s="1"/>
  <c r="C17" i="12" s="1"/>
  <c r="D37" i="11"/>
  <c r="D19" i="11"/>
  <c r="C19" i="11" s="1"/>
  <c r="C20" i="11" s="1"/>
  <c r="D3" i="3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C14" i="74" s="1"/>
  <c r="B2" i="74" s="1"/>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22" i="6"/>
  <c r="D6" i="6"/>
  <c r="D29"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S19" i="6"/>
  <c r="S27" i="6" s="1"/>
  <c r="I27" i="6"/>
  <c r="W10" i="39"/>
  <c r="AC10" i="39"/>
  <c r="U10" i="39"/>
  <c r="AB10" i="39"/>
  <c r="F50" i="11"/>
  <c r="F50" i="69"/>
  <c r="F50" i="68"/>
  <c r="C47" i="11"/>
  <c r="D45" i="11" s="1"/>
  <c r="C29" i="11"/>
  <c r="D27" i="11" s="1"/>
  <c r="L16" i="1"/>
  <c r="D10" i="68"/>
  <c r="H23" i="6" l="1"/>
  <c r="D10" i="6"/>
  <c r="D24" i="6"/>
  <c r="D25" i="6"/>
  <c r="E39" i="43"/>
  <c r="G39" i="43"/>
  <c r="I39" i="43" s="1"/>
  <c r="E35" i="43"/>
  <c r="E34" i="43"/>
  <c r="E33" i="43"/>
  <c r="H26" i="6"/>
  <c r="H25" i="6"/>
  <c r="R25" i="6" s="1"/>
  <c r="D9" i="6"/>
  <c r="D20" i="6"/>
  <c r="R20" i="6" s="1"/>
  <c r="R7" i="1" s="1"/>
  <c r="D21" i="6"/>
  <c r="D15" i="6"/>
  <c r="C34" i="11"/>
  <c r="C38" i="11" s="1"/>
  <c r="C28" i="11"/>
  <c r="C27" i="11" s="1"/>
  <c r="C36" i="11"/>
  <c r="H19" i="6"/>
  <c r="H24" i="6"/>
  <c r="H21" i="6"/>
  <c r="R21" i="6" s="1"/>
  <c r="R8" i="1" s="1"/>
  <c r="H22" i="6"/>
  <c r="R22" i="6" s="1"/>
  <c r="E61" i="40"/>
  <c r="D28" i="6"/>
  <c r="D30" i="6" s="1"/>
  <c r="D13" i="6"/>
  <c r="D11" i="6"/>
  <c r="D12" i="6"/>
  <c r="D5" i="6"/>
  <c r="D14" i="6"/>
  <c r="D23" i="6"/>
  <c r="R23" i="6" s="1"/>
  <c r="D8" i="6"/>
  <c r="C18" i="4"/>
  <c r="A7" i="51" s="1"/>
  <c r="B7" i="72" s="1"/>
  <c r="D26" i="6"/>
  <c r="D19" i="6"/>
  <c r="J24" i="67"/>
  <c r="J18" i="67"/>
  <c r="J24" i="15"/>
  <c r="J18" i="15"/>
  <c r="G36" i="36"/>
  <c r="R37" i="36"/>
  <c r="AB7" i="34"/>
  <c r="T49" i="34" s="1"/>
  <c r="G49" i="34" s="1"/>
  <c r="G53" i="34" s="1"/>
  <c r="H53" i="34" s="1"/>
  <c r="W7" i="21"/>
  <c r="AA7" i="21"/>
  <c r="R48" i="21" s="1"/>
  <c r="E48" i="21" s="1"/>
  <c r="E52" i="21" s="1"/>
  <c r="F52" i="21" s="1"/>
  <c r="R24" i="6"/>
  <c r="D19" i="68"/>
  <c r="C10" i="68"/>
  <c r="C12" i="12"/>
  <c r="C15" i="12"/>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6" i="68"/>
  <c r="C34" i="68"/>
  <c r="D27" i="6" l="1"/>
  <c r="M19" i="9"/>
  <c r="C118" i="9" s="1"/>
  <c r="L19" i="9"/>
  <c r="C35" i="11"/>
  <c r="H27" i="6"/>
  <c r="C4" i="52"/>
  <c r="B45" i="72" s="1"/>
  <c r="D16" i="6"/>
  <c r="R26" i="6"/>
  <c r="R19" i="6"/>
  <c r="R6" i="1" s="1"/>
  <c r="C31" i="11"/>
  <c r="A10" i="51"/>
  <c r="B9" i="72" s="1"/>
  <c r="D31" i="6"/>
  <c r="I6" i="6" s="1"/>
  <c r="I7" i="6" s="1"/>
  <c r="G3" i="43" s="1"/>
  <c r="R49" i="21"/>
  <c r="C48" i="21" s="1"/>
  <c r="G54" i="34"/>
  <c r="H54" i="34" s="1"/>
  <c r="I53" i="21"/>
  <c r="J53" i="21" s="1"/>
  <c r="C37" i="36"/>
  <c r="C36" i="36"/>
  <c r="G40" i="36"/>
  <c r="H40" i="36" s="1"/>
  <c r="E41" i="36"/>
  <c r="F41" i="36" s="1"/>
  <c r="G41" i="36"/>
  <c r="H41" i="36" s="1"/>
  <c r="C19" i="68"/>
  <c r="D37" i="68"/>
  <c r="C37" i="68" s="1"/>
  <c r="R27" i="6"/>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E22" i="43" l="1"/>
  <c r="C101" i="43"/>
  <c r="N104" i="46"/>
  <c r="K101" i="43"/>
  <c r="N101" i="43"/>
  <c r="F22" i="43"/>
  <c r="G101" i="43"/>
  <c r="J101" i="43"/>
  <c r="B113" i="43"/>
  <c r="F101" i="43"/>
  <c r="H22" i="43"/>
  <c r="H101" i="43"/>
  <c r="M101" i="43"/>
  <c r="E101" i="43"/>
  <c r="AH11" i="43"/>
  <c r="AH13" i="43" s="1"/>
  <c r="AD11" i="43"/>
  <c r="AD13" i="43" s="1"/>
  <c r="Z11" i="43"/>
  <c r="Z13" i="43" s="1"/>
  <c r="AI11" i="43"/>
  <c r="AI13" i="43" s="1"/>
  <c r="AE11" i="43"/>
  <c r="AE13" i="43" s="1"/>
  <c r="AA11" i="43"/>
  <c r="AA13" i="43" s="1"/>
  <c r="L101" i="43"/>
  <c r="D101" i="43"/>
  <c r="I101" i="43"/>
  <c r="G22" i="43"/>
  <c r="AJ11" i="43"/>
  <c r="AJ13" i="43" s="1"/>
  <c r="AF11" i="43"/>
  <c r="AF13" i="43" s="1"/>
  <c r="AB11" i="43"/>
  <c r="AB13" i="43" s="1"/>
  <c r="Z7" i="43"/>
  <c r="AG11" i="43"/>
  <c r="AG13" i="43" s="1"/>
  <c r="AC11" i="43"/>
  <c r="AC13" i="43" s="1"/>
  <c r="Y11" i="43"/>
  <c r="Y13" i="43" s="1"/>
  <c r="I5" i="6"/>
  <c r="C49" i="21"/>
  <c r="F63" i="67"/>
  <c r="C62" i="67" s="1"/>
  <c r="C34" i="67"/>
  <c r="J20" i="67"/>
  <c r="C24" i="68"/>
  <c r="J20" i="15"/>
  <c r="F63" i="15"/>
  <c r="C62" i="15" s="1"/>
  <c r="C34" i="15"/>
  <c r="R16" i="1"/>
  <c r="C22" i="12"/>
  <c r="C30" i="12" s="1"/>
  <c r="C28" i="12" s="1"/>
  <c r="C33" i="68"/>
  <c r="I63" i="40"/>
  <c r="H65" i="40"/>
  <c r="C39" i="11"/>
  <c r="C43" i="11" s="1"/>
  <c r="C41" i="11" s="1"/>
  <c r="I70" i="39"/>
  <c r="I109" i="43" l="1"/>
  <c r="I102" i="43"/>
  <c r="I106" i="43"/>
  <c r="I103" i="43"/>
  <c r="I104" i="43"/>
  <c r="I107" i="43"/>
  <c r="I105" i="43"/>
  <c r="L109" i="43"/>
  <c r="L102" i="43"/>
  <c r="L105" i="43"/>
  <c r="L104" i="43"/>
  <c r="L106" i="43"/>
  <c r="L107" i="43"/>
  <c r="L103" i="43"/>
  <c r="M109" i="43"/>
  <c r="M104" i="43"/>
  <c r="M107" i="43"/>
  <c r="M105" i="43"/>
  <c r="M102" i="43"/>
  <c r="M106" i="43"/>
  <c r="M103" i="43"/>
  <c r="D109" i="43"/>
  <c r="D103" i="43"/>
  <c r="D104" i="43"/>
  <c r="D107" i="43"/>
  <c r="D105" i="43"/>
  <c r="D106" i="43"/>
  <c r="D102" i="43"/>
  <c r="E104" i="43"/>
  <c r="E107" i="43"/>
  <c r="E105" i="43"/>
  <c r="E109" i="43"/>
  <c r="E102" i="43"/>
  <c r="E106" i="43"/>
  <c r="E103" i="43"/>
  <c r="H107" i="43"/>
  <c r="H106" i="43"/>
  <c r="H105" i="43"/>
  <c r="H102" i="43"/>
  <c r="H103" i="43"/>
  <c r="H104" i="43"/>
  <c r="H109" i="43"/>
  <c r="F104" i="43"/>
  <c r="F103" i="43"/>
  <c r="F109" i="43"/>
  <c r="F102" i="43"/>
  <c r="F106" i="43"/>
  <c r="F105" i="43"/>
  <c r="F107" i="43"/>
  <c r="J104" i="43"/>
  <c r="J107" i="43"/>
  <c r="J106" i="43"/>
  <c r="J103" i="43"/>
  <c r="J105" i="43"/>
  <c r="J109" i="43"/>
  <c r="J102" i="43"/>
  <c r="K103" i="43"/>
  <c r="K105" i="43"/>
  <c r="K109" i="43"/>
  <c r="K106" i="43"/>
  <c r="K107" i="43"/>
  <c r="K102" i="43"/>
  <c r="K104" i="43"/>
  <c r="C104" i="43"/>
  <c r="C109" i="43"/>
  <c r="C107" i="43"/>
  <c r="C106" i="43"/>
  <c r="C103" i="43"/>
  <c r="C102" i="43"/>
  <c r="C105" i="43"/>
  <c r="I118" i="43"/>
  <c r="J118" i="43" s="1"/>
  <c r="K118" i="43" s="1"/>
  <c r="L118" i="43" s="1"/>
  <c r="M118" i="43" s="1"/>
  <c r="G118" i="43"/>
  <c r="H118" i="43" s="1"/>
  <c r="B118" i="43"/>
  <c r="C118" i="43" s="1"/>
  <c r="I115" i="43"/>
  <c r="J115" i="43" s="1"/>
  <c r="K115" i="43" s="1"/>
  <c r="L115" i="43" s="1"/>
  <c r="M115" i="43" s="1"/>
  <c r="D115" i="43"/>
  <c r="E115" i="43" s="1"/>
  <c r="F115" i="43" s="1"/>
  <c r="G115" i="43" s="1"/>
  <c r="H115" i="43" s="1"/>
  <c r="I117" i="43"/>
  <c r="J117" i="43" s="1"/>
  <c r="K117" i="43" s="1"/>
  <c r="L117" i="43" s="1"/>
  <c r="M117" i="43" s="1"/>
  <c r="D118" i="43"/>
  <c r="E118" i="43" s="1"/>
  <c r="F118" i="43" s="1"/>
  <c r="B115" i="43"/>
  <c r="I116" i="43"/>
  <c r="J116" i="43" s="1"/>
  <c r="K116" i="43" s="1"/>
  <c r="L116" i="43" s="1"/>
  <c r="M116" i="43" s="1"/>
  <c r="D116" i="43"/>
  <c r="E116" i="43" s="1"/>
  <c r="F116" i="43" s="1"/>
  <c r="G116" i="43" s="1"/>
  <c r="H116" i="43" s="1"/>
  <c r="B117" i="43"/>
  <c r="C117" i="43" s="1"/>
  <c r="B116" i="43"/>
  <c r="C116" i="43" s="1"/>
  <c r="D117" i="43"/>
  <c r="E117" i="43" s="1"/>
  <c r="F117" i="43" s="1"/>
  <c r="G117" i="43" s="1"/>
  <c r="H117" i="43" s="1"/>
  <c r="G105" i="43"/>
  <c r="G106" i="43"/>
  <c r="G107" i="43"/>
  <c r="G104" i="43"/>
  <c r="G109" i="43"/>
  <c r="G103" i="43"/>
  <c r="G102" i="43"/>
  <c r="N102" i="43"/>
  <c r="N109" i="43"/>
  <c r="N105" i="43"/>
  <c r="N104" i="43"/>
  <c r="N106" i="43"/>
  <c r="N107" i="43"/>
  <c r="N103" i="43"/>
  <c r="D22" i="43"/>
  <c r="C27" i="12"/>
  <c r="C25" i="12" s="1"/>
  <c r="C32" i="12" s="1"/>
  <c r="B2" i="12" s="1"/>
  <c r="B3" i="12" s="1"/>
  <c r="C39" i="68"/>
  <c r="C43" i="68" s="1"/>
  <c r="C42" i="68"/>
  <c r="J63" i="40"/>
  <c r="I65" i="40"/>
  <c r="C46" i="11"/>
  <c r="C45" i="11" s="1"/>
  <c r="C49" i="11" s="1"/>
  <c r="C51" i="11" s="1"/>
  <c r="C52" i="11" s="1"/>
  <c r="B2" i="11" s="1"/>
  <c r="B3" i="11" s="1"/>
  <c r="J70" i="39"/>
  <c r="C115" i="43" l="1"/>
  <c r="D113" i="43" s="1"/>
  <c r="J22" i="43" s="1"/>
  <c r="S6" i="43"/>
  <c r="T6" i="43" s="1"/>
  <c r="V6" i="43" s="1"/>
  <c r="S5" i="43"/>
  <c r="T5" i="43" s="1"/>
  <c r="V5" i="43" s="1"/>
  <c r="S7" i="43"/>
  <c r="T7" i="43" s="1"/>
  <c r="V7" i="43" s="1"/>
  <c r="C23" i="43"/>
  <c r="C21" i="43" s="1"/>
  <c r="C29" i="43" s="1"/>
  <c r="S4" i="43"/>
  <c r="T4" i="43" s="1"/>
  <c r="V4" i="43" s="1"/>
  <c r="S3" i="43"/>
  <c r="T3" i="43" s="1"/>
  <c r="V3" i="43" s="1"/>
  <c r="S2" i="43"/>
  <c r="T2" i="43" s="1"/>
  <c r="V2" i="43" s="1"/>
  <c r="C41" i="68"/>
  <c r="C46" i="68"/>
  <c r="C45" i="68" s="1"/>
  <c r="K63" i="40"/>
  <c r="J65" i="40"/>
  <c r="K70" i="39"/>
  <c r="C56" i="11"/>
  <c r="C57" i="11" s="1"/>
  <c r="E29" i="43" l="1"/>
  <c r="C26" i="43" s="1"/>
  <c r="B2" i="43" s="1"/>
  <c r="C30" i="43"/>
  <c r="E30" i="43" s="1"/>
  <c r="C27" i="43" s="1"/>
  <c r="C49" i="68"/>
  <c r="C51" i="68" s="1"/>
  <c r="L63" i="40"/>
  <c r="K65" i="40"/>
  <c r="L70" i="39"/>
  <c r="E8" i="70"/>
  <c r="E2" i="70" s="1"/>
  <c r="C34" i="69"/>
  <c r="C17" i="67"/>
  <c r="B3" i="43" l="1"/>
  <c r="C6" i="68"/>
  <c r="C7" i="68" s="1"/>
  <c r="C5" i="68" s="1"/>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C46" i="15" l="1"/>
  <c r="B2" i="69"/>
  <c r="B3" i="69" s="1"/>
  <c r="B8" i="70"/>
  <c r="B6" i="70"/>
  <c r="B2" i="68"/>
  <c r="B3" i="67"/>
  <c r="B7" i="70"/>
  <c r="E2" i="68"/>
  <c r="D2" i="33"/>
  <c r="D2" i="37"/>
  <c r="D2" i="34"/>
  <c r="D2" i="21"/>
  <c r="C19" i="9"/>
  <c r="D2" i="36"/>
  <c r="D2" i="35"/>
  <c r="B2" i="36" l="1"/>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H118" i="9"/>
  <c r="C104" i="9" s="1"/>
  <c r="D119" i="9" l="1"/>
  <c r="D5" i="52" s="1"/>
  <c r="B49" i="72" s="1"/>
  <c r="J118" i="9"/>
  <c r="D8" i="74"/>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<sst xmlns="http://schemas.openxmlformats.org/spreadsheetml/2006/main" count="7239" uniqueCount="3088">
  <si>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</si>
  <si>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</si>
  <si>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</si>
  <si>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</si>
  <si>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</si>
  <si>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</si>
  <si>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</si>
  <si>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</si>
  <si>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</si>
  <si>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</si>
  <si>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</si>
  <si>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</si>
  <si>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</si>
  <si>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</si>
  <si>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</si>
  <si>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</si>
  <si>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</si>
  <si>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</si>
  <si>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</si>
  <si>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</si>
  <si>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</si>
  <si>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</si>
  <si>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</si>
  <si>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</si>
  <si>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</si>
  <si>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</si>
  <si>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</si>
  <si>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</si>
  <si>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</si>
  <si>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</si>
  <si>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</si>
  <si>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</si>
  <si>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</si>
  <si>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</si>
  <si>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</si>
  <si>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</si>
  <si>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</si>
  <si>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</si>
  <si>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</si>
  <si>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</si>
  <si>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</si>
  <si>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</si>
  <si>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</si>
  <si>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</si>
  <si>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</si>
  <si>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</si>
  <si>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</si>
  <si>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</si>
  <si>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</si>
  <si>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</si>
  <si>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</si>
  <si>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</si>
  <si>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</si>
  <si>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</si>
  <si>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</si>
  <si>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</si>
  <si>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</si>
  <si>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</si>
  <si>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</si>
  <si>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</si>
  <si>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</si>
  <si>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</si>
  <si>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</si>
  <si>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</si>
  <si>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</si>
  <si>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</si>
  <si>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</si>
  <si>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</si>
  <si>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</si>
  <si>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</si>
  <si>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</si>
  <si>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</si>
  <si>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</si>
  <si>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</si>
  <si>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</si>
  <si>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</si>
  <si>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</si>
  <si>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</si>
  <si>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</si>
  <si>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</si>
  <si>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</si>
  <si>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</si>
  <si>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</si>
  <si>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</si>
  <si>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</si>
  <si>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</si>
  <si>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</si>
  <si>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</si>
  <si>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</si>
  <si>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</si>
  <si>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</si>
  <si>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</si>
  <si>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</si>
  <si>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</si>
  <si>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</si>
  <si>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</si>
  <si>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</si>
  <si>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</si>
  <si>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</si>
  <si>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</si>
  <si>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</si>
  <si>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</si>
  <si>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</si>
  <si>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</si>
  <si>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</si>
  <si>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</si>
  <si>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</si>
  <si>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</si>
  <si>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</si>
  <si>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</si>
  <si>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</si>
  <si>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</si>
  <si>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</si>
  <si>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</si>
  <si>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</si>
  <si>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</si>
  <si>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</si>
  <si>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</si>
  <si>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</si>
  <si>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</si>
  <si>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</si>
  <si>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</si>
  <si>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</si>
  <si>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</si>
  <si>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</si>
  <si>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</si>
  <si>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</si>
  <si>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</si>
  <si>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</si>
  <si>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</si>
  <si>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</si>
  <si>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</si>
  <si>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</si>
  <si>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</si>
  <si>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</si>
  <si>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</si>
  <si>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</si>
  <si>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</si>
  <si>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</si>
  <si>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</si>
  <si>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</si>
  <si>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</si>
  <si>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</si>
  <si>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</si>
  <si>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</si>
  <si>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</si>
  <si>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</si>
  <si>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</si>
  <si>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</si>
  <si>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</si>
  <si>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</si>
  <si>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</si>
  <si>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</si>
  <si>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</si>
  <si>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</si>
  <si>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</si>
  <si>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</si>
  <si>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</si>
  <si>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</si>
  <si>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</si>
  <si>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</si>
  <si>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</si>
  <si>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</si>
  <si>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</si>
  <si>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</si>
  <si>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</si>
  <si>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</si>
  <si>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</si>
  <si>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</si>
  <si>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</si>
  <si>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</si>
  <si>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</si>
  <si>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</si>
  <si>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</si>
  <si>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</si>
  <si>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</si>
  <si>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</si>
  <si>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</si>
  <si>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</si>
  <si>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</si>
  <si>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</si>
  <si>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</si>
  <si>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</si>
  <si>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</si>
  <si>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</si>
  <si>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</si>
  <si>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</si>
  <si>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</si>
  <si>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</si>
  <si>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</si>
  <si>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</si>
  <si>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</si>
  <si>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</si>
  <si>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</si>
  <si>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</si>
  <si>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</si>
  <si>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</si>
  <si>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</si>
  <si>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</si>
  <si>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</si>
  <si>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</si>
  <si>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</si>
  <si>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</si>
  <si>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</si>
  <si>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</si>
  <si>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</si>
  <si>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</si>
  <si>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</si>
  <si>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</si>
  <si>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</si>
  <si>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</si>
  <si>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</si>
  <si>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</si>
  <si>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</si>
  <si>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</si>
  <si>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</si>
  <si>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</si>
  <si>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</si>
  <si>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</si>
  <si>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</si>
  <si>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</si>
  <si>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</si>
  <si>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</si>
  <si>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</si>
  <si>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</si>
  <si>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</si>
  <si>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</si>
  <si>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</si>
  <si>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</si>
  <si>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</si>
  <si>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</si>
  <si>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</si>
  <si>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</si>
  <si>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</si>
  <si>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</si>
  <si>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</si>
  <si>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</si>
  <si>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</si>
  <si>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</si>
  <si>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</si>
  <si>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</si>
  <si>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</si>
  <si>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</si>
  <si>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</si>
  <si>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</si>
  <si>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</si>
  <si>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</si>
  <si>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</si>
  <si>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</si>
  <si>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</si>
  <si>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</si>
  <si>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</si>
  <si>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</si>
  <si>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</si>
  <si>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</si>
  <si>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</si>
  <si>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</si>
  <si>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</si>
  <si>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</si>
  <si>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</si>
  <si>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</si>
  <si>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</si>
  <si>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</si>
  <si>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</si>
  <si>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</si>
  <si>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</si>
  <si>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</si>
  <si>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</si>
  <si>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</si>
  <si>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</si>
  <si>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</si>
  <si>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</si>
  <si>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</si>
  <si>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</si>
  <si>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</si>
  <si>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</si>
  <si>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</si>
  <si>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</si>
  <si>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</si>
  <si>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</si>
  <si>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</si>
  <si>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</si>
  <si>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</si>
  <si>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</si>
  <si>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</si>
  <si>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</si>
  <si>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</si>
  <si>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</si>
  <si>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</si>
  <si>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</si>
  <si>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</si>
  <si>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</si>
  <si>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</si>
  <si>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</si>
  <si>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</si>
  <si>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</si>
  <si>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</si>
  <si>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</si>
  <si>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</si>
  <si>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</si>
  <si>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</si>
  <si>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</si>
  <si>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</si>
  <si>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</si>
  <si>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</si>
  <si>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</si>
  <si>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</si>
  <si>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</si>
  <si>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</si>
  <si>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</si>
  <si>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</si>
  <si>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</si>
  <si>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</si>
  <si>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</si>
  <si>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</si>
  <si>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</si>
  <si>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</si>
  <si>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</si>
  <si>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</si>
  <si>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</si>
  <si>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</si>
  <si>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</si>
  <si>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</si>
  <si>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</si>
  <si>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</si>
  <si>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</si>
  <si>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</si>
  <si>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</si>
  <si>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</si>
  <si>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</si>
  <si>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</si>
  <si>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</si>
  <si>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</si>
  <si>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</si>
  <si>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</si>
  <si>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</si>
  <si>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</si>
  <si>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</si>
  <si>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</si>
  <si>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</si>
  <si>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</si>
  <si>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</si>
  <si>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</si>
  <si>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</si>
  <si>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</si>
  <si>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</si>
  <si>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</si>
  <si>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</si>
  <si>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</si>
  <si>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</si>
  <si>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</si>
  <si>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</si>
  <si>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</si>
  <si>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</si>
  <si>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</si>
  <si>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</si>
  <si>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</si>
  <si>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</si>
  <si>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</si>
  <si>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</si>
  <si>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</si>
  <si>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</si>
  <si>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</si>
  <si>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</si>
  <si>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</si>
  <si>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</si>
  <si>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</si>
  <si>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</si>
  <si>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</si>
  <si>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</si>
  <si>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</si>
  <si>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</si>
  <si>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</si>
  <si>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</si>
  <si>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</si>
  <si>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</si>
  <si>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</si>
  <si>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</si>
  <si>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</si>
  <si>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</si>
  <si>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</si>
  <si>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</si>
  <si>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</si>
  <si>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</si>
  <si>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</si>
  <si>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</si>
  <si>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</si>
  <si>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</si>
  <si>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</si>
  <si>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</si>
  <si>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</si>
  <si>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</si>
  <si>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</si>
  <si>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</si>
  <si>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</si>
  <si>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</si>
  <si>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</si>
  <si>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</si>
  <si>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</si>
  <si>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</si>
  <si>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</si>
  <si>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</si>
  <si>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</si>
  <si>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</si>
  <si>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</si>
  <si>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</si>
  <si>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</si>
  <si>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</si>
  <si>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</si>
  <si>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</si>
  <si>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</si>
  <si>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</si>
  <si>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</si>
  <si>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</si>
  <si>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</si>
  <si>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</si>
  <si>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</si>
  <si>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</si>
  <si>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</si>
  <si>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</si>
  <si>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</si>
  <si>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</si>
  <si>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</si>
  <si>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</si>
  <si>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</si>
  <si>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</si>
  <si>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</si>
  <si>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</si>
  <si>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</si>
  <si>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</si>
  <si>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</si>
  <si>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</si>
  <si>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</si>
  <si>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</si>
  <si>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</si>
  <si>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</si>
  <si>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</si>
  <si>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</si>
  <si>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</si>
  <si>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</si>
  <si>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</si>
  <si>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</si>
  <si>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</si>
  <si>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</si>
  <si>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</si>
  <si>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</si>
  <si>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</si>
  <si>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</si>
  <si>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</si>
  <si>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</si>
  <si>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</si>
  <si>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</si>
  <si>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</si>
  <si>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</si>
  <si>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</si>
  <si>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</si>
  <si>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</si>
  <si>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</si>
  <si>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</si>
  <si>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</si>
  <si>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</si>
  <si>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</si>
  <si>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</si>
  <si>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</si>
  <si>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</si>
  <si>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</si>
  <si>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</si>
  <si>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</si>
  <si>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</si>
  <si>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</si>
  <si>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</si>
  <si>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</si>
  <si>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</si>
  <si>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</si>
  <si>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</si>
  <si>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</si>
  <si>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</si>
  <si>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</si>
  <si>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</si>
  <si>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</si>
  <si>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</si>
  <si>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</si>
  <si>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</si>
  <si>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</si>
  <si>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</si>
  <si>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</si>
  <si>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</si>
  <si>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</si>
  <si>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</si>
  <si>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</si>
  <si>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</si>
  <si>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</si>
  <si>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</si>
  <si>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</si>
  <si>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</si>
  <si>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</si>
  <si>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</si>
  <si>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</si>
  <si>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</si>
  <si>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</si>
  <si>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</si>
  <si>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</si>
  <si>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</si>
  <si>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</si>
  <si>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</si>
  <si>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</si>
  <si>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</si>
  <si>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</si>
  <si>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</si>
  <si>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</si>
  <si>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</si>
  <si>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</si>
  <si>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</si>
  <si>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</si>
  <si>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</si>
  <si>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</si>
  <si>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</si>
  <si>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</si>
  <si>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</si>
  <si>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</si>
  <si>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</si>
  <si>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</si>
  <si>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</si>
  <si>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</si>
  <si>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</si>
  <si>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</si>
  <si>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</si>
  <si>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</si>
  <si>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</si>
  <si>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</si>
  <si>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</si>
  <si>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</si>
  <si>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</si>
  <si>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</si>
  <si>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</si>
  <si>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</si>
  <si>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</si>
  <si>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</si>
  <si>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</si>
  <si>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</si>
  <si>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</si>
  <si>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</si>
  <si>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</si>
  <si>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</si>
  <si>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</si>
  <si>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</si>
  <si>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</si>
  <si>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</si>
  <si>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</si>
  <si>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</si>
  <si>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</si>
  <si>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</si>
  <si>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</si>
  <si>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</si>
  <si>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</si>
  <si>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</si>
  <si>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</si>
  <si>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</si>
  <si>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</si>
  <si>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</si>
  <si>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</si>
  <si>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</si>
  <si>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</si>
  <si>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</si>
  <si>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</si>
  <si>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</si>
  <si>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</si>
  <si>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</si>
  <si>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</si>
  <si>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</si>
  <si>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</si>
  <si>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</si>
  <si>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</si>
  <si>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</si>
  <si>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</si>
  <si>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</si>
  <si>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</si>
  <si>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</si>
  <si>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</si>
  <si>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</si>
  <si>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</si>
  <si>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</si>
  <si>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</si>
  <si>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</si>
  <si>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</si>
  <si>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</si>
  <si>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</si>
  <si>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</si>
  <si>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</si>
  <si>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</si>
  <si>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</si>
  <si>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</si>
  <si>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</si>
  <si>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</si>
  <si>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</si>
  <si>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</si>
  <si>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</si>
  <si>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</si>
  <si>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</si>
  <si>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</si>
  <si>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</si>
  <si>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</si>
  <si>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</si>
  <si>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</si>
  <si>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</si>
  <si>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</si>
  <si>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</si>
  <si>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</si>
  <si>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</si>
  <si>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</si>
  <si>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</si>
  <si>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</si>
  <si>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</si>
  <si>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</si>
  <si>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</si>
  <si>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</si>
  <si>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</si>
  <si>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</si>
  <si>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</si>
  <si>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</si>
  <si>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</si>
  <si>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</si>
  <si>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</si>
  <si>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</si>
  <si>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</si>
  <si>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</si>
  <si>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</si>
  <si>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</si>
  <si>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</si>
  <si>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</si>
  <si>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</si>
  <si>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</si>
  <si>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</si>
  <si>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</si>
  <si>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</si>
  <si>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</si>
  <si>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</si>
  <si>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</si>
  <si>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</si>
  <si>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</si>
  <si>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</si>
  <si>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</si>
  <si>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</si>
  <si>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</si>
  <si>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</si>
  <si>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</si>
  <si>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</si>
  <si>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</si>
  <si>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</si>
  <si>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</si>
  <si>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</si>
  <si>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</si>
  <si>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</si>
  <si>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</si>
  <si>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</si>
  <si>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</si>
  <si>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</si>
  <si>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</si>
  <si>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</si>
  <si>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</si>
  <si>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</si>
  <si>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</si>
  <si>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</si>
  <si>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</si>
  <si>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</si>
  <si>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</si>
  <si>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</si>
  <si>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</si>
  <si>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</si>
  <si>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</si>
  <si>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</si>
  <si>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</si>
  <si>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</si>
  <si>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</si>
  <si>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</si>
  <si>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</si>
  <si>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</si>
  <si>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</si>
  <si>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</si>
  <si>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</si>
  <si>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</si>
  <si>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</si>
  <si>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</si>
  <si>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</si>
  <si>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</si>
  <si>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</si>
  <si>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</si>
  <si>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</si>
  <si>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</si>
  <si>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</si>
  <si>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</si>
  <si>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</si>
  <si>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</si>
  <si>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</si>
  <si>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</si>
  <si>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</si>
  <si>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</si>
  <si>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</si>
  <si>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</si>
  <si>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</si>
  <si>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</si>
  <si>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</si>
  <si>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</si>
  <si>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</si>
  <si>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</si>
  <si>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</si>
  <si>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</si>
  <si>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</si>
  <si>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</si>
  <si>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</si>
  <si>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</si>
  <si>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</si>
  <si>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</si>
  <si>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</si>
  <si>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</si>
  <si>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</si>
  <si>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</si>
  <si>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</si>
  <si>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</si>
  <si>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</si>
  <si>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</si>
  <si>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</si>
  <si>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</si>
  <si>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</si>
  <si>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</si>
  <si>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</si>
  <si>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</si>
  <si>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</si>
  <si>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</si>
  <si>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</si>
  <si>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</si>
  <si>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</si>
  <si>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</si>
  <si>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</si>
  <si>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</si>
  <si>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</si>
  <si>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</si>
  <si>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</si>
  <si>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</si>
  <si>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</si>
  <si>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</si>
  <si>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</si>
  <si>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</si>
  <si>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</si>
  <si>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</si>
  <si>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</si>
  <si>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</si>
  <si>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</si>
  <si>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</si>
  <si>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</si>
  <si>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</si>
  <si>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</si>
  <si>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</si>
  <si>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</si>
  <si>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</si>
  <si>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</si>
  <si>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</si>
  <si>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</si>
  <si>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</si>
  <si>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</si>
  <si>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</si>
  <si>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</si>
  <si>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</si>
  <si>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</si>
  <si>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</si>
  <si>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</si>
  <si>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</si>
  <si>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</si>
  <si>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</si>
  <si>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</si>
  <si>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</si>
  <si>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</si>
  <si>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</si>
  <si>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</si>
  <si>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</si>
  <si>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</si>
  <si>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</si>
  <si>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</si>
  <si>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</si>
  <si>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</si>
  <si>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</si>
  <si>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</si>
  <si>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</si>
  <si>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</si>
  <si>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</si>
  <si>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</si>
  <si>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</si>
  <si>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</si>
  <si>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</si>
  <si>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</si>
  <si>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</si>
  <si>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</si>
  <si>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</si>
  <si>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</si>
  <si>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</si>
  <si>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</si>
  <si>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</si>
  <si>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</si>
  <si>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</si>
  <si>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</si>
  <si>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</si>
  <si>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</si>
  <si>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</si>
  <si>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</si>
  <si>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</si>
  <si>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</si>
  <si>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</si>
  <si>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</si>
  <si>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</si>
  <si>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</si>
  <si>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</si>
  <si>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</si>
  <si>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</si>
  <si>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</si>
  <si>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</si>
  <si>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</si>
  <si>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</si>
  <si>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</si>
  <si>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</si>
  <si>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</si>
  <si>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</si>
  <si>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</si>
  <si>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</si>
  <si>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</si>
  <si>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</si>
  <si>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</si>
  <si>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</si>
  <si>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</si>
  <si>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</si>
  <si>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</si>
  <si>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</si>
  <si>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</si>
  <si>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</si>
  <si>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</si>
  <si>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</si>
  <si>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</si>
  <si>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</si>
  <si>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</si>
  <si>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</si>
  <si>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</si>
  <si>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</si>
  <si>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</si>
  <si>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</si>
  <si>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</si>
  <si>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</si>
  <si>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</si>
  <si>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</si>
  <si>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</si>
  <si>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</si>
  <si>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</si>
  <si>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</si>
  <si>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</si>
  <si>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</si>
  <si>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</si>
  <si>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</si>
  <si>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</si>
  <si>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</si>
  <si>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</si>
  <si>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</si>
  <si>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</si>
  <si>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</si>
  <si>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</si>
  <si>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</si>
  <si>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</si>
  <si>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</si>
  <si>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</si>
  <si>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</si>
  <si>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</si>
  <si>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</si>
  <si>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</si>
  <si>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</si>
  <si>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</si>
  <si>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</si>
  <si>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</si>
  <si>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</si>
  <si>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</si>
  <si>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</si>
  <si>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</si>
  <si>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</si>
  <si>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</si>
  <si>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</si>
  <si>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</si>
  <si>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</si>
  <si>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</si>
  <si>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</si>
  <si>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</si>
  <si>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</si>
  <si>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</si>
  <si>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</si>
  <si>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</si>
  <si>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</si>
  <si>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</si>
  <si>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</si>
  <si>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</si>
  <si>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</si>
  <si>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</si>
  <si>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</si>
  <si>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</si>
  <si>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</si>
  <si>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</si>
  <si>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</si>
  <si>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</si>
  <si>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</si>
  <si>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</si>
  <si>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</si>
  <si>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</si>
  <si>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</si>
  <si>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</si>
  <si>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</si>
  <si>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</si>
  <si>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</si>
  <si>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</si>
  <si>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</si>
  <si>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</si>
  <si>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</si>
  <si>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</si>
  <si>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</si>
  <si>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</si>
  <si>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</si>
  <si>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</si>
  <si>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</si>
  <si>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</si>
  <si>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</si>
  <si>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</si>
  <si>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</si>
  <si>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</si>
  <si>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</si>
  <si>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</si>
  <si>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</si>
  <si>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</si>
  <si>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</si>
  <si>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</si>
  <si>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</si>
  <si>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</si>
  <si>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</si>
  <si>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</si>
  <si>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</si>
  <si>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</si>
  <si>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</si>
  <si>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</si>
  <si>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</si>
  <si>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</si>
  <si>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</si>
  <si>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</si>
  <si>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</si>
  <si>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</si>
  <si>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</si>
  <si>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</si>
  <si>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</si>
  <si>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</si>
  <si>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</si>
  <si>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</si>
  <si>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</si>
  <si>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</si>
  <si>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</si>
  <si>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</si>
  <si>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</si>
  <si>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</si>
  <si>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</si>
  <si>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</si>
  <si>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</si>
  <si>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</si>
  <si>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</si>
  <si>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</si>
  <si>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</si>
  <si>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</si>
  <si>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</si>
  <si>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</si>
  <si>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</si>
  <si>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</si>
  <si>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</si>
  <si>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</si>
  <si>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</si>
  <si>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</si>
  <si>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</si>
  <si>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</si>
  <si>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</si>
  <si>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</si>
  <si>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</si>
  <si>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</si>
  <si>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</si>
  <si>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</si>
  <si>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</si>
  <si>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</si>
  <si>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</si>
  <si>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</si>
  <si>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</si>
  <si>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</si>
  <si>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</si>
  <si>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</si>
  <si>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</si>
  <si>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</si>
  <si>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</si>
  <si>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</si>
  <si>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</si>
  <si>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</si>
  <si>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</si>
  <si>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</si>
  <si>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</si>
  <si>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</si>
  <si>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</si>
  <si>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</si>
  <si>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</si>
  <si>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</si>
  <si>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</si>
  <si>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</si>
  <si>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</si>
  <si>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</si>
  <si>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</si>
  <si>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</si>
  <si>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</si>
  <si>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</si>
  <si>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</si>
  <si>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</si>
  <si>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</si>
  <si>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</si>
  <si>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</si>
  <si>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</si>
  <si>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</si>
  <si>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</si>
  <si>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</si>
  <si>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</si>
  <si>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</si>
  <si>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</si>
  <si>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</si>
  <si>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</si>
  <si>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</si>
  <si>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</si>
  <si>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</si>
  <si>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</si>
  <si>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</si>
  <si>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</si>
  <si>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</si>
  <si>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</si>
  <si>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</si>
  <si>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</si>
  <si>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</si>
  <si>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</si>
  <si>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</si>
  <si>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</si>
  <si>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</si>
  <si>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</si>
  <si>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</si>
  <si>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</si>
  <si>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</si>
  <si>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</si>
  <si>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</si>
  <si>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</si>
  <si>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</si>
  <si>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</si>
  <si>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</si>
  <si>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</si>
  <si>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</si>
  <si>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</si>
  <si>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</si>
  <si>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</si>
  <si>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</si>
  <si>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</si>
  <si>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</si>
  <si>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</si>
  <si>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</si>
  <si>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</si>
  <si>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</si>
  <si>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</si>
  <si>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</si>
  <si>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</si>
  <si>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</si>
  <si>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</si>
  <si>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</si>
  <si>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</si>
  <si>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</si>
  <si>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</si>
  <si>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</si>
  <si>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</si>
  <si>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</si>
  <si>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</si>
  <si>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</si>
  <si>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</si>
  <si>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</si>
  <si>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</si>
  <si>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</si>
  <si>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</si>
  <si>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</si>
  <si>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</si>
  <si>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</si>
  <si>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</si>
  <si>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</si>
  <si>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</si>
  <si>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</si>
  <si>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</si>
  <si>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</si>
  <si>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</si>
  <si>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</si>
  <si>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</si>
  <si>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</si>
  <si>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</si>
  <si>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</si>
  <si>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</si>
  <si>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</si>
  <si>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</si>
  <si>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</si>
  <si>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</si>
  <si>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</si>
  <si>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</si>
  <si>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</si>
  <si>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</si>
  <si>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</si>
  <si>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</si>
  <si>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</si>
  <si>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</si>
  <si>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</si>
  <si>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</si>
  <si>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</si>
  <si>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</si>
  <si>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</si>
  <si>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</si>
  <si>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</si>
  <si>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</si>
  <si>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</si>
  <si>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</si>
  <si>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</si>
  <si>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</si>
  <si>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</si>
  <si>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</si>
  <si>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</si>
  <si>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</si>
  <si>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</si>
  <si>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</si>
  <si>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</si>
  <si>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</si>
  <si>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</si>
  <si>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</si>
  <si>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</si>
  <si>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</si>
  <si>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</si>
  <si>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</si>
  <si>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</si>
  <si>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</si>
  <si>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</si>
  <si>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</si>
  <si>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</si>
  <si>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</si>
  <si>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</si>
  <si>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</si>
  <si>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</si>
  <si>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</si>
  <si>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</si>
  <si>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</si>
  <si>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</si>
  <si>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</si>
  <si>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</si>
  <si>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</si>
  <si>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</si>
  <si>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</si>
  <si>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</si>
  <si>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</si>
  <si>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</si>
  <si>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</si>
  <si>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</si>
  <si>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</si>
  <si>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</si>
  <si>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</si>
  <si>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</si>
  <si>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</si>
  <si>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</si>
  <si>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</si>
  <si>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</si>
  <si>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</si>
  <si>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</si>
  <si>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</si>
  <si>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</si>
  <si>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</si>
  <si>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</si>
  <si>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</si>
  <si>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</si>
  <si>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</si>
  <si>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</si>
  <si>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</si>
  <si>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</si>
  <si>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</si>
  <si>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</si>
  <si>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</si>
  <si>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</si>
  <si>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</si>
  <si>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</si>
  <si>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</si>
  <si>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</si>
  <si>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</si>
  <si>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</si>
  <si>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</si>
  <si>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</si>
  <si>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</si>
  <si>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</si>
  <si>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</si>
  <si>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</si>
  <si>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</si>
  <si>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</si>
  <si>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</si>
  <si>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</si>
  <si>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</si>
  <si>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</si>
  <si>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</si>
  <si>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</si>
  <si>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</si>
  <si>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</si>
  <si>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</si>
  <si>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</si>
  <si>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</si>
  <si>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</si>
  <si>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</si>
  <si>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</si>
  <si>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</si>
  <si>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</si>
  <si>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</si>
  <si>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</si>
  <si>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</si>
  <si>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</si>
  <si>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</si>
  <si>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</si>
  <si>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</si>
  <si>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</si>
  <si>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</si>
  <si>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</si>
  <si>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</si>
  <si>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</si>
  <si>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</si>
  <si>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</si>
  <si>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</si>
  <si>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</si>
  <si>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</si>
  <si>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</si>
  <si>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</si>
  <si>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</si>
  <si>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</si>
  <si>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</si>
  <si>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</si>
  <si>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</si>
  <si>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</si>
  <si>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</si>
  <si>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</si>
  <si>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</si>
  <si>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</si>
  <si>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</si>
  <si>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</si>
  <si>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</si>
  <si>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</si>
  <si>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</si>
  <si>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</si>
  <si>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</si>
  <si>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</si>
  <si>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</si>
  <si>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</si>
  <si>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</si>
  <si>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</si>
  <si>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</si>
  <si>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</si>
  <si>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</si>
  <si>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</si>
  <si>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</si>
  <si>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</si>
  <si>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</si>
  <si>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</si>
  <si>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</si>
  <si>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</si>
  <si>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</si>
  <si>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</si>
  <si>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</si>
  <si>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</si>
  <si>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</si>
  <si>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</si>
  <si>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</si>
  <si>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</si>
  <si>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</si>
  <si>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</si>
  <si>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</si>
  <si>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</si>
  <si>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</si>
  <si>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</si>
  <si>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</si>
  <si>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</si>
  <si>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</si>
  <si>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</si>
  <si>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</si>
  <si>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</si>
  <si>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</si>
  <si>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</si>
  <si>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</si>
  <si>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</si>
  <si>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</si>
  <si>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</si>
  <si>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</si>
  <si>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</si>
  <si>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</si>
  <si>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</si>
  <si>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</si>
  <si>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</si>
  <si>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</si>
  <si>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</si>
  <si>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</si>
  <si>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</si>
  <si>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</si>
  <si>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</si>
  <si>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</si>
  <si>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</si>
  <si>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</si>
  <si>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</si>
  <si>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</si>
  <si>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</si>
  <si>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</si>
  <si>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</si>
  <si>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</si>
  <si>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</si>
  <si>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</si>
  <si>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</si>
  <si>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</si>
  <si>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</si>
  <si>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</si>
  <si>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</si>
  <si>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</si>
  <si>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</si>
  <si>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</si>
  <si>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</si>
  <si>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</si>
  <si>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</si>
  <si>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</si>
  <si>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</si>
  <si>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</si>
  <si>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</si>
  <si>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</si>
  <si>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</si>
  <si>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</si>
  <si>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</si>
  <si>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</si>
  <si>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</si>
  <si>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</si>
  <si>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</si>
  <si>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</si>
  <si>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</si>
  <si>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</si>
  <si>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</si>
  <si>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</si>
  <si>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</si>
  <si>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</si>
  <si>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</si>
  <si>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</si>
  <si>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</si>
  <si>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</si>
  <si>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</si>
  <si>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</si>
  <si>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</si>
  <si>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</si>
  <si>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</si>
  <si>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</si>
  <si>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</si>
  <si>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</si>
  <si>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</si>
  <si>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</si>
  <si>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</si>
  <si>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</si>
  <si>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</si>
  <si>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</si>
  <si>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</si>
  <si>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</si>
  <si>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</si>
  <si>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</si>
  <si>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</si>
  <si>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</si>
  <si>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</si>
  <si>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</si>
  <si>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</si>
  <si>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</si>
  <si>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</si>
  <si>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</si>
  <si>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</si>
  <si>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</si>
  <si>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</si>
  <si>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</si>
  <si>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</si>
  <si>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</si>
  <si>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</si>
  <si>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</si>
  <si>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</si>
  <si>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</si>
  <si>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</si>
  <si>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</si>
  <si>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</si>
  <si>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</si>
  <si>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</si>
  <si>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</si>
  <si>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</si>
  <si>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</si>
  <si>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</si>
  <si>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</si>
  <si>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</si>
  <si>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</si>
  <si>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</si>
  <si>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</si>
  <si>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</si>
  <si>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</si>
  <si>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</si>
  <si>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</si>
  <si>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</si>
  <si>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</si>
  <si>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</si>
  <si>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</si>
  <si>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</si>
  <si>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</si>
  <si>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</si>
  <si>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</si>
  <si>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</si>
  <si>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</si>
  <si>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</si>
  <si>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</si>
  <si>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</si>
  <si>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</si>
  <si>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</si>
  <si>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</si>
  <si>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</si>
  <si>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</si>
  <si>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</si>
  <si>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</si>
  <si>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</si>
  <si>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</si>
  <si>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</si>
  <si>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</si>
  <si>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</si>
  <si>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</si>
  <si>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</si>
  <si>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</si>
  <si>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</si>
  <si>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</si>
  <si>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</si>
  <si>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</si>
  <si>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</si>
  <si>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</si>
  <si>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</si>
  <si>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</si>
  <si>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</si>
  <si>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</si>
  <si>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</si>
  <si>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</si>
  <si>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</si>
  <si>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</si>
  <si>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</si>
  <si>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</si>
  <si>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</si>
  <si>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</si>
  <si>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</si>
  <si>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</si>
  <si>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</si>
  <si>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</si>
  <si>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</si>
  <si>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</si>
  <si>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</si>
  <si>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</si>
  <si>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</si>
  <si>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</si>
  <si>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</si>
  <si>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</si>
  <si>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</si>
  <si>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</si>
  <si>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</si>
  <si>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</si>
  <si>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</si>
  <si>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</si>
  <si>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</si>
  <si>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</si>
  <si>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</si>
  <si>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</si>
  <si>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</si>
  <si>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</si>
  <si>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</si>
  <si>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</si>
  <si>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</si>
  <si>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</si>
  <si>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</si>
  <si>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</si>
  <si>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</si>
  <si>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</si>
  <si>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</si>
  <si>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</si>
  <si>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</si>
  <si>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</si>
  <si>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</si>
  <si>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</si>
  <si>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</si>
  <si>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</si>
  <si>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</si>
  <si>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</si>
  <si>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</si>
  <si>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</si>
  <si>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</si>
  <si>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</si>
  <si>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</si>
  <si>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</si>
  <si>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</si>
  <si>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</si>
  <si>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</si>
  <si>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</si>
  <si>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</si>
  <si>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</si>
  <si>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</si>
  <si>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</si>
  <si>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</si>
  <si>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</si>
  <si>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</si>
  <si>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</si>
  <si>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</si>
  <si>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</si>
  <si>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</si>
  <si>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</si>
  <si>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</si>
  <si>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</si>
  <si>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</si>
  <si>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</si>
  <si>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</si>
  <si>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</si>
  <si>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</si>
  <si>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</si>
  <si>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</si>
  <si>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</si>
  <si>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</si>
  <si>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</si>
  <si>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</si>
  <si>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</si>
  <si>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</si>
  <si>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</si>
  <si>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</si>
  <si>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</si>
  <si>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</si>
  <si>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</si>
  <si>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</si>
  <si>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</si>
  <si>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</si>
  <si>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</si>
  <si>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</si>
  <si>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</si>
  <si>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</si>
  <si>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</si>
  <si>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</si>
  <si>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</si>
  <si>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</si>
  <si>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</si>
  <si>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</si>
  <si>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</si>
  <si>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</si>
  <si>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</si>
  <si>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</si>
  <si>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</si>
  <si>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</si>
  <si>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</si>
  <si>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</si>
  <si>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</si>
  <si>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</si>
  <si>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</si>
  <si>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</si>
  <si>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</si>
  <si>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</si>
  <si>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</si>
  <si>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</si>
  <si>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</si>
  <si>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</si>
  <si>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</si>
  <si>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</si>
  <si>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</si>
  <si>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</si>
  <si>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</si>
  <si>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</si>
  <si>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</si>
  <si>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</si>
  <si>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</si>
  <si>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</si>
  <si>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</si>
  <si>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</si>
  <si>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</si>
  <si>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</si>
  <si>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</si>
  <si>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</si>
  <si>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</si>
  <si>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</si>
  <si>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</si>
  <si>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</si>
  <si>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</si>
  <si>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</si>
  <si>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</si>
  <si>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</si>
  <si>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</si>
  <si>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</si>
  <si>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</si>
  <si>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</si>
  <si>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</si>
  <si>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</si>
  <si>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</si>
  <si>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</si>
  <si>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</si>
  <si>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</si>
  <si>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</si>
  <si>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</si>
  <si>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</si>
  <si>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</si>
  <si>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</si>
  <si>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</si>
  <si>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</si>
  <si>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</si>
  <si>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</si>
  <si>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</si>
  <si>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</si>
  <si>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</si>
  <si>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</si>
  <si>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</si>
  <si>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</si>
  <si>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</si>
  <si>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</si>
  <si>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</si>
  <si>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</si>
  <si>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</si>
  <si>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</si>
  <si>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</si>
  <si>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</si>
  <si>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</si>
  <si>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</si>
  <si>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</si>
  <si>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</si>
  <si>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</si>
  <si>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</si>
  <si>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</si>
  <si>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</si>
  <si>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</si>
  <si>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</si>
  <si>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</si>
  <si>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</si>
  <si>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</si>
  <si>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</si>
  <si>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</si>
  <si>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</si>
  <si>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</si>
  <si>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</si>
  <si>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</si>
  <si>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</si>
  <si>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</si>
  <si>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</si>
  <si>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</si>
  <si>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</si>
  <si>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</si>
  <si>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</si>
  <si>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</si>
  <si>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</si>
  <si>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</si>
  <si>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</si>
  <si>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</si>
  <si>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</si>
  <si>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</si>
  <si>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</si>
  <si>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</si>
  <si>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</si>
  <si>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</si>
  <si>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</si>
  <si>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</si>
  <si>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</si>
  <si>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</si>
  <si>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</si>
  <si>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</si>
  <si>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</si>
  <si>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</si>
  <si>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</si>
  <si>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</si>
  <si>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</si>
  <si>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</si>
  <si>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</si>
  <si>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</si>
  <si>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</si>
  <si>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</si>
  <si>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</si>
  <si>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</si>
  <si>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</si>
  <si>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</si>
  <si>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</si>
  <si>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</si>
  <si>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</si>
  <si>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</si>
  <si>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</si>
  <si>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</si>
  <si>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</si>
  <si>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</si>
  <si>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</si>
  <si>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</si>
  <si>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</si>
  <si>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</si>
  <si>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</si>
  <si>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</si>
  <si>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</si>
  <si>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</si>
  <si>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</si>
  <si>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</si>
  <si>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</si>
  <si>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</si>
  <si>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</si>
  <si>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</si>
  <si>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</si>
  <si>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</si>
  <si>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</si>
  <si>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</si>
  <si>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</si>
  <si>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</si>
  <si>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</si>
  <si>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</si>
  <si>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</si>
  <si>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</si>
  <si>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</si>
  <si>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</si>
  <si>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</si>
  <si>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</si>
  <si>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</si>
  <si>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</si>
  <si>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</si>
  <si>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</si>
  <si>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</si>
  <si>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</si>
  <si>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</si>
  <si>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</si>
  <si>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</si>
  <si>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</si>
  <si>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</si>
  <si>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</si>
  <si>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</si>
  <si>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</si>
  <si>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</si>
  <si>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</si>
  <si>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</si>
  <si>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</si>
  <si>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</si>
  <si>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</si>
  <si>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</si>
  <si>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</si>
  <si>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</si>
  <si>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</si>
  <si>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</si>
  <si>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</si>
  <si>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</si>
  <si>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</si>
  <si>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</si>
  <si>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</si>
  <si>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</si>
  <si>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</si>
  <si>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</si>
  <si>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</si>
  <si>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</si>
  <si>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</si>
  <si>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</si>
  <si>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</si>
  <si>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</si>
  <si>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</si>
  <si>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</si>
  <si>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</si>
  <si>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</si>
  <si>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</si>
  <si>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</si>
  <si>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</si>
  <si>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</si>
  <si>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</si>
  <si>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</si>
  <si>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</si>
  <si>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</si>
  <si>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</si>
  <si>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</si>
  <si>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</si>
  <si>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</si>
  <si>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</si>
  <si>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</si>
  <si>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</si>
  <si>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</si>
  <si>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</si>
  <si>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</si>
  <si>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</si>
  <si>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</si>
  <si>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</si>
  <si>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</si>
  <si>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</si>
  <si>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</si>
  <si>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</si>
  <si>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</si>
  <si>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</si>
  <si>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</si>
  <si>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</si>
  <si>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</si>
  <si>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</si>
  <si>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</si>
  <si>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</si>
  <si>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</si>
  <si>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</si>
  <si>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</si>
  <si>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</si>
  <si>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</si>
  <si>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</si>
  <si>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</si>
  <si>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</si>
  <si>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</si>
  <si>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</si>
  <si>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</si>
  <si>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</si>
  <si>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</si>
  <si>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</si>
  <si>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</si>
  <si>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</si>
  <si>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</si>
  <si>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</si>
  <si>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</si>
  <si>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</si>
  <si>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</si>
  <si>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</si>
  <si>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</si>
  <si>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</si>
  <si>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</si>
  <si>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</si>
  <si>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</si>
  <si>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</si>
  <si>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</si>
  <si>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</si>
  <si>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</si>
  <si>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</si>
  <si>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</si>
  <si>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</si>
  <si>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</si>
  <si>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</si>
  <si>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</si>
  <si>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</si>
  <si>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</si>
  <si>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</si>
  <si>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</si>
  <si>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</si>
  <si>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</si>
  <si>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</si>
  <si>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</si>
  <si>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</si>
  <si>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</si>
  <si>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</si>
  <si>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</si>
  <si>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</si>
  <si>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</si>
  <si>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</si>
  <si>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</si>
  <si>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</si>
  <si>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</si>
  <si>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</si>
  <si>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</si>
  <si>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</si>
  <si>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</si>
  <si>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</si>
  <si>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</si>
  <si>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</si>
  <si>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</si>
  <si>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</si>
  <si>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</si>
  <si>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</si>
  <si>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</si>
  <si>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</si>
  <si>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</si>
  <si>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</si>
  <si>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</si>
  <si>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</si>
  <si>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</si>
  <si>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</si>
  <si>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</si>
  <si>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</si>
  <si>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</si>
  <si>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</si>
  <si>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</si>
  <si>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</si>
  <si>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</si>
  <si>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</si>
  <si>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</si>
  <si>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</si>
  <si>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</si>
  <si>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</si>
  <si>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</si>
  <si>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</si>
  <si>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</si>
  <si>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</si>
  <si>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</si>
  <si>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</si>
  <si>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</si>
  <si>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</si>
  <si>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</si>
  <si>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</si>
  <si>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</si>
  <si>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</si>
  <si>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</si>
  <si>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</si>
  <si>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</si>
  <si>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</si>
  <si>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</si>
  <si>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</si>
  <si>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</si>
  <si>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</si>
  <si>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</si>
  <si>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</si>
  <si>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</si>
  <si>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</si>
  <si>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</si>
  <si>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</si>
  <si>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</si>
  <si>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</si>
  <si>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</si>
  <si>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</si>
  <si>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</si>
  <si>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</si>
  <si>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</si>
  <si>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</si>
  <si>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</si>
  <si>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</si>
  <si>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</si>
  <si>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</si>
  <si>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</si>
  <si>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</si>
  <si>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</si>
  <si>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</si>
  <si>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</si>
  <si>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</si>
  <si>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</si>
  <si>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</si>
  <si>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</si>
  <si>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</si>
  <si>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</si>
  <si>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</si>
  <si>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</si>
  <si>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</si>
  <si>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</si>
  <si>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</si>
  <si>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</si>
  <si>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</si>
  <si>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</si>
  <si>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</si>
  <si>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</si>
  <si>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</si>
  <si>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</si>
  <si>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</si>
  <si>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</si>
  <si>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</si>
  <si>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</si>
  <si>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</si>
  <si>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</si>
  <si>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</si>
  <si>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</si>
  <si>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</si>
  <si>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</si>
  <si>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</si>
  <si>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</si>
  <si>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</si>
  <si>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</si>
  <si>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</si>
  <si>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</si>
  <si>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</si>
  <si>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</si>
  <si>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</si>
  <si>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</si>
  <si>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</si>
  <si>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</si>
  <si>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</si>
  <si>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</si>
  <si>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</si>
  <si>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</si>
  <si>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</si>
  <si>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</si>
  <si>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</si>
  <si>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</si>
  <si>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</si>
  <si>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</si>
  <si>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</si>
  <si>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</si>
  <si>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</si>
  <si>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</si>
  <si>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</si>
  <si>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</si>
  <si>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</si>
  <si>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</si>
  <si>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</si>
  <si>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</si>
  <si>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</si>
  <si>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</si>
  <si>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</si>
  <si>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</si>
  <si>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</si>
  <si>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</si>
  <si>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</si>
  <si>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</si>
  <si>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</si>
  <si>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</si>
  <si>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</si>
  <si>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</si>
  <si>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</si>
  <si>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</si>
  <si>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</si>
  <si>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</si>
  <si>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</si>
  <si>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</si>
  <si>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</si>
  <si>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</si>
  <si>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</si>
  <si>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</si>
  <si>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</si>
  <si>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</si>
  <si>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</si>
  <si>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</si>
  <si>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</si>
  <si>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</si>
  <si>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</si>
  <si>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</si>
  <si>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</si>
  <si>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</si>
  <si>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</si>
  <si>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</si>
  <si>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</si>
  <si>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</si>
  <si>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</si>
  <si>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</si>
  <si>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</si>
  <si>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</si>
  <si>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</si>
  <si>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</si>
  <si>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</si>
  <si>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</si>
  <si>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</si>
  <si>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</si>
  <si>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</si>
  <si>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</si>
  <si>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</si>
  <si>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</si>
  <si>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</si>
  <si>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</si>
  <si>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</si>
  <si>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</si>
  <si>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</si>
  <si>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</si>
  <si>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</si>
  <si>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</si>
  <si>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</si>
  <si>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</si>
  <si>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</si>
  <si>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</si>
  <si>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</si>
  <si>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</si>
  <si>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</si>
  <si>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</si>
  <si>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</si>
  <si>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</si>
  <si>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</si>
  <si>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</si>
  <si>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</si>
  <si>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</si>
  <si>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</si>
  <si>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</si>
  <si>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</si>
  <si>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</si>
  <si>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</si>
  <si>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</si>
  <si>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</si>
  <si>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</si>
  <si>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</si>
  <si>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</si>
  <si>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</si>
  <si>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</si>
  <si>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</si>
  <si>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</si>
  <si>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</si>
  <si>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</si>
  <si>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</si>
  <si>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</si>
  <si>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</si>
  <si>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</si>
  <si>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</si>
  <si>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</si>
  <si>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</si>
  <si>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</si>
  <si>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</si>
  <si>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</si>
  <si>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</si>
  <si>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</si>
  <si>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</si>
  <si>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</si>
  <si>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</si>
  <si>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</si>
  <si>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</si>
  <si>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</si>
  <si>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</si>
  <si>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</si>
  <si>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</si>
  <si>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</si>
  <si>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</si>
  <si>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</si>
  <si>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</si>
  <si>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</si>
  <si>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</si>
  <si>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</si>
  <si>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</si>
  <si>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</si>
  <si>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</si>
  <si>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</si>
  <si>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</si>
  <si>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</si>
  <si>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</si>
  <si>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</si>
  <si>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</si>
  <si>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</si>
  <si>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</si>
  <si>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</si>
  <si>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</si>
  <si>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</si>
  <si>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</si>
  <si>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</si>
  <si>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</si>
  <si>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</si>
  <si>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</si>
  <si>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</si>
  <si>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</si>
  <si>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</si>
  <si>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</si>
  <si>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</si>
  <si>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</si>
  <si>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</si>
  <si>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</si>
  <si>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</si>
  <si>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</si>
  <si>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</si>
  <si>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</si>
  <si>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</si>
  <si>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</si>
  <si>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</si>
  <si>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</si>
  <si>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</si>
  <si>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</si>
  <si>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</si>
  <si>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</si>
  <si>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</si>
  <si>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</si>
  <si>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</si>
  <si>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</si>
  <si>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</si>
  <si>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</si>
  <si>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</si>
  <si>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</si>
  <si>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</si>
  <si>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</si>
  <si>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</si>
  <si>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</si>
  <si>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</si>
  <si>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</si>
  <si>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</si>
  <si>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</si>
  <si>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</si>
  <si>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</si>
  <si>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</si>
  <si>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</si>
  <si>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</si>
  <si>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</si>
  <si>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</si>
  <si>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</si>
  <si>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</si>
  <si>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</si>
  <si>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</si>
  <si>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</si>
  <si>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</si>
  <si>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</si>
  <si>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</si>
  <si>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</si>
  <si>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</si>
  <si>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</si>
  <si>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</si>
  <si>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</si>
  <si>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</si>
  <si>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</si>
  <si>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</si>
  <si>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</si>
  <si>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</si>
  <si>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</si>
  <si>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</si>
  <si>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</si>
  <si>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</si>
  <si>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</si>
  <si>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</si>
  <si>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</si>
  <si>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</si>
  <si>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</si>
  <si>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</si>
  <si>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</si>
  <si>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</si>
  <si>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</si>
  <si>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</si>
  <si>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</si>
  <si>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</si>
  <si>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</si>
  <si>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</si>
  <si>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</si>
  <si>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</si>
  <si>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</si>
  <si>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</si>
  <si>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</si>
  <si>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</si>
  <si>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</si>
  <si>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</si>
  <si>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</si>
  <si>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</si>
  <si>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</si>
  <si>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</si>
  <si>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</si>
  <si>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</si>
  <si>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</si>
  <si>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</si>
  <si>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</si>
  <si>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</si>
  <si>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</si>
  <si>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</si>
  <si>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</si>
  <si>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</si>
  <si>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</si>
  <si>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</si>
  <si>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</si>
  <si>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</si>
  <si>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</si>
  <si>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</si>
  <si>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</si>
  <si>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</si>
  <si>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</si>
  <si>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</si>
  <si>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</si>
  <si>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</si>
  <si>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</si>
  <si>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</si>
  <si>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</si>
  <si>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</si>
  <si>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</si>
  <si>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</si>
  <si>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</si>
  <si>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</si>
  <si>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</si>
  <si>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</si>
  <si>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</si>
  <si>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</si>
  <si>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</si>
  <si>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</si>
  <si>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</si>
  <si>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</si>
  <si>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</si>
  <si>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</si>
  <si>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</si>
  <si>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</si>
  <si>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</si>
  <si>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</si>
  <si>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</si>
  <si>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</si>
  <si>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</si>
  <si>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</si>
  <si>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</si>
  <si>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</si>
  <si>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</si>
  <si>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</si>
  <si>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</si>
  <si>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</si>
  <si>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</si>
  <si>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</si>
  <si>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</si>
  <si>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</si>
  <si>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</si>
  <si>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</si>
  <si>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</si>
  <si>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</si>
  <si>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</si>
  <si>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</si>
  <si>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</si>
  <si>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</si>
  <si>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</si>
  <si>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</si>
  <si>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</si>
  <si>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</si>
  <si>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</si>
  <si>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</si>
  <si>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</si>
  <si>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</si>
  <si>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</si>
  <si>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</si>
  <si>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</si>
  <si>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</si>
  <si>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</si>
  <si>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</si>
  <si>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</si>
  <si>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</si>
  <si>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</si>
  <si>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</si>
  <si>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</si>
  <si>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</si>
  <si>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</si>
  <si>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</si>
  <si>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</si>
  <si>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</si>
  <si>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</si>
  <si>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</si>
  <si>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</si>
  <si>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</si>
  <si>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</si>
  <si>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</si>
  <si>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</si>
  <si>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</si>
  <si>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</si>
  <si>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</si>
  <si>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</si>
  <si>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</si>
  <si>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</si>
  <si>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</si>
  <si>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</si>
  <si>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</si>
  <si>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</si>
  <si>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</si>
  <si>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</si>
  <si>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</si>
  <si>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</si>
  <si>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</si>
  <si>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</si>
  <si>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</si>
  <si>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</si>
  <si>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</si>
  <si>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</si>
  <si>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</si>
  <si>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</si>
  <si>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</si>
  <si>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</si>
  <si>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</si>
  <si>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</si>
  <si>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</si>
  <si>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</si>
  <si>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</si>
  <si>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</si>
  <si>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</si>
  <si>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</si>
  <si>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</si>
  <si>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</si>
  <si>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</si>
  <si>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</si>
  <si>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</si>
  <si>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</si>
  <si>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</si>
  <si>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</si>
  <si>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</si>
  <si>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</si>
  <si>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</si>
  <si>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</si>
  <si>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</si>
  <si>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</si>
  <si>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</si>
  <si>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</si>
  <si>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</si>
  <si>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</si>
  <si>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</si>
  <si>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</si>
  <si>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</si>
  <si>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</si>
  <si>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</si>
  <si>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</si>
  <si>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</si>
  <si>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</si>
  <si>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</si>
  <si>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</si>
  <si>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</si>
  <si>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</si>
  <si>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</si>
  <si>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</si>
  <si>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</si>
  <si>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</si>
  <si>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</si>
  <si>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</si>
  <si>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</si>
  <si>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</si>
  <si>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</si>
  <si>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</si>
  <si>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</si>
  <si>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</si>
  <si>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</si>
  <si>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</si>
  <si>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</si>
  <si>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</si>
  <si>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</si>
  <si>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</si>
  <si>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</si>
  <si>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</si>
  <si>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</si>
  <si>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</si>
  <si>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</si>
  <si>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</si>
  <si>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</si>
  <si>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</si>
  <si>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</si>
  <si>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</si>
  <si>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</si>
  <si>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</si>
  <si>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</si>
  <si>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</si>
  <si>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</si>
  <si>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</si>
  <si>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</si>
  <si>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</si>
  <si>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</si>
  <si>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</si>
  <si>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</si>
  <si>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</si>
  <si>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</si>
  <si>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</si>
  <si>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</si>
  <si>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</si>
  <si>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</si>
  <si>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</si>
  <si>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</si>
  <si>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</si>
  <si>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</si>
  <si>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</si>
  <si>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</si>
  <si>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</si>
  <si>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</si>
  <si>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</si>
  <si>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</si>
  <si>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</si>
  <si>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</si>
  <si>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</si>
  <si>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</si>
  <si>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</si>
  <si>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</si>
  <si>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</si>
  <si>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</si>
  <si>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</si>
  <si>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</si>
  <si>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</si>
  <si>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</si>
  <si>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</si>
  <si>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</si>
  <si>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</si>
  <si>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</si>
  <si>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</si>
  <si>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</si>
  <si>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</si>
  <si>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</si>
  <si>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</si>
  <si>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</si>
  <si>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</si>
  <si>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</si>
  <si>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</si>
  <si>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</si>
  <si>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</si>
  <si>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</si>
  <si>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</si>
  <si>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</si>
  <si>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</si>
  <si>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</si>
  <si>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</si>
  <si>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</si>
  <si>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</si>
  <si>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</si>
  <si>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</si>
  <si>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</si>
  <si>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</si>
  <si>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</si>
  <si>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</si>
  <si>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</si>
  <si>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</si>
  <si>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</si>
  <si>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</si>
  <si>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</si>
  <si>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</si>
  <si>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</si>
  <si>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</si>
  <si>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</si>
  <si>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</si>
  <si>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</si>
  <si>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</si>
  <si>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</si>
  <si>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</si>
  <si>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</si>
  <si>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</si>
  <si>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</si>
  <si>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</si>
  <si>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</si>
  <si>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</si>
  <si>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</si>
  <si>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</si>
  <si>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</si>
  <si>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</si>
  <si>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</si>
  <si>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</si>
  <si>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</si>
  <si>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</si>
  <si>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</si>
  <si>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</si>
  <si>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</si>
  <si>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</si>
  <si>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</si>
  <si>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</si>
  <si>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</si>
  <si>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</si>
  <si>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</si>
  <si>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</si>
  <si>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</si>
  <si>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</si>
  <si>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</si>
  <si>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</si>
  <si>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</si>
  <si>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</si>
  <si>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</si>
  <si>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</si>
  <si>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</si>
  <si>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</si>
  <si>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</si>
  <si>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</si>
  <si>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</si>
  <si>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</si>
  <si>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</si>
  <si>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</si>
  <si>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</si>
  <si>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</si>
  <si>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</si>
  <si>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</si>
  <si>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</si>
  <si>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</si>
  <si>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</si>
  <si>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</si>
  <si>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</si>
  <si>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</si>
  <si>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</si>
  <si>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</si>
  <si>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</si>
  <si>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</si>
  <si>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</si>
  <si>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</si>
  <si>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</si>
  <si>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</si>
  <si>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</si>
  <si>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</si>
  <si>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</si>
  <si>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</si>
  <si>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</si>
  <si>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</si>
  <si>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</si>
  <si>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</si>
  <si>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</si>
  <si>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</si>
  <si>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</si>
  <si>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</si>
  <si>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</si>
  <si>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</si>
  <si>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</si>
  <si>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</si>
  <si>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</si>
  <si>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</si>
  <si>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</si>
  <si>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</si>
  <si>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</si>
  <si>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</si>
  <si>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</si>
  <si>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</si>
  <si>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</si>
  <si>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</si>
  <si>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</si>
  <si>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</si>
  <si>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</si>
  <si>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</si>
  <si>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</si>
  <si>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</si>
  <si>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</si>
  <si>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</si>
  <si>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</si>
  <si>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</si>
  <si>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</si>
  <si>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</si>
  <si>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</si>
  <si>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</si>
  <si>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</si>
  <si>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</si>
  <si>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</si>
  <si>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</si>
  <si>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</si>
  <si>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</si>
  <si>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</si>
  <si>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</si>
  <si>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</si>
  <si>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</si>
  <si>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</si>
  <si>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</si>
  <si>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</si>
  <si>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</si>
  <si>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</si>
  <si>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</si>
  <si>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</si>
  <si>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</si>
  <si>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</si>
  <si>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</si>
  <si>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</si>
  <si>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</si>
  <si>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</si>
  <si>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</si>
  <si>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</si>
  <si>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</si>
  <si>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</si>
  <si>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</si>
  <si>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</si>
  <si>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</si>
  <si>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</si>
  <si>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</si>
  <si>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</si>
  <si>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</si>
  <si>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</si>
  <si>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</si>
  <si>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</si>
  <si>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</si>
  <si>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</si>
  <si>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</si>
  <si>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</si>
  <si>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</si>
  <si>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</si>
  <si>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</si>
  <si>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</si>
  <si>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</si>
  <si>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</si>
  <si>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</si>
  <si>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</si>
  <si>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</si>
  <si>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</si>
  <si>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</si>
  <si>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</si>
  <si>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</si>
  <si>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</si>
  <si>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</si>
  <si>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</si>
  <si>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</si>
  <si>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</si>
  <si>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</si>
  <si>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</si>
  <si>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</si>
  <si>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</si>
  <si>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</si>
  <si>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</si>
  <si>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</si>
  <si>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</si>
  <si>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</si>
  <si>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</si>
  <si>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</si>
  <si>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</si>
  <si>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</si>
  <si>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</si>
  <si>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</si>
  <si>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</si>
  <si>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</si>
  <si>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</si>
  <si>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</si>
  <si>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</si>
  <si>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</si>
  <si>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</si>
  <si>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</si>
  <si>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</si>
  <si>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</si>
  <si>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</si>
  <si>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</si>
  <si>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</si>
  <si>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</si>
  <si>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</si>
  <si>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</si>
  <si>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</si>
  <si>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</si>
  <si>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</si>
  <si>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</si>
  <si>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</si>
  <si>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</si>
  <si>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</si>
  <si>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</si>
  <si>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</si>
  <si>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</si>
  <si>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</si>
  <si>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</si>
  <si>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</si>
  <si>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</si>
  <si>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</si>
  <si>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</si>
  <si>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</si>
  <si>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</si>
  <si>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</si>
  <si>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</si>
  <si>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</si>
  <si>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</si>
  <si>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</si>
  <si>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</si>
  <si>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</si>
  <si>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</si>
  <si>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</si>
  <si>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</si>
  <si>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</si>
  <si>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</si>
  <si>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</si>
  <si>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</si>
  <si>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</si>
  <si>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</si>
  <si>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</si>
  <si>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</si>
  <si>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</si>
  <si>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</si>
  <si>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</si>
  <si>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</si>
  <si>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</si>
  <si>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</si>
  <si>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</si>
  <si>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</si>
  <si>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</si>
  <si>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</si>
  <si>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</si>
  <si>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</si>
  <si>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</si>
  <si>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</si>
  <si>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</si>
  <si>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</si>
  <si>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</si>
  <si>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</si>
  <si>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</si>
  <si>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</si>
  <si>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</si>
  <si>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</si>
  <si>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</si>
  <si>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</si>
  <si>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</si>
  <si>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</si>
  <si>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</si>
  <si>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</si>
  <si>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</si>
  <si>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</si>
  <si>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</si>
  <si>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</si>
  <si>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</si>
  <si>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</si>
  <si>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</si>
  <si>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</si>
  <si>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</si>
  <si>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</si>
  <si>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</si>
  <si>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</si>
  <si>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</si>
  <si>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</si>
  <si>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</si>
  <si>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</si>
  <si>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</si>
  <si>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</si>
  <si>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</si>
  <si>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</si>
  <si>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</si>
  <si>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</si>
  <si>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</si>
  <si>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</si>
  <si>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</si>
  <si>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</si>
  <si>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</si>
  <si>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</si>
  <si>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</si>
  <si>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</si>
  <si>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</si>
  <si>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</si>
  <si>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</si>
  <si>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</si>
  <si>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</si>
  <si>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</si>
  <si>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</si>
  <si>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</si>
  <si>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</si>
  <si>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</si>
  <si>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</si>
  <si>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</si>
  <si>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</si>
  <si>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</si>
  <si>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</si>
  <si>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</si>
  <si>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</si>
  <si>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</si>
  <si>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</si>
  <si>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</si>
  <si>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</si>
  <si>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</si>
  <si>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</si>
  <si>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</si>
  <si>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</si>
  <si>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</si>
  <si>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</si>
  <si>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</si>
  <si>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</si>
  <si>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</si>
  <si>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</si>
  <si>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</si>
  <si>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</si>
  <si>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</si>
  <si>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</si>
  <si>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</si>
  <si>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</si>
  <si>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</si>
  <si>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</si>
  <si>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</si>
  <si>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</si>
  <si>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</si>
  <si>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</si>
  <si>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</si>
  <si>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</si>
  <si>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</si>
  <si>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</si>
  <si>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</si>
  <si>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</si>
  <si>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</si>
  <si>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</si>
  <si>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</si>
  <si>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</si>
  <si>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</si>
  <si>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</si>
  <si>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</si>
  <si>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</si>
  <si>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</si>
  <si>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</si>
  <si>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</si>
  <si>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</si>
  <si>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</si>
  <si>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</si>
  <si>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</si>
  <si>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</si>
  <si>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</si>
  <si>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</si>
  <si>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</si>
  <si>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</si>
  <si>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</si>
  <si>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</si>
  <si>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</si>
  <si>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</si>
  <si>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</si>
  <si>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</si>
  <si>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</si>
  <si>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</si>
  <si>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</si>
  <si>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</si>
  <si>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</si>
  <si>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</si>
  <si>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</si>
  <si>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</si>
  <si>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</si>
  <si>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</si>
  <si>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</si>
  <si>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</si>
  <si>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</si>
  <si>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</si>
  <si>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</si>
  <si>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</si>
  <si>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</si>
  <si>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</si>
  <si>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</si>
  <si>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</si>
  <si>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</si>
  <si>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</si>
  <si>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</si>
  <si>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</si>
  <si>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</si>
  <si>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</si>
  <si>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</si>
  <si>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</si>
  <si>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</si>
  <si>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</si>
  <si>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</si>
  <si>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</si>
  <si>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</si>
  <si>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</si>
  <si>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</si>
  <si>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</si>
  <si>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</si>
  <si>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</si>
  <si>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</si>
  <si>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</si>
  <si>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</si>
  <si>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</si>
  <si>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</si>
  <si>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</si>
  <si>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</si>
  <si>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</si>
  <si>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</si>
  <si>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</si>
  <si>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</si>
  <si>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</si>
  <si>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</si>
  <si>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</si>
  <si>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</si>
  <si>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</si>
  <si>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</si>
  <si>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</si>
  <si>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</si>
  <si>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</si>
  <si>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</si>
  <si>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</si>
  <si>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</si>
  <si>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</si>
  <si>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</si>
  <si>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</si>
  <si>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</si>
  <si>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</si>
  <si>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</si>
  <si>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</si>
  <si>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</si>
  <si>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</si>
  <si>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</si>
  <si>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</si>
  <si>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</si>
  <si>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</si>
  <si>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</si>
  <si>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</si>
  <si>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</si>
  <si>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</si>
  <si>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</si>
  <si>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</si>
  <si>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</si>
  <si>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</si>
  <si>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</si>
  <si>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</si>
  <si>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</si>
  <si>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</si>
  <si>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</si>
  <si>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</si>
  <si>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</si>
  <si>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</si>
  <si>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</si>
  <si>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</si>
  <si>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</si>
  <si>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</si>
  <si>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</si>
  <si>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</si>
  <si>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</si>
  <si>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</si>
  <si>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</si>
  <si>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</si>
  <si>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</si>
  <si>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</si>
  <si>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</si>
  <si>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</si>
  <si>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</si>
  <si>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</si>
  <si>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</si>
  <si>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</si>
  <si>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</si>
  <si>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</si>
  <si>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</si>
  <si>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</si>
  <si>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</si>
  <si>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</si>
  <si>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</si>
  <si>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</si>
  <si>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</si>
  <si>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</si>
  <si>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</si>
  <si>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</si>
  <si>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</si>
  <si>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</si>
  <si>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</si>
  <si>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</si>
  <si>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</si>
  <si>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</si>
  <si>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</si>
  <si>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</si>
  <si>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</si>
  <si>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</si>
  <si>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</si>
  <si>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</si>
  <si>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</si>
  <si>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</si>
  <si>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</si>
  <si>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</si>
  <si>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</si>
  <si>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</si>
  <si>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</si>
  <si>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</si>
  <si>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</si>
  <si>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</si>
  <si>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</si>
  <si>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</si>
  <si>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</si>
  <si>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</si>
  <si>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</si>
  <si>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</si>
  <si>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</si>
  <si>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</si>
  <si>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</si>
  <si>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</si>
  <si>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</si>
  <si>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</si>
  <si>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</si>
  <si>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</si>
  <si>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</si>
  <si>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</si>
  <si>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</si>
  <si>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</si>
  <si>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</si>
  <si>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</si>
  <si>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</si>
  <si>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</si>
  <si>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</si>
  <si>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</si>
  <si>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</si>
  <si>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</si>
  <si>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</si>
  <si>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</si>
  <si>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</si>
  <si>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</si>
  <si>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</si>
  <si>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</si>
  <si>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</si>
  <si>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</si>
  <si>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</si>
  <si>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</si>
  <si>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</si>
  <si>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</si>
  <si>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</si>
  <si>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</si>
  <si>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</si>
  <si>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</si>
  <si>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</si>
  <si>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</si>
  <si>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</si>
  <si>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</si>
  <si>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</si>
  <si>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</si>
  <si>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</si>
  <si>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</si>
  <si>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</si>
  <si>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</si>
  <si>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</si>
  <si>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</si>
  <si>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</si>
  <si>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</si>
  <si>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</si>
  <si>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</si>
  <si>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</si>
  <si>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</si>
  <si>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</si>
  <si>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</si>
  <si>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</si>
  <si>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</si>
  <si>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</si>
  <si>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</si>
  <si>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</si>
  <si>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</si>
  <si>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</si>
  <si>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</si>
  <si>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</si>
  <si>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</si>
  <si>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</si>
  <si>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</si>
  <si>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</si>
  <si>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</si>
  <si>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</si>
  <si>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</si>
  <si>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</si>
  <si>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</si>
  <si>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抵押</t>
  </si>
  <si>
    <t>房地产抵押价值</t>
  </si>
  <si>
    <t>北京市</t>
  </si>
  <si>
    <t>企业</t>
  </si>
  <si>
    <t>金果园老农（北京）食品股份有限公司</t>
    <phoneticPr fontId="6" type="noConversion"/>
  </si>
  <si>
    <t>工业</t>
    <phoneticPr fontId="6" type="noConversion"/>
  </si>
  <si>
    <t>地上</t>
  </si>
  <si>
    <t>标准厂房</t>
  </si>
  <si>
    <t>5幢</t>
    <phoneticPr fontId="3" type="noConversion"/>
  </si>
  <si>
    <t>房产证</t>
    <phoneticPr fontId="3" type="noConversion"/>
  </si>
  <si>
    <t>土地证</t>
    <phoneticPr fontId="3" type="noConversion"/>
  </si>
  <si>
    <t>工业项目</t>
  </si>
  <si>
    <t>现房</t>
  </si>
  <si>
    <t>正常</t>
    <phoneticPr fontId="6" type="noConversion"/>
  </si>
  <si>
    <t>是</t>
  </si>
  <si>
    <t>工业</t>
    <phoneticPr fontId="7" type="noConversion"/>
  </si>
  <si>
    <t>收益法</t>
  </si>
  <si>
    <t>砖混</t>
  </si>
  <si>
    <t>基准地价</t>
  </si>
  <si>
    <t>工业用地</t>
  </si>
  <si>
    <t>自定义容积率</t>
  </si>
  <si>
    <t>不临58条商业街</t>
  </si>
  <si>
    <t>1000米以外</t>
  </si>
  <si>
    <t>五通一平</t>
  </si>
  <si>
    <t>一致</t>
  </si>
  <si>
    <t>按公示增长率计算</t>
  </si>
  <si>
    <t>较好</t>
  </si>
  <si>
    <t>较差</t>
  </si>
  <si>
    <t>一般</t>
  </si>
  <si>
    <t>容积率修正</t>
  </si>
  <si>
    <t>押一</t>
  </si>
  <si>
    <t>项目全部</t>
  </si>
  <si>
    <t>成本法</t>
  </si>
  <si>
    <t>全部缴纳</t>
  </si>
  <si>
    <t>已包含在土地取得成本中</t>
  </si>
  <si>
    <t>成本比率</t>
  </si>
  <si>
    <t>延庆县永宁镇迎晖路22号院2号等6幢楼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</si>
</sst>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7/&#37329;&#26524;&#22253;&#32769;&#20892;&#20843;&#36798;&#23725;/&#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2812</v>
      </c>
      <c r="B1" s="3061" t="s">
        <v>2902</v>
      </c>
    </row>
    <row r="2" spans="1:2" s="3066" customFormat="1" ht="15" thickTop="1">
      <c r="A2" s="3064" t="s">
        <v>2813</v>
      </c>
      <c r="B2" s="3065" t="str">
        <f>'预评函-封皮'!B37:I37</f>
        <v>北京市延庆县永宁镇迎晖路22号院2号等6幢楼房地产抵押价值预评估</v>
      </c>
    </row>
    <row r="3" spans="1:2" s="3069" customFormat="1">
      <c r="A3" s="3067" t="s">
        <v>2814</v>
      </c>
      <c r="B3" s="3068">
        <f>'预评函-封皮'!B40</f>
        <v>0</v>
      </c>
    </row>
    <row r="4" spans="1:2" s="3069" customFormat="1">
      <c r="A4" s="3067" t="s">
        <v>2815</v>
      </c>
      <c r="B4" s="3068" t="str">
        <f>'预评函-封皮'!B46</f>
        <v>（注册号：0)、（注册号：0)</v>
      </c>
    </row>
    <row r="5" spans="1:2" s="3063" customFormat="1" ht="15" thickBot="1">
      <c r="A5" s="3070" t="s">
        <v>2816</v>
      </c>
      <c r="B5" s="3071" t="str">
        <f>'预评函-封皮'!B49</f>
        <v>康正预评字号</v>
      </c>
    </row>
    <row r="6" spans="1:2" s="3066" customFormat="1" ht="15" thickTop="1">
      <c r="A6" s="3064" t="s">
        <v>2817</v>
      </c>
      <c r="B6" s="3065" t="str">
        <f>'预评函-1'!A4</f>
        <v>受贵公司委托，我公司对北京市延庆县永宁镇迎晖路22号院2号等6幢楼房地产抵押价值进行了预评估。</v>
      </c>
    </row>
    <row r="7" spans="1:2" s="3069" customFormat="1">
      <c r="A7" s="3067" t="s">
        <v>2857</v>
      </c>
      <c r="B7" s="3068" t="str">
        <f>'预评函-1'!A7</f>
        <v>估价对象为北京市延庆县永宁镇迎晖路22号院2号等6幢楼房地产，为金果园老农（北京）食品股份有限公司所有。根据《国有土地使用证》[]，估价对象（分摊）出让国有建设用地使用权面积为72086.12平方米。根据《房屋所有权证》[]、《测绘报告》[]，估价对象建筑面积为20377.83平方米。</v>
      </c>
    </row>
    <row r="8" spans="1:2" s="3069" customFormat="1">
      <c r="A8" s="3067" t="s">
        <v>2858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2859</v>
      </c>
      <c r="B9" s="3068" t="str">
        <f>'预评函-1'!A10</f>
        <v>估价对象为北京市延庆县永宁镇迎晖路22号院2号等6幢楼房地产,为金果园老农（北京）食品股份有限公司开发建设的工业项目，该项目尚在开发建设中。根据《国有土地使用证》[]，估价对象（分摊）出让国有建设用地使用权面积为72086.12平方米。根据《房屋所有权证》[]、《测绘报告》[]，估价对象规划建筑面积为20377.83平方米。</v>
      </c>
    </row>
    <row r="10" spans="1:2" s="3069" customFormat="1">
      <c r="A10" s="3067" t="s">
        <v>2860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2818</v>
      </c>
      <c r="B11" s="3068" t="str">
        <f>'预评函-1'!A13</f>
        <v>拟使用北京市延庆县永宁镇迎晖路22号院2号等6幢楼房地产作为抵押担保物，向办理贷款手续。特委托北京康正宏基房地产评估有限公司对上述抵押物进行评估。本次评估为确定房地产抵押贷款额度提供参考依据而评估房地产抵押价值。</v>
      </c>
    </row>
    <row r="12" spans="1:2" s="3069" customFormat="1">
      <c r="A12" s="3067" t="s">
        <v>2819</v>
      </c>
      <c r="B12" s="3068" t="str">
        <f>'预评函-1'!A15</f>
        <v>2017年7月10日（评估专业人员实地查勘之日）</v>
      </c>
    </row>
    <row r="13" spans="1:2" s="3069" customFormat="1">
      <c r="A13" s="3067" t="s">
        <v>2820</v>
      </c>
      <c r="B13" s="3068" t="str">
        <f>'预评函-1'!A18</f>
        <v>本次估价的“房地产价值”是指在正常市场情况下，在价值时点2017年7月10日，估价对象规划用途为工业，土地取得方式为出让，出让国有建设用地使用权剩余土地使用年限为45.03，假定未设立法定优先受偿款下的房地产市场价值。</v>
      </c>
    </row>
    <row r="14" spans="1:2" s="3069" customFormat="1">
      <c r="A14" s="3067" t="s">
        <v>2821</v>
      </c>
      <c r="B14" s="3068" t="str">
        <f>'预评函-1'!A19</f>
        <v>其中，“出让国有建设用地使用权价值”是指估价对象用途为工业，实际开发程度为宗地红线外“七通”（即、、、、、、）、红线内场地平整条件下，剩余土地使用年限为45.03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2822</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2823</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2824</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2825</v>
      </c>
      <c r="B18" s="3071" t="str">
        <f>'预评函-1'!A24</f>
        <v>本次评估采用的主估价方法为成本法和收益法。</v>
      </c>
    </row>
    <row r="19" spans="1:2" s="3066" customFormat="1" ht="15" thickTop="1">
      <c r="A19" s="3064" t="s">
        <v>2826</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2827</v>
      </c>
      <c r="B20" s="3068">
        <f ca="1">'预评函-2'!D5</f>
        <v>10658</v>
      </c>
    </row>
    <row r="21" spans="1:2" s="3069" customFormat="1">
      <c r="A21" s="3067" t="s">
        <v>2828</v>
      </c>
      <c r="B21" s="3068">
        <f ca="1">'预评函-2'!D7</f>
        <v>5230</v>
      </c>
    </row>
    <row r="22" spans="1:2" s="3069" customFormat="1">
      <c r="A22" s="3067" t="s">
        <v>2829</v>
      </c>
      <c r="B22" s="3068" t="str">
        <f ca="1">'预评函-2'!D6</f>
        <v>壹亿零陆佰伍拾捌万元整</v>
      </c>
    </row>
    <row r="23" spans="1:2" s="3069" customFormat="1">
      <c r="A23" s="3067" t="s">
        <v>2890</v>
      </c>
      <c r="B23" s="3068" t="str">
        <f>'预评函-2'!B8</f>
        <v>2.估价师知悉的法定优先受偿款</v>
      </c>
    </row>
    <row r="24" spans="1:2" s="3069" customFormat="1">
      <c r="A24" s="3067" t="s">
        <v>2896</v>
      </c>
      <c r="B24" s="3068">
        <f>'预评函-2'!D8</f>
        <v>0</v>
      </c>
    </row>
    <row r="25" spans="1:2" s="3069" customFormat="1">
      <c r="A25" s="3067" t="s">
        <v>2830</v>
      </c>
      <c r="B25" s="3068" t="str">
        <f>'预评函-2'!D9</f>
        <v>零元整</v>
      </c>
    </row>
    <row r="26" spans="1:2" s="3069" customFormat="1">
      <c r="A26" s="3067" t="s">
        <v>2831</v>
      </c>
      <c r="B26" s="3068">
        <f>'预评函-2'!D10</f>
        <v>0</v>
      </c>
    </row>
    <row r="27" spans="1:2" s="3069" customFormat="1">
      <c r="A27" s="3067" t="s">
        <v>2832</v>
      </c>
      <c r="B27" s="3068">
        <f>'预评函-2'!D11</f>
        <v>0</v>
      </c>
    </row>
    <row r="28" spans="1:2" s="3069" customFormat="1">
      <c r="A28" s="3067" t="s">
        <v>2833</v>
      </c>
      <c r="B28" s="3068">
        <f>'预评函-2'!D12</f>
        <v>0</v>
      </c>
    </row>
    <row r="29" spans="1:2" s="3069" customFormat="1">
      <c r="A29" s="3067" t="s">
        <v>2894</v>
      </c>
      <c r="B29" s="3068" t="str">
        <f>'预评函-2'!B13</f>
        <v>3.房地产抵押价值</v>
      </c>
    </row>
    <row r="30" spans="1:2" s="3069" customFormat="1">
      <c r="A30" s="3067" t="s">
        <v>2895</v>
      </c>
      <c r="B30" s="3068">
        <f ca="1">'预评函-2'!D13</f>
        <v>10658</v>
      </c>
    </row>
    <row r="31" spans="1:2" s="3069" customFormat="1">
      <c r="A31" s="3067" t="s">
        <v>2868</v>
      </c>
      <c r="B31" s="3068">
        <f ca="1">'预评函-2'!D15</f>
        <v>5230</v>
      </c>
    </row>
    <row r="32" spans="1:2" s="3069" customFormat="1">
      <c r="A32" s="3067" t="s">
        <v>2834</v>
      </c>
      <c r="B32" s="3068" t="str">
        <f ca="1">'预评函-2'!D14</f>
        <v>壹亿零陆佰伍拾捌万元整</v>
      </c>
    </row>
    <row r="33" spans="1:2" s="3069" customFormat="1">
      <c r="A33" s="3067" t="s">
        <v>2870</v>
      </c>
      <c r="B33" s="3068" t="str">
        <f>'预评函-2'!B16</f>
        <v>——</v>
      </c>
    </row>
    <row r="34" spans="1:2" s="3069" customFormat="1">
      <c r="A34" s="3067" t="s">
        <v>2897</v>
      </c>
      <c r="B34" s="3068" t="str">
        <f>'预评函-2'!D16</f>
        <v>——</v>
      </c>
    </row>
    <row r="35" spans="1:2" s="3069" customFormat="1">
      <c r="A35" s="3067" t="s">
        <v>2869</v>
      </c>
      <c r="B35" s="3068" t="str">
        <f>'预评函-2'!D18</f>
        <v>——</v>
      </c>
    </row>
    <row r="36" spans="1:2" s="3069" customFormat="1">
      <c r="A36" s="3067" t="s">
        <v>2835</v>
      </c>
      <c r="B36" s="3068" t="e">
        <f>'预评函-2'!D17</f>
        <v>#VALUE!</v>
      </c>
    </row>
    <row r="37" spans="1:2" s="3069" customFormat="1">
      <c r="A37" s="3067" t="s">
        <v>2871</v>
      </c>
      <c r="B37" s="3068" t="str">
        <f>'预评函-2'!B19</f>
        <v>——</v>
      </c>
    </row>
    <row r="38" spans="1:2" s="3069" customFormat="1">
      <c r="A38" s="3067" t="s">
        <v>2898</v>
      </c>
      <c r="B38" s="3068" t="str">
        <f>'预评函-2'!D19</f>
        <v>——</v>
      </c>
    </row>
    <row r="39" spans="1:2" s="3069" customFormat="1">
      <c r="A39" s="3067" t="s">
        <v>2836</v>
      </c>
      <c r="B39" s="3068" t="str">
        <f>'预评函-2'!D21</f>
        <v>——</v>
      </c>
    </row>
    <row r="40" spans="1:2" s="3069" customFormat="1">
      <c r="A40" s="3067" t="s">
        <v>2837</v>
      </c>
      <c r="B40" s="3068" t="e">
        <f>'预评函-2'!D20</f>
        <v>#VALUE!</v>
      </c>
    </row>
    <row r="41" spans="1:2" s="3069" customFormat="1">
      <c r="A41" s="3067" t="s">
        <v>2893</v>
      </c>
      <c r="B41" s="3068" t="str">
        <f>'预评函-3'!A4</f>
        <v>北京市延庆县永宁镇迎晖路22号院2号等6幢楼房地产</v>
      </c>
    </row>
    <row r="42" spans="1:2" s="3069" customFormat="1">
      <c r="A42" s="3067" t="s">
        <v>2891</v>
      </c>
      <c r="B42" s="3068" t="str">
        <f>'预评函-3'!B2</f>
        <v>建筑面积</v>
      </c>
    </row>
    <row r="43" spans="1:2" s="3069" customFormat="1">
      <c r="A43" s="3067" t="s">
        <v>2892</v>
      </c>
      <c r="B43" s="3068">
        <f>'预评函-3'!B4</f>
        <v>20377.830000000002</v>
      </c>
    </row>
    <row r="44" spans="1:2" s="3069" customFormat="1">
      <c r="A44" s="3067" t="s">
        <v>2867</v>
      </c>
      <c r="B44" s="3068" t="str">
        <f>'预评函-3'!C2</f>
        <v>(分摊)土地面积</v>
      </c>
    </row>
    <row r="45" spans="1:2" s="3069" customFormat="1">
      <c r="A45" s="3067" t="s">
        <v>2838</v>
      </c>
      <c r="B45" s="3068">
        <f>'预评函-3'!C4</f>
        <v>72086.12</v>
      </c>
    </row>
    <row r="46" spans="1:2" s="3069" customFormat="1">
      <c r="A46" s="3067" t="s">
        <v>2865</v>
      </c>
      <c r="B46" s="3068" t="str">
        <f>'预评函-3'!D2</f>
        <v>出让国有建设用地使用权价值</v>
      </c>
    </row>
    <row r="47" spans="1:2" s="3069" customFormat="1">
      <c r="A47" s="3067" t="s">
        <v>2839</v>
      </c>
      <c r="B47" s="3068">
        <f ca="1">'预评函-3'!D4</f>
        <v>4764</v>
      </c>
    </row>
    <row r="48" spans="1:2" s="3069" customFormat="1">
      <c r="A48" s="3067" t="s">
        <v>2840</v>
      </c>
      <c r="B48" s="3068">
        <f ca="1">'预评函-3'!E4</f>
        <v>2338</v>
      </c>
    </row>
    <row r="49" spans="1:2" s="3069" customFormat="1">
      <c r="A49" s="3067" t="s">
        <v>2841</v>
      </c>
      <c r="B49" s="3068" t="str">
        <f ca="1">'预评函-3'!D5</f>
        <v>肆仟柒佰陆拾肆万元整</v>
      </c>
    </row>
    <row r="50" spans="1:2" s="3069" customFormat="1">
      <c r="A50" s="3067" t="s">
        <v>2866</v>
      </c>
      <c r="B50" s="3068" t="str">
        <f>'预评函-3'!F2</f>
        <v>在建建筑物价值</v>
      </c>
    </row>
    <row r="51" spans="1:2" s="3069" customFormat="1">
      <c r="A51" s="3067" t="s">
        <v>2842</v>
      </c>
      <c r="B51" s="3068">
        <f ca="1">'预评函-3'!F4</f>
        <v>5894</v>
      </c>
    </row>
    <row r="52" spans="1:2" s="3069" customFormat="1">
      <c r="A52" s="3067" t="s">
        <v>2843</v>
      </c>
      <c r="B52" s="3068">
        <f ca="1">'预评函-3'!G4</f>
        <v>2892</v>
      </c>
    </row>
    <row r="53" spans="1:2" s="3069" customFormat="1">
      <c r="A53" s="3067" t="s">
        <v>2872</v>
      </c>
      <c r="B53" s="3068" t="str">
        <f ca="1">'预评函-3'!F5</f>
        <v>伍仟捌佰玖拾肆万元整</v>
      </c>
    </row>
    <row r="54" spans="1:2" s="3069" customFormat="1">
      <c r="A54" s="3067" t="s">
        <v>2900</v>
      </c>
      <c r="B54" s="3068" t="str">
        <f>'预评函-3'!A8</f>
        <v>房地产抵押价值</v>
      </c>
    </row>
    <row r="55" spans="1:2" s="3069" customFormat="1">
      <c r="A55" s="3067" t="s">
        <v>2873</v>
      </c>
      <c r="B55" s="3068" t="str">
        <f>'预评函-3'!A10</f>
        <v/>
      </c>
    </row>
    <row r="56" spans="1:2" s="3069" customFormat="1">
      <c r="A56" s="3067" t="s">
        <v>2874</v>
      </c>
      <c r="B56" s="3068" t="str">
        <f>'预评函-3'!A12</f>
        <v/>
      </c>
    </row>
    <row r="57" spans="1:2" s="3063" customFormat="1" ht="15" thickBot="1">
      <c r="A57" s="3070" t="s">
        <v>2901</v>
      </c>
      <c r="B57" s="3071" t="str">
        <f>'预评函-3'!A6</f>
        <v>估价师知悉的法定优先受偿款</v>
      </c>
    </row>
    <row r="58" spans="1:2" s="3066" customFormat="1" ht="15" thickTop="1">
      <c r="A58" s="3064" t="s">
        <v>2844</v>
      </c>
      <c r="B58" s="3065" t="str">
        <f>'预评函-4'!A12</f>
        <v>2.本《评估意见函》仅供金融机构进行内部审核使用，不做其他目的之用。</v>
      </c>
    </row>
    <row r="59" spans="1:2" s="3069" customFormat="1">
      <c r="A59" s="3067" t="s">
        <v>2845</v>
      </c>
      <c r="B59" s="3068" t="str">
        <f>'预评函-4'!A13</f>
        <v>3.抵押双方在办理抵押登记手续时，应使用本公司出具的正式《房地产评估报告》，特提醒报告使用者注意。</v>
      </c>
    </row>
    <row r="60" spans="1:2" s="3069" customFormat="1">
      <c r="A60" s="3067" t="s">
        <v>2846</v>
      </c>
      <c r="B60" s="3068" t="str">
        <f>'预评函-4'!A14</f>
        <v>4.本次评估估价师所知悉的法定优先受偿款情况说明如下：</v>
      </c>
    </row>
    <row r="61" spans="1:2" s="3069" customFormat="1">
      <c r="A61" s="3067" t="s">
        <v>2847</v>
      </c>
      <c r="B61" s="30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9" customFormat="1">
      <c r="A62" s="3067" t="s">
        <v>2848</v>
      </c>
      <c r="B62" s="3068" t="str">
        <f>'预评函-4'!A16</f>
        <v>（2）根据《工程款支付情况说明》，截至价值时点，估价对象不存在应付未付工程款项。（只要没有施工方盖章的，均“设定”进行表述）</v>
      </c>
    </row>
    <row r="63" spans="1:2" s="3069" customFormat="1">
      <c r="A63" s="3067" t="s">
        <v>2849</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2861</v>
      </c>
      <c r="B64" s="3068" t="str">
        <f>'预评函-4'!A18</f>
        <v>故，本次评估不存在估价师知悉的法定优先受偿款</v>
      </c>
    </row>
    <row r="65" spans="1:2" s="3069" customFormat="1">
      <c r="A65" s="3067" t="s">
        <v>2850</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2851</v>
      </c>
      <c r="B66" s="3068" t="str">
        <f>'预评函-4'!A20</f>
        <v/>
      </c>
    </row>
    <row r="67" spans="1:2" s="3069" customFormat="1">
      <c r="A67" s="3067" t="s">
        <v>2862</v>
      </c>
      <c r="B67" s="3068" t="str">
        <f>'预评函-4'!A21</f>
        <v/>
      </c>
    </row>
    <row r="68" spans="1:2" s="3069" customFormat="1">
      <c r="A68" s="3067" t="s">
        <v>2863</v>
      </c>
      <c r="B68" s="3068" t="str">
        <f>'预评函-4'!A22</f>
        <v>8.其他需特殊说明事项：无（注意调整序号）</v>
      </c>
    </row>
    <row r="69" spans="1:2" s="3063" customFormat="1" ht="15" thickBot="1">
      <c r="A69" s="3070" t="s">
        <v>2852</v>
      </c>
      <c r="B69" s="3072">
        <f>'预评函-4'!C31</f>
        <v>42551</v>
      </c>
    </row>
    <row r="70" spans="1:2" ht="15" thickTop="1">
      <c r="A70" s="3073" t="s">
        <v>2853</v>
      </c>
      <c r="B70" s="3074">
        <f>'预评函-4'!A4</f>
        <v>0</v>
      </c>
    </row>
    <row r="71" spans="1:2">
      <c r="A71" s="3067" t="s">
        <v>2854</v>
      </c>
      <c r="B71" s="3068">
        <f>'预评函-4'!B4</f>
        <v>0</v>
      </c>
    </row>
    <row r="72" spans="1:2">
      <c r="A72" s="3067" t="s">
        <v>2855</v>
      </c>
      <c r="B72" s="3076">
        <f>'预评函-4'!A5</f>
        <v>0</v>
      </c>
    </row>
    <row r="73" spans="1:2" s="3063" customFormat="1" ht="15" thickBot="1">
      <c r="A73" s="3070" t="s">
        <v>2856</v>
      </c>
      <c r="B73" s="3071">
        <f>'预评函-4'!B5</f>
        <v>0</v>
      </c>
    </row>
    <row r="74" spans="1:2" ht="15" thickTop="1">
      <c r="A74" s="3060" t="s">
        <v>2918</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2657</v>
      </c>
      <c r="R1" s="1487" t="s">
        <v>2647</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2651</v>
      </c>
      <c r="S2" s="292" t="s">
        <v>232</v>
      </c>
      <c r="T2" s="292" t="s">
        <v>233</v>
      </c>
      <c r="U2" s="292" t="s">
        <v>232</v>
      </c>
      <c r="V2" s="292" t="s">
        <v>234</v>
      </c>
      <c r="W2" s="292" t="s">
        <v>232</v>
      </c>
    </row>
    <row r="3" spans="1:23">
      <c r="A3" s="2803" t="s">
        <v>580</v>
      </c>
      <c r="B3" s="2804" t="s">
        <v>2693</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2649</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2652</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2653</v>
      </c>
      <c r="S5" s="292" t="s">
        <v>248</v>
      </c>
      <c r="T5" s="292" t="s">
        <v>249</v>
      </c>
      <c r="U5" s="292" t="s">
        <v>248</v>
      </c>
      <c r="W5" s="292" t="s">
        <v>248</v>
      </c>
    </row>
    <row r="6" spans="1:23">
      <c r="A6" s="2803" t="s">
        <v>586</v>
      </c>
      <c r="B6" s="2804" t="s">
        <v>2694</v>
      </c>
      <c r="C6" s="1773" t="s">
        <v>163</v>
      </c>
      <c r="F6" s="292" t="s">
        <v>250</v>
      </c>
      <c r="H6" s="292" t="s">
        <v>251</v>
      </c>
      <c r="I6" s="292" t="s">
        <v>252</v>
      </c>
      <c r="K6" s="292" t="s">
        <v>253</v>
      </c>
      <c r="L6" s="292" t="s">
        <v>253</v>
      </c>
      <c r="M6" s="292" t="s">
        <v>253</v>
      </c>
      <c r="N6" s="292" t="s">
        <v>253</v>
      </c>
      <c r="O6" s="292" t="s">
        <v>253</v>
      </c>
      <c r="P6" s="292" t="s">
        <v>253</v>
      </c>
      <c r="Q6" s="292" t="s">
        <v>253</v>
      </c>
      <c r="R6" s="2766" t="s">
        <v>2654</v>
      </c>
      <c r="S6" s="292" t="s">
        <v>253</v>
      </c>
      <c r="T6" s="292"/>
      <c r="U6" s="292" t="s">
        <v>253</v>
      </c>
      <c r="W6" s="292" t="s">
        <v>253</v>
      </c>
    </row>
    <row r="7" spans="1:23">
      <c r="A7" s="2803" t="s">
        <v>588</v>
      </c>
      <c r="B7" s="2804" t="s">
        <v>2695</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永宁镇迎晖路22号院2号等6幢楼房地产作为抵押担保物，向办理贷款手续。特委托北京康正宏基房地产评估有限公司对上述抵押物进行评估。本次评估为确定房地产抵押贷款额度提供参考依据而评估房地产抵押价值。</v>
      </c>
      <c r="D51" s="2097" t="s">
        <v>2881</v>
      </c>
    </row>
    <row r="52" spans="1:4">
      <c r="A52" s="1954" t="s">
        <v>2025</v>
      </c>
      <c r="B52" s="1954" t="s">
        <v>2026</v>
      </c>
      <c r="C52" s="1162" t="s">
        <v>2027</v>
      </c>
      <c r="D52" s="1162" t="s">
        <v>2028</v>
      </c>
    </row>
    <row r="53" spans="1:4">
      <c r="A53" s="3374"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4"/>
      <c r="B54" s="2097" t="s">
        <v>2031</v>
      </c>
      <c r="C54" s="1162" t="s">
        <v>2878</v>
      </c>
    </row>
    <row r="55" spans="1:4">
      <c r="A55" s="3374"/>
      <c r="B55" s="2097" t="s">
        <v>2032</v>
      </c>
      <c r="C55" s="1162" t="s">
        <v>2879</v>
      </c>
    </row>
    <row r="56" spans="1:4">
      <c r="A56" s="3374"/>
      <c r="B56" s="2097" t="s">
        <v>2033</v>
      </c>
      <c r="C56" s="1162" t="s">
        <v>2889</v>
      </c>
    </row>
    <row r="57" spans="1:4">
      <c r="A57" s="3374"/>
      <c r="B57" s="2097" t="s">
        <v>2034</v>
      </c>
      <c r="C57" s="1162" t="s">
        <v>2880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38" sqref="I3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83" t="str">
        <f>IF(B10="北京市","北京市",C10)&amp;F10&amp;IF(结果表!G1="在建","出让国有建设用地使用权及在建建筑物",IF(结果表!G1="土地","出让国有建设用地使用权",))&amp;B9&amp;"预评估"</f>
        <v>北京市延庆县永宁镇迎晖路22号院2号等6幢楼房地产抵押价值预评估</v>
      </c>
      <c r="C1" s="3384"/>
      <c r="D1" s="3384"/>
      <c r="E1" s="3384"/>
      <c r="F1" s="3384"/>
      <c r="G1" s="3384"/>
      <c r="H1" s="3384"/>
      <c r="I1" s="3385"/>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北京市延庆县永宁镇迎晖路22号院2号等6幢楼房地产抵押价值</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北京市延庆县永宁镇迎晖路22号院2号等6幢楼房地产</v>
      </c>
    </row>
    <row r="3" spans="1:19" ht="18" customHeight="1">
      <c r="A3" s="1943" t="s">
        <v>2014</v>
      </c>
      <c r="B3" s="3240">
        <v>42926</v>
      </c>
      <c r="C3" s="1926" t="s">
        <v>2015</v>
      </c>
      <c r="D3" s="3240">
        <f>B3</f>
        <v>42926</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2884</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t="s">
        <v>3051</v>
      </c>
      <c r="C8" s="2006"/>
      <c r="D8" s="3386" t="s">
        <v>2024</v>
      </c>
      <c r="E8" s="2038"/>
      <c r="F8" s="2039"/>
      <c r="G8" s="1998"/>
      <c r="H8" s="1998"/>
      <c r="I8" s="1998"/>
      <c r="J8" s="2003"/>
      <c r="K8" s="2105"/>
      <c r="L8" s="1999"/>
      <c r="M8" s="1999"/>
      <c r="N8" s="1197"/>
      <c r="O8" s="11"/>
      <c r="P8" s="1197"/>
      <c r="Q8" s="1197"/>
      <c r="R8" s="1197"/>
    </row>
    <row r="9" spans="1:19" ht="18" customHeight="1" thickBot="1">
      <c r="A9" s="1957" t="s">
        <v>1963</v>
      </c>
      <c r="B9" s="1958" t="s">
        <v>3052</v>
      </c>
      <c r="C9" s="2007"/>
      <c r="D9" s="3387"/>
      <c r="E9" s="1958"/>
      <c r="F9" s="2895"/>
      <c r="G9" s="2002"/>
      <c r="H9" s="2002"/>
      <c r="I9" s="2002"/>
      <c r="J9" s="2003"/>
      <c r="K9" s="2106"/>
      <c r="L9" s="1999"/>
      <c r="M9" s="1999"/>
      <c r="N9" s="1197"/>
      <c r="O9" s="11"/>
      <c r="P9" s="1197"/>
      <c r="Q9" s="1197"/>
      <c r="R9" s="1197"/>
    </row>
    <row r="10" spans="1:19" ht="18" customHeight="1" thickTop="1">
      <c r="A10" s="2012" t="s">
        <v>2075</v>
      </c>
      <c r="B10" s="2058" t="s">
        <v>3053</v>
      </c>
      <c r="C10" s="2040"/>
      <c r="D10" s="2004"/>
      <c r="E10" s="1942" t="s">
        <v>1964</v>
      </c>
      <c r="F10" s="1955" t="s">
        <v>3087</v>
      </c>
      <c r="G10" s="2893"/>
      <c r="H10" s="2894"/>
      <c r="I10" s="2004"/>
      <c r="J10" s="2003"/>
      <c r="K10" s="2106"/>
      <c r="L10" s="1999"/>
      <c r="M10" s="1999"/>
      <c r="N10" s="1197"/>
      <c r="O10" s="11"/>
      <c r="P10" s="1197"/>
      <c r="Q10" s="1197"/>
      <c r="R10" s="1197"/>
    </row>
    <row r="11" spans="1:19" ht="18" customHeight="1">
      <c r="A11" s="1961" t="s">
        <v>2076</v>
      </c>
      <c r="B11" s="2057" t="s">
        <v>3054</v>
      </c>
      <c r="C11" s="2041" t="s">
        <v>3055</v>
      </c>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2719</v>
      </c>
      <c r="F12" s="2027" t="s">
        <v>2720</v>
      </c>
      <c r="G12" s="2027" t="s">
        <v>2721</v>
      </c>
      <c r="H12" s="2027" t="s">
        <v>2722</v>
      </c>
      <c r="I12" s="2027" t="s">
        <v>2723</v>
      </c>
      <c r="J12" s="2003"/>
      <c r="K12" s="2106"/>
      <c r="L12" s="1999"/>
      <c r="M12" s="1999"/>
      <c r="N12" s="1197"/>
      <c r="O12" s="11"/>
      <c r="P12" s="1197"/>
      <c r="Q12" s="1197"/>
      <c r="R12" s="1197"/>
    </row>
    <row r="13" spans="1:19" ht="18" customHeight="1">
      <c r="A13" s="2011"/>
      <c r="B13" s="2086"/>
      <c r="C13" s="2087" t="s">
        <v>2105</v>
      </c>
      <c r="D13" s="3239"/>
      <c r="E13" s="3239"/>
      <c r="F13" s="3239"/>
      <c r="G13" s="3239"/>
      <c r="H13" s="3239"/>
      <c r="I13" s="2052">
        <v>59364</v>
      </c>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45.03</v>
      </c>
      <c r="J15" s="2003"/>
      <c r="K15" s="2108"/>
      <c r="L15" s="1231"/>
      <c r="M15" s="1231"/>
      <c r="N15" s="2023"/>
      <c r="O15" s="1231"/>
      <c r="P15" s="2023"/>
      <c r="Q15" s="1197"/>
      <c r="R15" s="1197"/>
    </row>
    <row r="16" spans="1:19" ht="30.75" customHeight="1">
      <c r="A16" s="1942" t="s">
        <v>2109</v>
      </c>
      <c r="B16" s="3393" t="s">
        <v>3056</v>
      </c>
      <c r="C16" s="3394"/>
      <c r="D16" s="3395"/>
      <c r="E16" s="1959" t="s">
        <v>2036</v>
      </c>
      <c r="F16" s="3396">
        <f>I15</f>
        <v>45.03</v>
      </c>
      <c r="G16" s="3397"/>
      <c r="H16" s="3397"/>
      <c r="I16" s="3398"/>
      <c r="J16" s="1197"/>
      <c r="K16" s="2108"/>
      <c r="L16" s="1231"/>
      <c r="M16" s="1231"/>
      <c r="N16" s="2023"/>
      <c r="O16" s="1231"/>
      <c r="P16" s="2023"/>
      <c r="Q16" s="1197"/>
      <c r="R16" s="1197"/>
    </row>
    <row r="17" spans="1:22" ht="18" customHeight="1">
      <c r="A17" s="2010" t="s">
        <v>1965</v>
      </c>
      <c r="B17" s="1943" t="s">
        <v>1966</v>
      </c>
      <c r="C17" s="2089">
        <f>'数据-汇总表'!E3</f>
        <v>20377.830000000002</v>
      </c>
      <c r="D17" s="1944" t="s">
        <v>1967</v>
      </c>
      <c r="E17" s="3399" t="s">
        <v>2023</v>
      </c>
      <c r="F17" s="3400"/>
      <c r="G17" s="3400"/>
      <c r="H17" s="3400"/>
      <c r="I17" s="3401"/>
      <c r="J17" s="1197"/>
      <c r="K17" s="2699"/>
      <c r="L17" s="1231"/>
      <c r="M17" s="1231"/>
      <c r="N17" s="2023"/>
      <c r="O17" s="1231"/>
      <c r="P17" s="2023"/>
      <c r="Q17" s="1197"/>
      <c r="R17" s="1197"/>
      <c r="S17" s="1197"/>
      <c r="T17" s="1197"/>
      <c r="U17" s="1197"/>
      <c r="V17" s="1197"/>
    </row>
    <row r="18" spans="1:22" ht="36" customHeight="1" thickBot="1">
      <c r="A18" s="2901" t="s">
        <v>532</v>
      </c>
      <c r="B18" s="1927" t="s">
        <v>1968</v>
      </c>
      <c r="C18" s="2902">
        <f>'数据-汇总表'!D3</f>
        <v>72086.12</v>
      </c>
      <c r="D18" s="2903" t="s">
        <v>1967</v>
      </c>
      <c r="E18" s="3402" t="s">
        <v>3026</v>
      </c>
      <c r="F18" s="3403"/>
      <c r="G18" s="3403"/>
      <c r="H18" s="3403"/>
      <c r="I18" s="3404"/>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9" t="s">
        <v>2061</v>
      </c>
      <c r="C20" s="3390"/>
      <c r="D20" s="3391" t="s">
        <v>2062</v>
      </c>
      <c r="E20" s="3392"/>
      <c r="F20" s="2071" t="s">
        <v>2063</v>
      </c>
      <c r="G20" s="2003"/>
      <c r="H20" s="2003"/>
      <c r="I20" s="2003"/>
      <c r="J20" s="2003"/>
      <c r="K20" s="3388"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8"/>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8"/>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76" t="s">
        <v>2077</v>
      </c>
      <c r="B27" s="2012" t="s">
        <v>2078</v>
      </c>
      <c r="C27" s="1933" t="s">
        <v>3062</v>
      </c>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76"/>
      <c r="B28" s="1943" t="s">
        <v>2079</v>
      </c>
      <c r="C28" s="1935" t="s">
        <v>150</v>
      </c>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76"/>
      <c r="B29" s="1943" t="s">
        <v>2080</v>
      </c>
      <c r="C29" s="1937" t="s">
        <v>41</v>
      </c>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77"/>
      <c r="B30" s="1943" t="s">
        <v>2081</v>
      </c>
      <c r="C30" s="3378"/>
      <c r="D30" s="3379"/>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80" t="s">
        <v>2082</v>
      </c>
      <c r="B31" s="1939" t="s">
        <v>3063</v>
      </c>
      <c r="C31" s="1940" t="str">
        <f>IF(B31="现房","成新及维护状况正常否",IF(B31="在建","工程状态是否正常",IF(B31="土地","是否闲置","-")))</f>
        <v>成新及维护状况正常否</v>
      </c>
      <c r="D31" s="2013"/>
      <c r="E31" s="1941" t="s">
        <v>3064</v>
      </c>
      <c r="F31" s="2003"/>
      <c r="G31" s="2003"/>
      <c r="H31" s="2003"/>
      <c r="I31" s="2003"/>
      <c r="J31" s="2003"/>
      <c r="K31" s="2110"/>
      <c r="L31" s="1999"/>
      <c r="M31" s="1999"/>
      <c r="N31" s="1197"/>
      <c r="O31" s="11"/>
      <c r="P31" s="1197"/>
      <c r="Q31" s="1197"/>
      <c r="R31" s="1197"/>
      <c r="S31" s="1197"/>
      <c r="T31" s="1197"/>
      <c r="U31" s="1197"/>
      <c r="V31" s="1197"/>
    </row>
    <row r="32" spans="1:22" ht="18" customHeight="1">
      <c r="A32" s="3381"/>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81"/>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75" t="s">
        <v>2118</v>
      </c>
      <c r="T34" s="2016" t="str">
        <f>NUMBERSTRING(7-K34,1)&amp;"通"</f>
        <v>七通</v>
      </c>
      <c r="U34" s="1197"/>
      <c r="V34" s="1197"/>
    </row>
    <row r="35" spans="1:22" ht="18" customHeight="1">
      <c r="A35" s="2017"/>
      <c r="B35" s="3382" t="s">
        <v>1881</v>
      </c>
      <c r="C35" s="3382"/>
      <c r="D35" s="3382"/>
      <c r="E35" s="3382"/>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75"/>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t="s">
        <v>1954</v>
      </c>
      <c r="F37" s="2020"/>
      <c r="G37" s="2003"/>
      <c r="H37" s="2003"/>
      <c r="I37" s="2003"/>
      <c r="J37" s="2003"/>
      <c r="K37" s="2106"/>
      <c r="L37" s="1999"/>
      <c r="M37" s="1999"/>
      <c r="N37" s="1197"/>
      <c r="O37" s="11"/>
      <c r="P37" s="1197"/>
      <c r="Q37" s="1197"/>
      <c r="R37" s="1197"/>
      <c r="S37" s="1197"/>
      <c r="T37" s="1197"/>
      <c r="U37" s="1197"/>
      <c r="V37" s="1197"/>
    </row>
    <row r="38" spans="1:22" ht="37.5" customHeight="1" thickBot="1">
      <c r="A38" s="2049" t="s">
        <v>1882</v>
      </c>
      <c r="B38" s="2050"/>
      <c r="C38" s="2050"/>
      <c r="D38" s="2050"/>
      <c r="E38" s="2050" t="s">
        <v>1421</v>
      </c>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3045</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72086.12</v>
      </c>
      <c r="B3" s="302">
        <f>IF(C3="否",G5-AT5,G5)</f>
        <v>20377.830000000002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20377.830000000002</v>
      </c>
      <c r="H5" s="305">
        <f t="shared" ref="H5:AT5" si="0">SUM(H13:H656)</f>
        <v>20377.830000000002</v>
      </c>
      <c r="I5" s="305">
        <f t="shared" si="0"/>
        <v>20377.830000000002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20377.830000000002</v>
      </c>
      <c r="BA5" s="307">
        <f t="shared" si="1"/>
        <v>20377.830000000002</v>
      </c>
      <c r="BB5" s="307">
        <f t="shared" si="1"/>
        <v>20377.830000000002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72086.12</v>
      </c>
      <c r="F6" s="305" t="s">
        <v>23</v>
      </c>
      <c r="G6" s="305" t="s">
        <v>25</v>
      </c>
      <c r="H6" s="309">
        <f>SUMIF(I$12:AB$12,"总值",I6:AB6)</f>
        <v>72086.12</v>
      </c>
      <c r="I6" s="305">
        <f t="shared" ref="I6:AB6" si="2">ROUND($A$3*I5/$B$3,2)</f>
        <v>72086.12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72086.12</v>
      </c>
      <c r="AZ6" s="305" t="s">
        <v>29</v>
      </c>
      <c r="BA6" s="305">
        <f>ROUND($AY$6*BA5/$AZ$5,2)</f>
        <v>72086.12</v>
      </c>
      <c r="BB6" s="305">
        <f>ROUND($AY$6*BB5/$AZ$5,2)</f>
        <v>72086.12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3058</v>
      </c>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3061</v>
      </c>
      <c r="B13" s="216" t="s">
        <v>3060</v>
      </c>
      <c r="C13" s="216" t="s">
        <v>3059</v>
      </c>
      <c r="D13" s="217" t="s">
        <v>3065</v>
      </c>
      <c r="E13" s="305">
        <f>IF($C$3="是",ROUND($A$3*G13/$B$3,2),ROUND($A$3*(G13-AT13)/$B$3,2))</f>
        <v>72086.12</v>
      </c>
      <c r="F13" s="321"/>
      <c r="G13" s="322">
        <f>H13+AC13+AT13</f>
        <v>20377.830000000002</v>
      </c>
      <c r="H13" s="309">
        <f>SUMIF(I$12:AB$12,"总值",I13:AB13)</f>
        <v>20377.830000000002</v>
      </c>
      <c r="I13" s="1418">
        <v>20377.830000000002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土地证</v>
      </c>
      <c r="AW13" s="82" t="str">
        <f t="shared" si="6"/>
        <v>房产证</v>
      </c>
      <c r="AX13" s="82" t="str">
        <f t="shared" si="6"/>
        <v>5幢</v>
      </c>
      <c r="AY13" s="304">
        <f>ROUND($AY$6*AZ13/$AZ$5,2)</f>
        <v>72086.12</v>
      </c>
      <c r="AZ13" s="305">
        <f>BA13+BL13</f>
        <v>20377.830000000002</v>
      </c>
      <c r="BA13" s="305">
        <f>SUM(BB13:BK13)</f>
        <v>20377.830000000002</v>
      </c>
      <c r="BB13" s="305">
        <f>IF($D13="是",I13-J13,0)</f>
        <v>20377.830000000002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5" t="s">
        <v>200</v>
      </c>
      <c r="E1" s="3405" t="s">
        <v>201</v>
      </c>
      <c r="F1" s="3405"/>
      <c r="G1" s="3405"/>
      <c r="H1" s="3405"/>
      <c r="I1" s="3405"/>
      <c r="J1" s="3405"/>
      <c r="K1" s="3405"/>
      <c r="L1" s="3405"/>
      <c r="M1" s="3405"/>
    </row>
    <row r="2" spans="1:13" ht="27" customHeight="1">
      <c r="A2" s="3348"/>
      <c r="B2" s="3348"/>
      <c r="C2" s="3348"/>
      <c r="D2" s="3405"/>
      <c r="E2" s="3405" t="s">
        <v>184</v>
      </c>
      <c r="F2" s="3405" t="s">
        <v>185</v>
      </c>
      <c r="G2" s="3405"/>
      <c r="H2" s="3405"/>
      <c r="I2" s="3405"/>
      <c r="J2" s="3405" t="s">
        <v>186</v>
      </c>
      <c r="K2" s="3405"/>
      <c r="L2" s="3405"/>
      <c r="M2" s="3405"/>
    </row>
    <row r="3" spans="1:13" ht="28.5">
      <c r="A3" s="3348"/>
      <c r="B3" s="3348"/>
      <c r="C3" s="3348"/>
      <c r="D3" s="3405"/>
      <c r="E3" s="340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5" t="s">
        <v>202</v>
      </c>
      <c r="B9" s="3405"/>
      <c r="C9" s="340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15" t="s">
        <v>645</v>
      </c>
      <c r="B2" s="3415"/>
      <c r="C2" s="3415"/>
      <c r="D2" s="2212" t="s">
        <v>646</v>
      </c>
      <c r="E2" s="19" t="s">
        <v>647</v>
      </c>
      <c r="F2" s="2228"/>
      <c r="G2" s="1180"/>
      <c r="H2" s="1181"/>
      <c r="I2" s="2220" t="s">
        <v>648</v>
      </c>
      <c r="J2" s="2228"/>
      <c r="K2" s="2228"/>
      <c r="L2" s="2228"/>
      <c r="M2" s="2228"/>
      <c r="N2" s="2237"/>
      <c r="O2" s="2228"/>
      <c r="P2" s="2228"/>
    </row>
    <row r="3" spans="1:16" ht="15.75" thickBot="1">
      <c r="A3" s="3416" t="s">
        <v>649</v>
      </c>
      <c r="B3" s="3416"/>
      <c r="C3" s="3416"/>
      <c r="D3" s="335">
        <f>'数据-基础表'!AY6</f>
        <v>72086.12</v>
      </c>
      <c r="E3" s="335">
        <f>'数据-基础表'!AZ5</f>
        <v>20377.830000000002</v>
      </c>
      <c r="F3" s="2228"/>
      <c r="G3" s="442"/>
      <c r="H3" s="440" t="s">
        <v>650</v>
      </c>
      <c r="I3" s="344">
        <f>ROUND('数据-基础表'!B3/'数据-基础表'!A3,2)</f>
        <v>0.28000000000000003</v>
      </c>
      <c r="J3" s="2228"/>
      <c r="K3" s="2228"/>
      <c r="L3" s="2228"/>
      <c r="M3" s="2228"/>
      <c r="N3" s="2237"/>
      <c r="O3" s="2228"/>
      <c r="P3" s="2228"/>
    </row>
    <row r="4" spans="1:16" ht="14.25">
      <c r="A4" s="3417"/>
      <c r="B4" s="3418"/>
      <c r="C4" s="3419"/>
      <c r="D4" s="20" t="s">
        <v>646</v>
      </c>
      <c r="E4" s="21" t="s">
        <v>647</v>
      </c>
      <c r="F4" s="2228"/>
      <c r="G4" s="1182" t="s">
        <v>1799</v>
      </c>
      <c r="H4" s="440" t="s">
        <v>651</v>
      </c>
      <c r="I4" s="344">
        <f>ROUND(SUMIF('数据-基础表'!I9:AS9,"地上",'数据-基础表'!I5:AS5)/'数据-基础表'!A3,2)</f>
        <v>0.28000000000000003</v>
      </c>
      <c r="J4" s="2228"/>
      <c r="K4" s="2228"/>
      <c r="L4" s="2228"/>
      <c r="M4" s="2228"/>
      <c r="N4" s="2237"/>
      <c r="O4" s="2228"/>
      <c r="P4" s="2228"/>
    </row>
    <row r="5" spans="1:16" ht="14.25">
      <c r="A5" s="22" t="s">
        <v>652</v>
      </c>
      <c r="B5" s="3420" t="s">
        <v>653</v>
      </c>
      <c r="C5" s="3420"/>
      <c r="D5" s="337">
        <f>ROUND($D$3*E5/$E$3,2)</f>
        <v>0</v>
      </c>
      <c r="E5" s="338">
        <f>SUMIF('数据-基础表'!$11:$11,"住宅",'数据-基础表'!$5:$5)</f>
        <v>0</v>
      </c>
      <c r="F5" s="2228"/>
      <c r="G5" s="442"/>
      <c r="H5" s="440" t="s">
        <v>650</v>
      </c>
      <c r="I5" s="344">
        <f>ROUND(E31/D31,2)</f>
        <v>0.28000000000000003</v>
      </c>
      <c r="J5" s="2228"/>
      <c r="K5" s="2228"/>
      <c r="L5" s="2228"/>
      <c r="M5" s="2228"/>
      <c r="N5" s="2228"/>
      <c r="O5" s="2228"/>
      <c r="P5" s="2228"/>
    </row>
    <row r="6" spans="1:16" ht="15" thickBot="1">
      <c r="A6" s="24"/>
      <c r="B6" s="3420" t="s">
        <v>654</v>
      </c>
      <c r="C6" s="3420"/>
      <c r="D6" s="337">
        <f>ROUND($D$3*E6/$E$3,2)</f>
        <v>72086.12</v>
      </c>
      <c r="E6" s="338">
        <f>E3-E5</f>
        <v>20377.830000000002</v>
      </c>
      <c r="F6" s="2228"/>
      <c r="G6" s="1762" t="s">
        <v>1800</v>
      </c>
      <c r="H6" s="442" t="s">
        <v>651</v>
      </c>
      <c r="I6" s="1763">
        <f>ROUND(F31/D31,2)</f>
        <v>0.28000000000000003</v>
      </c>
      <c r="J6" s="2228"/>
      <c r="K6" s="2228"/>
      <c r="L6" s="2228"/>
      <c r="M6" s="2228"/>
      <c r="N6" s="2228"/>
      <c r="O6" s="2228"/>
      <c r="P6" s="2228"/>
    </row>
    <row r="7" spans="1:16" ht="14.25">
      <c r="A7" s="3412"/>
      <c r="B7" s="3413"/>
      <c r="C7" s="3414"/>
      <c r="D7" s="20" t="s">
        <v>646</v>
      </c>
      <c r="E7" s="25" t="s">
        <v>647</v>
      </c>
      <c r="F7" s="2228"/>
      <c r="G7" s="1180" t="s">
        <v>1879</v>
      </c>
      <c r="H7" s="38"/>
      <c r="I7" s="763">
        <f>I6</f>
        <v>0.28000000000000003</v>
      </c>
      <c r="J7" s="2228"/>
      <c r="K7" s="2228"/>
      <c r="L7" s="2228"/>
      <c r="M7" s="2228"/>
      <c r="N7" s="2228"/>
      <c r="O7" s="2228"/>
      <c r="P7" s="2228"/>
    </row>
    <row r="8" spans="1:16" ht="14.25">
      <c r="A8" s="22" t="s">
        <v>655</v>
      </c>
      <c r="B8" s="26" t="s">
        <v>656</v>
      </c>
      <c r="C8" s="23" t="s">
        <v>657</v>
      </c>
      <c r="D8" s="337">
        <f t="shared" ref="D8:D15" si="0">ROUND($D$3*E8/$E$3,2)</f>
        <v>72086.12</v>
      </c>
      <c r="E8" s="340">
        <f>SUMIF('数据-基础表'!BB10:BK10,"地上",'数据-基础表'!BB5:BK5)</f>
        <v>20377.830000000002</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72086.12</v>
      </c>
      <c r="E16" s="342">
        <f>SUM(E8:E15)</f>
        <v>20377.830000000002</v>
      </c>
      <c r="F16" s="2228"/>
      <c r="G16" s="2229"/>
      <c r="H16" s="1179" t="s">
        <v>535</v>
      </c>
      <c r="I16" s="1183"/>
      <c r="J16" s="2228"/>
      <c r="K16" s="3409" t="s">
        <v>535</v>
      </c>
      <c r="L16" s="3410"/>
      <c r="M16" s="3410"/>
      <c r="N16" s="3410"/>
      <c r="O16" s="3410"/>
      <c r="P16" s="3411"/>
    </row>
    <row r="17" spans="1:19" ht="14.25">
      <c r="A17" s="29" t="s">
        <v>665</v>
      </c>
      <c r="B17" s="30" t="s">
        <v>666</v>
      </c>
      <c r="C17" s="34" t="s">
        <v>2402</v>
      </c>
      <c r="D17" s="2078" t="s">
        <v>646</v>
      </c>
      <c r="E17" s="2076" t="s">
        <v>647</v>
      </c>
      <c r="F17" s="36"/>
      <c r="G17" s="37"/>
      <c r="H17" s="1184" t="s">
        <v>667</v>
      </c>
      <c r="I17" s="1185" t="s">
        <v>207</v>
      </c>
      <c r="J17" s="2228"/>
      <c r="K17" s="3406" t="s">
        <v>673</v>
      </c>
      <c r="L17" s="3407"/>
      <c r="M17" s="3408"/>
      <c r="N17" s="3406" t="s">
        <v>2704</v>
      </c>
      <c r="O17" s="3407"/>
      <c r="P17" s="3408"/>
      <c r="R17" s="2488" t="s">
        <v>2403</v>
      </c>
      <c r="S17" s="354"/>
    </row>
    <row r="18" spans="1:19">
      <c r="A18" s="27"/>
      <c r="B18" s="31"/>
      <c r="C18" s="35"/>
      <c r="D18" s="2079"/>
      <c r="E18" s="2077" t="s">
        <v>668</v>
      </c>
      <c r="F18" s="15" t="s">
        <v>669</v>
      </c>
      <c r="G18" s="16" t="s">
        <v>670</v>
      </c>
      <c r="H18" s="1186" t="s">
        <v>671</v>
      </c>
      <c r="I18" s="1187" t="s">
        <v>672</v>
      </c>
      <c r="J18" s="2228"/>
      <c r="K18" s="1186" t="s">
        <v>2697</v>
      </c>
      <c r="L18" s="6" t="s">
        <v>2705</v>
      </c>
      <c r="M18" s="2809" t="s">
        <v>2703</v>
      </c>
      <c r="N18" s="1186" t="s">
        <v>2697</v>
      </c>
      <c r="O18" s="6" t="s">
        <v>2705</v>
      </c>
      <c r="P18" s="2809" t="s">
        <v>2703</v>
      </c>
      <c r="R18" s="2489" t="s">
        <v>2404</v>
      </c>
      <c r="S18" s="2489" t="s">
        <v>2405</v>
      </c>
    </row>
    <row r="19" spans="1:19" ht="14.25">
      <c r="A19" s="32"/>
      <c r="B19" s="26" t="s">
        <v>119</v>
      </c>
      <c r="C19" s="1421" t="s">
        <v>3066</v>
      </c>
      <c r="D19" s="337">
        <f>ROUND($D$3*E19/$E$3,2)</f>
        <v>72086.12</v>
      </c>
      <c r="E19" s="345">
        <f t="shared" ref="E19:E26" si="1">SUM(F19:G19)</f>
        <v>20377.830000000002</v>
      </c>
      <c r="F19" s="346">
        <f>'数据-基础表'!I13</f>
        <v>20377.830000000002</v>
      </c>
      <c r="G19" s="347">
        <f>'数据-基础表'!K13</f>
        <v>0</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72086.12</v>
      </c>
      <c r="S19" s="2491">
        <f t="shared" si="5"/>
        <v>20377.830000000002</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72086.12</v>
      </c>
      <c r="E27" s="2814">
        <f>IF(SUM(E19:E26)='数据-基础表'!BA5,SUM(E19:E26),IF(F27="地上面积有误","面积有误","地下面积有误"))</f>
        <v>20377.830000000002</v>
      </c>
      <c r="F27" s="2813">
        <f>IF(SUM(F19:F26)=E8,SUM(F19:F26),"地上面积有误")</f>
        <v>20377.830000000002</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72086.12</v>
      </c>
      <c r="S27" s="2490">
        <f>IF(SUM(S19:S26)=$E$3,SUM(S19:S26),SUM(S19:S26)&amp;"误差"&amp;ROUND(SUM(S19:S26)-E3,2))</f>
        <v>20377.830000000002</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72086.12</v>
      </c>
      <c r="E31" s="1189">
        <f>E27+E30</f>
        <v>20377.830000000002</v>
      </c>
      <c r="F31" s="1190">
        <f>F27+F30</f>
        <v>20377.830000000002</v>
      </c>
      <c r="G31" s="1191">
        <f>G27+G30</f>
        <v>0</v>
      </c>
      <c r="H31" s="2228"/>
      <c r="I31" s="2228"/>
      <c r="J31" s="2228"/>
      <c r="K31" s="2228"/>
      <c r="L31" s="2228"/>
      <c r="M31" s="2228"/>
      <c r="N31" s="2228"/>
      <c r="O31" s="2228"/>
      <c r="P31" s="2228"/>
    </row>
    <row r="32" spans="1:19" ht="14.25">
      <c r="A32" s="1182"/>
      <c r="B32" s="1182" t="s">
        <v>2717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30"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42926</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40.5">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2698</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2689</v>
      </c>
      <c r="AP5" s="2897" t="s">
        <v>2699</v>
      </c>
      <c r="AQ5" s="2898" t="s">
        <v>2809</v>
      </c>
      <c r="AR5" s="2898" t="s">
        <v>2810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工业</v>
      </c>
      <c r="B6" s="2496" t="str">
        <f>IF(A6=0,"","经营性")</f>
        <v>经营性</v>
      </c>
      <c r="C6" s="39" t="s">
        <v>39</v>
      </c>
      <c r="D6" s="2059">
        <f>SUMIF(项目基本情况!D$12:I$12,C6,项目基本情况!D$14:I$14)</f>
        <v>50</v>
      </c>
      <c r="E6" s="2053">
        <f>IF(B6="","",SUMIF(项目基本情况!D$12:I$12,C6,项目基本情况!D$13:I$13))</f>
        <v>59364</v>
      </c>
      <c r="F6" s="362">
        <f>SUMIF(项目基本情况!D$12:I$12,C6,项目基本情况!D$15:I$15)</f>
        <v>45.03</v>
      </c>
      <c r="G6" s="363">
        <f>IF(ISERROR(ROUND(POWER(1+H6,D6-F6)*(POWER(1+H6,F6)-1)/(POWER(1+H6,D6)-1),3)),0,ROUND(POWER(1+H6,D6-F6)*(POWER(1+H6,F6)-1)/(POWER(1+H6,D6)-1),3))</f>
        <v>0.97399999999999998</v>
      </c>
      <c r="H6" s="1476">
        <v>0.05</v>
      </c>
      <c r="I6" s="1476">
        <v>5.5E-2</v>
      </c>
      <c r="J6" s="364">
        <v>8.5000000000000006E-2</v>
      </c>
      <c r="K6" s="2499">
        <f>SUMIF('数据-汇总表'!C$19:C$33,A6,'数据-汇总表'!E$19:E$33)</f>
        <v>20377.830000000002</v>
      </c>
      <c r="L6" s="1477">
        <v>2000</v>
      </c>
      <c r="M6" s="365">
        <f t="shared" ref="M6:M14" si="0">ROUND(K6*L6/10000,0)</f>
        <v>4076</v>
      </c>
      <c r="N6" s="1475">
        <f>ROUND(1-(2017-2013)/50,2)</f>
        <v>0.92</v>
      </c>
      <c r="O6" s="365" t="str">
        <f>IF($N$5="成新度","——",ROUND(M6*N6,0))</f>
        <v>——</v>
      </c>
      <c r="P6" s="366" t="str">
        <f>IF($N$5="成新度","——",M6-O6)</f>
        <v>——</v>
      </c>
      <c r="Q6" s="1478">
        <v>0.05</v>
      </c>
      <c r="R6" s="367">
        <f ca="1">SUMIF('数据-汇总表'!C$19:C$33,A6,'数据-汇总表'!R$19:R$27)</f>
        <v>72086.12</v>
      </c>
      <c r="S6" s="343">
        <f>IF('数据-汇总表'!$I$17="按面积比例",SUMIF('数据-汇总表'!C$19:C$33,A6,'数据-汇总表'!K$19:K$33),SUMIF('数据-汇总表'!C$19:C$33,A6,'数据-汇总表'!N$19:N$33))</f>
        <v>0</v>
      </c>
      <c r="T6" s="2896">
        <f>ROUND($L$14*S6/10000,0)</f>
        <v>0</v>
      </c>
      <c r="U6" s="368">
        <v>1</v>
      </c>
      <c r="V6" s="369">
        <v>2.5000000000000001E-2</v>
      </c>
      <c r="W6" s="369">
        <v>0.1</v>
      </c>
      <c r="X6" s="2509"/>
      <c r="Y6" s="370">
        <f>N6</f>
        <v>0.92</v>
      </c>
      <c r="Z6" s="371"/>
      <c r="AA6" s="364"/>
      <c r="AB6" s="364"/>
      <c r="AC6" s="2509"/>
      <c r="AD6" s="372"/>
      <c r="AE6" s="2510">
        <f ca="1">IF(AN6="",0,SUMIF(INDIRECT("'"&amp;AN6&amp;"'"&amp;"!E:E"),$AE$5,INDIRECT("'"&amp;AN6&amp;"'"&amp;"!F:F")))</f>
        <v>45.03</v>
      </c>
      <c r="AF6" s="352"/>
      <c r="AG6" s="478">
        <f>IF(AF6="",0,AE6-AF6)</f>
        <v>0</v>
      </c>
      <c r="AH6" s="373"/>
      <c r="AI6" s="375">
        <v>365</v>
      </c>
      <c r="AJ6" s="376"/>
      <c r="AK6" s="377">
        <v>1.4999999999999999E-2</v>
      </c>
      <c r="AL6" s="378">
        <v>2E-3</v>
      </c>
      <c r="AM6" s="379">
        <v>1.4999999999999999E-2</v>
      </c>
      <c r="AN6" s="2579" t="s">
        <v>3067</v>
      </c>
      <c r="AO6" s="344">
        <f ca="1">SUMIF(INDIRECT("'"&amp;AN6&amp;"'"&amp;"!A:A"),"总价",INDIRECT("'"&amp;AN6&amp;"'"&amp;"!B:B"))</f>
        <v>11464</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20377.830000000002</v>
      </c>
      <c r="L16" s="392">
        <f>ROUND(M16*10000/SUM(K6:K14),0)</f>
        <v>2000</v>
      </c>
      <c r="M16" s="392">
        <f>SUM(M6:M14)</f>
        <v>4076</v>
      </c>
      <c r="N16" s="393">
        <f>ROUND(SUMPRODUCT(M6:M14,N6:N14)/M16,3)</f>
        <v>0.92</v>
      </c>
      <c r="O16" s="392">
        <f>SUM(O6:O14)</f>
        <v>0</v>
      </c>
      <c r="P16" s="392">
        <f>SUM(P6:P14)</f>
        <v>0</v>
      </c>
      <c r="Q16" s="394">
        <f>ROUND(SUMPRODUCT(Q6:Q13,K6:K13)/SUMPRODUCT((Q6:Q13&gt;0)*(K6:K13)),2)</f>
        <v>0.05</v>
      </c>
      <c r="R16" s="2503">
        <f ca="1">SUM(R6:R13)</f>
        <v>72086.12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1.5</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1.5</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1.5</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1.5</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v>100</v>
      </c>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150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2701</v>
      </c>
      <c r="B29" s="411"/>
      <c r="C29" s="2531" t="s">
        <v>2702</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0.05</v>
      </c>
      <c r="C33" s="3297" t="s">
        <v>3013</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7" t="s">
        <v>3014</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7" t="s">
        <v>3015</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7" t="s">
        <v>3016</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0.02</v>
      </c>
      <c r="C37" s="3297" t="s">
        <v>3017</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0.02</v>
      </c>
      <c r="C38" s="3297" t="s">
        <v>3017</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2551</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2627</v>
      </c>
      <c r="B40" s="2639">
        <f ca="1">存贷款利率!G1</f>
        <v>4.7500000000000001E-2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7" t="s">
        <v>3019</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8" t="s">
        <v>3018</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8" t="s">
        <v>3046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0.03</v>
      </c>
      <c r="C48" s="3320" t="s">
        <v>3047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3048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1.5</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203</v>
      </c>
      <c r="C53" s="2237" t="s">
        <v>3020</v>
      </c>
      <c r="D53" s="2240" t="s">
        <v>3024</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f>C54</f>
        <v>30</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f t="shared" ref="B55:B59" si="12">C55</f>
        <v>24</v>
      </c>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f t="shared" si="12"/>
        <v>18</v>
      </c>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f t="shared" si="12"/>
        <v>12</v>
      </c>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f t="shared" si="12"/>
        <v>3</v>
      </c>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f t="shared" si="12"/>
        <v>1.5</v>
      </c>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3021</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3022</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3023</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1" t="s">
        <v>754</v>
      </c>
      <c r="B1" s="3422"/>
      <c r="C1" s="3422"/>
      <c r="D1" s="3422"/>
      <c r="E1" s="3422"/>
      <c r="F1" s="3422"/>
      <c r="G1" s="3422"/>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3027</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2644</v>
      </c>
      <c r="G5" s="3301" t="s">
        <v>2646</v>
      </c>
      <c r="H5" s="2258"/>
      <c r="I5" s="2258"/>
      <c r="J5" s="2258"/>
      <c r="K5" s="2258"/>
      <c r="L5" s="2258"/>
      <c r="M5" s="2258"/>
      <c r="N5" s="2258"/>
      <c r="O5" s="2258"/>
      <c r="P5" s="2258"/>
      <c r="Q5" s="2258"/>
      <c r="R5" s="2258"/>
    </row>
    <row r="6" spans="1:29" ht="54">
      <c r="A6" s="1030"/>
      <c r="B6" s="2214" t="s">
        <v>72</v>
      </c>
      <c r="C6" s="3301" t="s">
        <v>738</v>
      </c>
      <c r="D6" s="2259"/>
      <c r="E6" s="1215"/>
      <c r="F6" s="2747" t="s">
        <v>2643</v>
      </c>
      <c r="G6" s="3301" t="s">
        <v>2645</v>
      </c>
      <c r="H6" s="2258"/>
      <c r="I6" s="2258"/>
      <c r="J6" s="2258"/>
      <c r="K6" s="2258"/>
      <c r="L6" s="2258"/>
      <c r="M6" s="2258"/>
      <c r="N6" s="2258"/>
      <c r="O6" s="2258"/>
      <c r="P6" s="2258"/>
      <c r="Q6" s="2258"/>
      <c r="R6" s="2258"/>
    </row>
    <row r="7" spans="1:29" ht="41.25" thickBot="1">
      <c r="A7" s="1030"/>
      <c r="B7" s="2214" t="s">
        <v>2644</v>
      </c>
      <c r="C7" s="3301" t="s">
        <v>2646</v>
      </c>
      <c r="D7" s="2260"/>
      <c r="E7" s="1216"/>
      <c r="F7" s="1217" t="s">
        <v>739</v>
      </c>
      <c r="G7" s="3304" t="s">
        <v>3028</v>
      </c>
      <c r="H7" s="2258"/>
      <c r="I7" s="2258"/>
      <c r="J7" s="2258"/>
      <c r="K7" s="2258"/>
      <c r="L7" s="2258"/>
      <c r="M7" s="2258"/>
      <c r="N7" s="2258"/>
      <c r="O7" s="2258"/>
      <c r="P7" s="2258"/>
      <c r="Q7" s="2258"/>
      <c r="R7" s="2258"/>
    </row>
    <row r="8" spans="1:29" ht="27">
      <c r="A8" s="1030"/>
      <c r="B8" s="2747" t="s">
        <v>2643</v>
      </c>
      <c r="C8" s="3301" t="s">
        <v>2645</v>
      </c>
      <c r="D8" s="2260"/>
      <c r="E8" s="2260"/>
      <c r="F8" s="2261"/>
      <c r="G8" s="2261"/>
      <c r="H8" s="2258"/>
      <c r="I8" s="2258"/>
      <c r="J8" s="2258"/>
      <c r="K8" s="2258"/>
      <c r="L8" s="2258"/>
      <c r="M8" s="2258"/>
      <c r="N8" s="2258"/>
      <c r="O8" s="2258"/>
      <c r="P8" s="2258"/>
      <c r="Q8" s="2258"/>
      <c r="R8" s="2258"/>
    </row>
    <row r="9" spans="1:29" ht="27">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2644</v>
      </c>
      <c r="G19" s="1025" t="str">
        <f>G5</f>
        <v>估价对象所在区域公共配套设施齐备情况</v>
      </c>
    </row>
    <row r="20" spans="1:18" ht="27">
      <c r="A20" s="2763"/>
      <c r="B20" s="1228" t="s">
        <v>90</v>
      </c>
      <c r="C20" s="1227" t="str">
        <f>C9</f>
        <v>区域自然环境：；人文环境；综合评价环境状况一般</v>
      </c>
      <c r="D20" s="2260"/>
      <c r="E20" s="2761"/>
      <c r="F20" s="2747" t="s">
        <v>2643</v>
      </c>
      <c r="G20" s="1025" t="str">
        <f>G6</f>
        <v>估价对象所在区域基础设施水平</v>
      </c>
    </row>
    <row r="21" spans="1:18" ht="27">
      <c r="A21" s="2763"/>
      <c r="B21" s="2747" t="s">
        <v>2644</v>
      </c>
      <c r="C21" s="1025" t="str">
        <f>C7</f>
        <v>估价对象所在区域公共配套设施齐备情况</v>
      </c>
      <c r="D21" s="2259"/>
      <c r="E21" s="2761"/>
      <c r="F21" s="1228" t="s">
        <v>89</v>
      </c>
      <c r="G21" s="283"/>
    </row>
    <row r="22" spans="1:18" ht="13.5" customHeight="1">
      <c r="A22" s="2763"/>
      <c r="B22" s="2747" t="s">
        <v>2643</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2996</v>
      </c>
      <c r="B1" s="3263">
        <f>SUM(B14:B23)</f>
        <v>20377.830000000002</v>
      </c>
      <c r="C1" s="3262"/>
      <c r="D1" s="3262"/>
      <c r="E1" s="3262"/>
      <c r="F1" s="3262"/>
      <c r="G1" s="3260"/>
    </row>
    <row r="2" spans="1:10" ht="16.5">
      <c r="A2" s="3263" t="s">
        <v>2984</v>
      </c>
      <c r="B2" s="3263">
        <f>SUM(C14:C23)</f>
        <v>72086.12</v>
      </c>
      <c r="C2" s="3262"/>
      <c r="D2" s="3262"/>
      <c r="E2" s="3262"/>
      <c r="F2" s="3262"/>
      <c r="G2" s="3260"/>
    </row>
    <row r="3" spans="1:10" ht="16.5">
      <c r="A3" s="3263" t="s">
        <v>2993</v>
      </c>
      <c r="B3" s="3264">
        <f>项目基本情况!D3</f>
        <v>42926</v>
      </c>
      <c r="C3" s="3262"/>
      <c r="D3" s="3262"/>
      <c r="E3" s="3262"/>
      <c r="F3" s="3262"/>
      <c r="G3" s="3260"/>
    </row>
    <row r="4" spans="1:10" ht="33">
      <c r="A4" s="3263" t="s">
        <v>2992</v>
      </c>
      <c r="B4" s="3263" t="s">
        <v>2991</v>
      </c>
      <c r="C4" s="3263" t="s">
        <v>2990</v>
      </c>
      <c r="D4" s="3263" t="s">
        <v>2989</v>
      </c>
      <c r="E4" s="3262"/>
      <c r="F4" s="3260"/>
      <c r="G4" s="3260"/>
    </row>
    <row r="5" spans="1:10" ht="16.5">
      <c r="A5" s="3263" t="s">
        <v>2988</v>
      </c>
      <c r="B5" s="3263">
        <f ca="1">SUM(D14:D23)</f>
        <v>10658</v>
      </c>
      <c r="C5" s="3263">
        <f ca="1">ROUND(B5*10000/$B$1,0)</f>
        <v>5230</v>
      </c>
      <c r="D5" s="3263">
        <f ca="1">ROUND(B5*10000/$B$2,0)</f>
        <v>1479</v>
      </c>
      <c r="E5" s="3262"/>
      <c r="F5" s="3260"/>
      <c r="G5" s="3260"/>
    </row>
    <row r="6" spans="1:10" ht="16.5">
      <c r="A6" s="3263" t="s">
        <v>2987</v>
      </c>
      <c r="B6" s="3263">
        <f ca="1">SUM(G14:G23)</f>
        <v>10658</v>
      </c>
      <c r="C6" s="3263">
        <f ca="1">ROUND(B6*10000/$B$1,0)</f>
        <v>5230</v>
      </c>
      <c r="D6" s="3263">
        <f ca="1">ROUND(B6*10000/$B$2,0)</f>
        <v>1479</v>
      </c>
      <c r="E6" s="3262"/>
      <c r="F6" s="3260"/>
      <c r="G6" s="3260"/>
    </row>
    <row r="7" spans="1:10" ht="16.5">
      <c r="A7" s="3263" t="s">
        <v>2995</v>
      </c>
      <c r="B7" s="3263">
        <f>SUM(H14:H23)</f>
        <v>0</v>
      </c>
      <c r="C7" s="3263">
        <f>ROUND(B7*10000/$B$1,0)</f>
        <v>0</v>
      </c>
      <c r="D7" s="3263">
        <f>ROUND(B7*10000/$B$2,0)</f>
        <v>0</v>
      </c>
      <c r="E7" s="3262"/>
      <c r="F7" s="3260"/>
      <c r="G7" s="3260"/>
    </row>
    <row r="8" spans="1:10" ht="16.5">
      <c r="A8" s="3263" t="s">
        <v>2885</v>
      </c>
      <c r="B8" s="3263">
        <f>SUM(I14:I23)</f>
        <v>0</v>
      </c>
      <c r="C8" s="3263">
        <f>ROUND(B8*10000/$B$1,0)</f>
        <v>0</v>
      </c>
      <c r="D8" s="3263">
        <f>ROUND(B8*10000/$B$2,0)</f>
        <v>0</v>
      </c>
      <c r="E8" s="3262"/>
      <c r="F8" s="3260"/>
      <c r="G8" s="3260"/>
    </row>
    <row r="9" spans="1:10" ht="16.5">
      <c r="A9" s="3263" t="s">
        <v>2986</v>
      </c>
      <c r="B9" s="3265"/>
      <c r="C9" s="3262"/>
      <c r="D9" s="3262"/>
      <c r="E9" s="3262"/>
      <c r="F9" s="3260"/>
      <c r="G9" s="3260"/>
    </row>
    <row r="10" spans="1:10" ht="16.5">
      <c r="A10" s="3263" t="s">
        <v>2985</v>
      </c>
      <c r="B10" s="3265"/>
      <c r="C10" s="3262"/>
      <c r="D10" s="3262"/>
      <c r="E10" s="3262"/>
      <c r="F10" s="3260"/>
      <c r="G10" s="3260"/>
    </row>
    <row r="11" spans="1:10" ht="16.5">
      <c r="A11" s="3263" t="s">
        <v>3001</v>
      </c>
      <c r="B11" s="3265"/>
      <c r="C11" s="3262"/>
      <c r="D11" s="3262"/>
      <c r="E11" s="3262"/>
      <c r="F11" s="3260"/>
      <c r="G11" s="3260"/>
    </row>
    <row r="12" spans="1:10" ht="16.5">
      <c r="A12" s="3262"/>
      <c r="B12" s="3262"/>
      <c r="C12" s="3262"/>
      <c r="D12" s="3262"/>
      <c r="E12" s="3262"/>
      <c r="F12" s="3260"/>
      <c r="G12" s="3260"/>
    </row>
    <row r="13" spans="1:10" ht="33">
      <c r="A13" s="3268" t="s">
        <v>3000</v>
      </c>
      <c r="B13" s="3261" t="s">
        <v>2997</v>
      </c>
      <c r="C13" s="3261" t="s">
        <v>2999</v>
      </c>
      <c r="D13" s="3261" t="s">
        <v>2998</v>
      </c>
      <c r="E13" s="3263" t="s">
        <v>2990</v>
      </c>
      <c r="F13" s="3263" t="s">
        <v>2989</v>
      </c>
      <c r="G13" s="3261" t="s">
        <v>2983</v>
      </c>
      <c r="H13" s="3261" t="s">
        <v>2994</v>
      </c>
      <c r="I13" s="3261" t="s">
        <v>2982</v>
      </c>
      <c r="J13" s="3260"/>
    </row>
    <row r="14" spans="1:10" ht="16.5">
      <c r="A14" s="3259" t="s">
        <v>2981</v>
      </c>
      <c r="B14" s="3261">
        <f>'数据-汇总表'!E3</f>
        <v>20377.830000000002</v>
      </c>
      <c r="C14" s="3261">
        <f>'数据-汇总表'!D3</f>
        <v>72086.12</v>
      </c>
      <c r="D14" s="3261">
        <f ca="1">结果表!H118</f>
        <v>10658</v>
      </c>
      <c r="E14" s="3261">
        <f ca="1">ROUND(D14*10000/B14,0)</f>
        <v>5230</v>
      </c>
      <c r="F14" s="3261">
        <f ca="1">ROUND(D14*10000/C14,0)</f>
        <v>1479</v>
      </c>
      <c r="G14" s="3261">
        <f ca="1">结果表!D122</f>
        <v>10658</v>
      </c>
      <c r="H14" s="3261" t="str">
        <f>结果表!D124</f>
        <v>——</v>
      </c>
      <c r="I14" s="3261" t="str">
        <f>结果表!D126</f>
        <v>——</v>
      </c>
      <c r="J14" s="3260"/>
    </row>
    <row r="15" spans="1:10" ht="16.5">
      <c r="A15" s="3259" t="s">
        <v>2980</v>
      </c>
      <c r="B15" s="3266"/>
      <c r="C15" s="3266"/>
      <c r="D15" s="3266"/>
      <c r="E15" s="3261" t="e">
        <f t="shared" ref="E15:E23" si="0">ROUND(D15*10000/B15,0)</f>
        <v>#DIV/0!</v>
      </c>
      <c r="F15" s="3261" t="e">
        <f t="shared" ref="F15:F23" si="1">ROUND(D15*10000/C15,0)</f>
        <v>#DIV/0!</v>
      </c>
      <c r="G15" s="3267"/>
      <c r="H15" s="3267"/>
      <c r="I15" s="3266"/>
      <c r="J15" s="3260"/>
    </row>
    <row r="16" spans="1:10" ht="16.5">
      <c r="A16" s="3259" t="s">
        <v>2979</v>
      </c>
      <c r="B16" s="3266"/>
      <c r="C16" s="3266"/>
      <c r="D16" s="3266"/>
      <c r="E16" s="3261" t="e">
        <f t="shared" si="0"/>
        <v>#DIV/0!</v>
      </c>
      <c r="F16" s="3261" t="e">
        <f t="shared" si="1"/>
        <v>#DIV/0!</v>
      </c>
      <c r="G16" s="3267"/>
      <c r="H16" s="3267"/>
      <c r="I16" s="3266"/>
    </row>
    <row r="17" spans="1:9" ht="16.5">
      <c r="A17" s="3259" t="s">
        <v>2978</v>
      </c>
      <c r="B17" s="3266"/>
      <c r="C17" s="3266"/>
      <c r="D17" s="3266"/>
      <c r="E17" s="3261" t="e">
        <f t="shared" si="0"/>
        <v>#DIV/0!</v>
      </c>
      <c r="F17" s="3261" t="e">
        <f t="shared" si="1"/>
        <v>#DIV/0!</v>
      </c>
      <c r="G17" s="3267"/>
      <c r="H17" s="3267"/>
      <c r="I17" s="3266"/>
    </row>
    <row r="18" spans="1:9" ht="16.5">
      <c r="A18" s="3259" t="s">
        <v>2977</v>
      </c>
      <c r="B18" s="3266"/>
      <c r="C18" s="3266"/>
      <c r="D18" s="3266"/>
      <c r="E18" s="3261" t="e">
        <f t="shared" si="0"/>
        <v>#DIV/0!</v>
      </c>
      <c r="F18" s="3261" t="e">
        <f t="shared" si="1"/>
        <v>#DIV/0!</v>
      </c>
      <c r="G18" s="3266"/>
      <c r="H18" s="3266"/>
      <c r="I18" s="3266"/>
    </row>
    <row r="19" spans="1:9" ht="16.5">
      <c r="A19" s="3259" t="s">
        <v>2976</v>
      </c>
      <c r="B19" s="3266"/>
      <c r="C19" s="3266"/>
      <c r="D19" s="3266"/>
      <c r="E19" s="3261" t="e">
        <f t="shared" si="0"/>
        <v>#DIV/0!</v>
      </c>
      <c r="F19" s="3261" t="e">
        <f t="shared" si="1"/>
        <v>#DIV/0!</v>
      </c>
      <c r="G19" s="3266"/>
      <c r="H19" s="3266"/>
      <c r="I19" s="3266"/>
    </row>
    <row r="20" spans="1:9" ht="16.5">
      <c r="A20" s="3259" t="s">
        <v>2975</v>
      </c>
      <c r="B20" s="3266"/>
      <c r="C20" s="3266"/>
      <c r="D20" s="3266"/>
      <c r="E20" s="3261" t="e">
        <f t="shared" si="0"/>
        <v>#DIV/0!</v>
      </c>
      <c r="F20" s="3261" t="e">
        <f t="shared" si="1"/>
        <v>#DIV/0!</v>
      </c>
      <c r="G20" s="3266"/>
      <c r="H20" s="3266"/>
      <c r="I20" s="3266"/>
    </row>
    <row r="21" spans="1:9" ht="16.5">
      <c r="A21" s="3259" t="s">
        <v>2974</v>
      </c>
      <c r="B21" s="3266"/>
      <c r="C21" s="3266"/>
      <c r="D21" s="3266"/>
      <c r="E21" s="3261" t="e">
        <f t="shared" si="0"/>
        <v>#DIV/0!</v>
      </c>
      <c r="F21" s="3261" t="e">
        <f t="shared" si="1"/>
        <v>#DIV/0!</v>
      </c>
      <c r="G21" s="3266"/>
      <c r="H21" s="3266"/>
      <c r="I21" s="3266"/>
    </row>
    <row r="22" spans="1:9" ht="16.5">
      <c r="A22" s="3259" t="s">
        <v>2973</v>
      </c>
      <c r="B22" s="3266"/>
      <c r="C22" s="3266"/>
      <c r="D22" s="3266"/>
      <c r="E22" s="3261" t="e">
        <f t="shared" si="0"/>
        <v>#DIV/0!</v>
      </c>
      <c r="F22" s="3261" t="e">
        <f t="shared" si="1"/>
        <v>#DIV/0!</v>
      </c>
      <c r="G22" s="3266"/>
      <c r="H22" s="3266"/>
      <c r="I22" s="3266"/>
    </row>
    <row r="23" spans="1:9" ht="16.5">
      <c r="A23" s="3259" t="s">
        <v>2972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K107" sqref="K10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t="s">
        <v>39</v>
      </c>
      <c r="D1" s="1243"/>
      <c r="E1" s="1243"/>
      <c r="F1" s="2084" t="s">
        <v>2119</v>
      </c>
      <c r="G1" s="2057" t="s">
        <v>3063</v>
      </c>
      <c r="H1" s="2113" t="str">
        <f>IF(G1="现房","——","估价对象范围")</f>
        <v>——</v>
      </c>
      <c r="I1" s="2090" t="s">
        <v>3082</v>
      </c>
    </row>
    <row r="2" spans="1:12" ht="21.75" customHeight="1" thickBot="1">
      <c r="A2" s="3455" t="str">
        <f>项目基本情况!S2</f>
        <v>北京市延庆县永宁镇迎晖路22号院2号等6幢楼房地产</v>
      </c>
      <c r="B2" s="3456"/>
      <c r="C2" s="3456"/>
      <c r="D2" s="3456"/>
      <c r="E2" s="3456"/>
      <c r="F2" s="3456"/>
      <c r="G2" s="3456"/>
      <c r="H2" s="3456"/>
      <c r="I2" s="3457"/>
    </row>
    <row r="3" spans="1:12" ht="12">
      <c r="A3" s="3458" t="s">
        <v>10</v>
      </c>
      <c r="B3" s="3459"/>
      <c r="C3" s="3459"/>
      <c r="D3" s="3459"/>
      <c r="E3" s="3459"/>
      <c r="F3" s="3459"/>
      <c r="G3" s="3459"/>
      <c r="H3" s="3459"/>
      <c r="I3" s="3459"/>
    </row>
    <row r="4" spans="1:12" ht="13.5">
      <c r="A4" s="429" t="s">
        <v>11</v>
      </c>
      <c r="B4" s="430" t="s">
        <v>12</v>
      </c>
      <c r="C4" s="431" t="s">
        <v>3083</v>
      </c>
      <c r="D4" s="431" t="s">
        <v>3067</v>
      </c>
      <c r="E4" s="3460" t="s">
        <v>766</v>
      </c>
      <c r="F4" s="3461"/>
      <c r="G4" s="3461"/>
      <c r="H4" s="3461"/>
      <c r="I4" s="3462"/>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37" t="s">
        <v>13</v>
      </c>
      <c r="B5" s="3424">
        <v>25</v>
      </c>
      <c r="C5" s="3440">
        <v>15</v>
      </c>
      <c r="D5" s="3440">
        <v>24</v>
      </c>
      <c r="E5" s="471" t="s">
        <v>810</v>
      </c>
      <c r="F5" s="432"/>
      <c r="G5" s="432"/>
      <c r="H5" s="432"/>
      <c r="I5" s="433"/>
    </row>
    <row r="6" spans="1:12" ht="12.75" customHeight="1">
      <c r="A6" s="3437"/>
      <c r="B6" s="3424"/>
      <c r="C6" s="3441"/>
      <c r="D6" s="3441"/>
      <c r="E6" s="471" t="s">
        <v>811</v>
      </c>
      <c r="F6" s="432"/>
      <c r="G6" s="432"/>
      <c r="H6" s="432"/>
      <c r="I6" s="433"/>
    </row>
    <row r="7" spans="1:12" ht="12.75" customHeight="1">
      <c r="A7" s="3437"/>
      <c r="B7" s="3424"/>
      <c r="C7" s="3442"/>
      <c r="D7" s="3442"/>
      <c r="E7" s="471" t="s">
        <v>812</v>
      </c>
      <c r="F7" s="432"/>
      <c r="G7" s="432"/>
      <c r="H7" s="432"/>
      <c r="I7" s="433"/>
    </row>
    <row r="8" spans="1:12" ht="12.75" customHeight="1">
      <c r="A8" s="3437" t="s">
        <v>14</v>
      </c>
      <c r="B8" s="3424">
        <v>15</v>
      </c>
      <c r="C8" s="3440">
        <v>10</v>
      </c>
      <c r="D8" s="3440">
        <v>14</v>
      </c>
      <c r="E8" s="471" t="s">
        <v>813</v>
      </c>
      <c r="F8" s="432"/>
      <c r="G8" s="432"/>
      <c r="H8" s="432"/>
      <c r="I8" s="433"/>
    </row>
    <row r="9" spans="1:12" ht="12.75" customHeight="1">
      <c r="A9" s="3437"/>
      <c r="B9" s="3424"/>
      <c r="C9" s="3442"/>
      <c r="D9" s="3442"/>
      <c r="E9" s="471" t="s">
        <v>814</v>
      </c>
      <c r="F9" s="432"/>
      <c r="G9" s="432"/>
      <c r="H9" s="432"/>
      <c r="I9" s="433"/>
    </row>
    <row r="10" spans="1:12" ht="12.75" customHeight="1">
      <c r="A10" s="3437" t="s">
        <v>15</v>
      </c>
      <c r="B10" s="3424">
        <v>15</v>
      </c>
      <c r="C10" s="3440">
        <v>10</v>
      </c>
      <c r="D10" s="3440">
        <v>14</v>
      </c>
      <c r="E10" s="471" t="s">
        <v>815</v>
      </c>
      <c r="F10" s="432"/>
      <c r="G10" s="432"/>
      <c r="H10" s="432"/>
      <c r="I10" s="433"/>
    </row>
    <row r="11" spans="1:12" ht="12.75" customHeight="1">
      <c r="A11" s="3437"/>
      <c r="B11" s="3424"/>
      <c r="C11" s="3442"/>
      <c r="D11" s="3442"/>
      <c r="E11" s="471" t="s">
        <v>816</v>
      </c>
      <c r="F11" s="432"/>
      <c r="G11" s="432"/>
      <c r="H11" s="432"/>
      <c r="I11" s="433"/>
    </row>
    <row r="12" spans="1:12" ht="12.75" customHeight="1">
      <c r="A12" s="3437" t="s">
        <v>16</v>
      </c>
      <c r="B12" s="3424">
        <v>15</v>
      </c>
      <c r="C12" s="3440">
        <v>10</v>
      </c>
      <c r="D12" s="3440">
        <v>14</v>
      </c>
      <c r="E12" s="471" t="s">
        <v>817</v>
      </c>
      <c r="F12" s="432"/>
      <c r="G12" s="432"/>
      <c r="H12" s="432"/>
      <c r="I12" s="433"/>
    </row>
    <row r="13" spans="1:12" ht="12.75" customHeight="1">
      <c r="A13" s="3437"/>
      <c r="B13" s="3424"/>
      <c r="C13" s="3442"/>
      <c r="D13" s="3442"/>
      <c r="E13" s="471" t="s">
        <v>818</v>
      </c>
      <c r="F13" s="432"/>
      <c r="G13" s="432"/>
      <c r="H13" s="432"/>
      <c r="I13" s="433"/>
    </row>
    <row r="14" spans="1:12" ht="12.75" customHeight="1">
      <c r="A14" s="3437" t="s">
        <v>17</v>
      </c>
      <c r="B14" s="3424">
        <v>30</v>
      </c>
      <c r="C14" s="3440">
        <v>15</v>
      </c>
      <c r="D14" s="3440">
        <v>25</v>
      </c>
      <c r="E14" s="471" t="s">
        <v>819</v>
      </c>
      <c r="F14" s="432"/>
      <c r="G14" s="432"/>
      <c r="H14" s="432"/>
      <c r="I14" s="433"/>
    </row>
    <row r="15" spans="1:12" ht="12.75" customHeight="1">
      <c r="A15" s="3437"/>
      <c r="B15" s="3424"/>
      <c r="C15" s="3441"/>
      <c r="D15" s="3441"/>
      <c r="E15" s="471" t="s">
        <v>820</v>
      </c>
      <c r="F15" s="432"/>
      <c r="G15" s="432"/>
      <c r="H15" s="432"/>
      <c r="I15" s="433"/>
    </row>
    <row r="16" spans="1:12" ht="12.75" customHeight="1">
      <c r="A16" s="3437"/>
      <c r="B16" s="3424"/>
      <c r="C16" s="3442"/>
      <c r="D16" s="3442"/>
      <c r="E16" s="471" t="s">
        <v>821</v>
      </c>
      <c r="F16" s="432"/>
      <c r="G16" s="432"/>
      <c r="H16" s="432"/>
      <c r="I16" s="433"/>
    </row>
    <row r="17" spans="1:35" ht="14.25">
      <c r="A17" s="434" t="s">
        <v>18</v>
      </c>
      <c r="B17" s="38"/>
      <c r="C17" s="472">
        <f>SUM(C5:C16)</f>
        <v>60</v>
      </c>
      <c r="D17" s="472">
        <f>SUM(D5:D16)</f>
        <v>91</v>
      </c>
      <c r="E17" s="2279"/>
      <c r="F17" s="2279"/>
      <c r="G17" s="2279"/>
      <c r="H17" s="2279"/>
      <c r="I17" s="2279"/>
      <c r="K17" s="2186"/>
      <c r="L17" s="2187" t="s">
        <v>2327</v>
      </c>
      <c r="M17" s="2187" t="s">
        <v>2328</v>
      </c>
    </row>
    <row r="18" spans="1:35" ht="15" thickBot="1">
      <c r="A18" s="435" t="s">
        <v>19</v>
      </c>
      <c r="B18" s="18"/>
      <c r="C18" s="473">
        <f>ROUND(C17/SUM(C17:D17),2)</f>
        <v>0.4</v>
      </c>
      <c r="D18" s="473">
        <f>1-C18</f>
        <v>0.6</v>
      </c>
      <c r="E18" s="2279"/>
      <c r="F18" s="2279"/>
      <c r="G18" s="2279"/>
      <c r="H18" s="2279"/>
      <c r="I18" s="2279"/>
      <c r="K18" s="2186" t="s">
        <v>2141</v>
      </c>
      <c r="L18" s="2186">
        <f>IF(C1="",'数据-汇总表'!E3,SUMIF(项目类型,C1,'数据-汇总表'!E17:E26)+SUMIF(项目类型,C1,'数据-汇总表'!I17:I26))</f>
        <v>20377.830000000002</v>
      </c>
      <c r="M18" s="2186">
        <f>IF(C1="",'数据-汇总表'!E3,SUMIF(项目类型,C1,'数据-汇总表'!E17:E26))</f>
        <v>20377.830000000002</v>
      </c>
    </row>
    <row r="19" spans="1:35" ht="14.25">
      <c r="A19" s="436" t="s">
        <v>180</v>
      </c>
      <c r="B19" s="437" t="s">
        <v>20</v>
      </c>
      <c r="C19" s="474">
        <f ca="1">SUMIF(INDIRECT("'"&amp;C4&amp;"'"&amp;"!A:A"),结果表!B19,INDIRECT("'"&amp;C4&amp;"'"&amp;"!B:B"))</f>
        <v>9449</v>
      </c>
      <c r="D19" s="475">
        <f ca="1">SUMIF(INDIRECT("'"&amp;D4&amp;"'"&amp;"!A:A"),结果表!B19,INDIRECT("'"&amp;D4&amp;"'"&amp;"!B:B"))</f>
        <v>11464</v>
      </c>
      <c r="E19" s="436" t="s">
        <v>179</v>
      </c>
      <c r="F19" s="437" t="s">
        <v>20</v>
      </c>
      <c r="G19" s="476">
        <f ca="1">ROUND(C19*$C$18+D19*$D$18,0)</f>
        <v>10658</v>
      </c>
      <c r="H19" s="438" t="s">
        <v>228</v>
      </c>
      <c r="I19" s="2279"/>
      <c r="K19" s="2186" t="s">
        <v>2142</v>
      </c>
      <c r="L19" s="2186">
        <f>IF(C1="",'数据-汇总表'!D3,SUMIF(项目类型,C1,'数据-汇总表'!D17:D26)+SUMIF(项目类型,C1,'数据-汇总表'!H17:H27))</f>
        <v>72086.12</v>
      </c>
      <c r="M19" s="2186">
        <f>IF(C1="",'数据-汇总表'!D3,SUMIF(项目类型,C1,'数据-汇总表'!D17:D26))</f>
        <v>72086.12</v>
      </c>
    </row>
    <row r="20" spans="1:35" ht="14.25">
      <c r="A20" s="439"/>
      <c r="B20" s="440" t="s">
        <v>21</v>
      </c>
      <c r="C20" s="477">
        <f ca="1">SUMIF(INDIRECT("'"&amp;C4&amp;"'"&amp;"!A:A"),结果表!B20,INDIRECT("'"&amp;C4&amp;"'"&amp;"!B:B"))</f>
        <v>4637</v>
      </c>
      <c r="D20" s="478">
        <f ca="1">SUMIF(INDIRECT("'"&amp;D4&amp;"'"&amp;"!A:A"),结果表!B20,INDIRECT("'"&amp;D4&amp;"'"&amp;"!B:B"))</f>
        <v>5626</v>
      </c>
      <c r="E20" s="439"/>
      <c r="F20" s="440" t="s">
        <v>21</v>
      </c>
      <c r="G20" s="479">
        <f ca="1">ROUND(C20*$C$18+D20*$D$18,0)</f>
        <v>5230</v>
      </c>
      <c r="H20" s="441" t="s">
        <v>227</v>
      </c>
      <c r="I20" s="2279"/>
    </row>
    <row r="21" spans="1:35" ht="15" customHeight="1" thickBot="1">
      <c r="A21" s="443"/>
      <c r="B21" s="444" t="s">
        <v>22</v>
      </c>
      <c r="C21" s="1422">
        <f ca="1">ROUND(C19*10000/L19,0)</f>
        <v>1311</v>
      </c>
      <c r="D21" s="1423">
        <f ca="1">ROUND(D19*10000/L19,0)</f>
        <v>1590</v>
      </c>
      <c r="E21" s="443"/>
      <c r="F21" s="444" t="s">
        <v>22</v>
      </c>
      <c r="G21" s="480">
        <f ca="1">ROUND(G19*10000/L19,0)</f>
        <v>1479</v>
      </c>
      <c r="H21" s="445" t="s">
        <v>227</v>
      </c>
      <c r="I21" s="2279"/>
    </row>
    <row r="22" spans="1:35" ht="15" thickBot="1">
      <c r="A22" s="275" t="s">
        <v>181</v>
      </c>
      <c r="B22" s="1424"/>
      <c r="C22" s="1425"/>
      <c r="D22" s="1426">
        <f ca="1">IF(C19&lt;D19,D19/C19-1,C19/D19-1)</f>
        <v>0.21325007937347862</v>
      </c>
      <c r="E22" s="2279"/>
      <c r="F22" s="2279"/>
      <c r="G22" s="2279"/>
      <c r="H22" s="2279"/>
      <c r="I22" s="2279"/>
    </row>
    <row r="23" spans="1:35" ht="12.75" thickBot="1">
      <c r="A23" s="1243"/>
      <c r="B23" s="1243"/>
      <c r="C23" s="1243"/>
      <c r="D23" s="1243"/>
      <c r="E23" s="2279"/>
      <c r="F23" s="2279"/>
      <c r="G23" s="2279"/>
      <c r="H23" s="2279"/>
      <c r="I23" s="2279"/>
    </row>
    <row r="24" spans="1:35" ht="14.25">
      <c r="A24" s="3431" t="s">
        <v>177</v>
      </c>
      <c r="B24" s="437" t="s">
        <v>20</v>
      </c>
      <c r="C24" s="476">
        <f>IF(B30=0,0,D30)</f>
        <v>0</v>
      </c>
      <c r="D24" s="446"/>
      <c r="E24" s="2279"/>
      <c r="F24" s="2279"/>
      <c r="G24" s="2279"/>
      <c r="H24" s="2279"/>
      <c r="I24" s="2279"/>
    </row>
    <row r="25" spans="1:35" ht="14.25">
      <c r="A25" s="3432"/>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10658</v>
      </c>
      <c r="D32" s="2094" t="s">
        <v>210</v>
      </c>
      <c r="E32" s="2279"/>
      <c r="F32" s="2279"/>
      <c r="G32" s="2279"/>
      <c r="H32" s="2279"/>
      <c r="I32" s="2279"/>
    </row>
    <row r="33" spans="1:15" ht="13.5">
      <c r="A33" s="457" t="s">
        <v>767</v>
      </c>
      <c r="B33" s="2093"/>
      <c r="C33" s="2879" t="s">
        <v>3086</v>
      </c>
      <c r="D33" s="2882" t="s">
        <v>3083</v>
      </c>
      <c r="E33" s="2091" t="s">
        <v>2121</v>
      </c>
      <c r="F33" s="2092" t="str">
        <f>IF(D32="楼面单价","取值（单价）","取值（总价）")</f>
        <v>取值（总价）</v>
      </c>
      <c r="G33" s="2279"/>
      <c r="H33" s="2279"/>
      <c r="I33" s="2279"/>
    </row>
    <row r="34" spans="1:15" ht="15">
      <c r="A34" s="458"/>
      <c r="B34" s="459" t="s">
        <v>770</v>
      </c>
      <c r="C34" s="489">
        <f ca="1">IF(C33="自定义",F34,C32-C35)</f>
        <v>4764</v>
      </c>
      <c r="D34" s="2095">
        <f ca="1">IF(C33="自定义",ROUND(C34/C32,3),IF(C33="收益比率",SUMIF(INDIRECT("'"&amp;D33&amp;"'"&amp;"!b:b"),"土地收益比率",INDIRECT("'"&amp;D33&amp;"'"&amp;"!c:c")),SUMIF(INDIRECT("'"&amp;D33&amp;"'"&amp;"!b:b"),"土地成本比率",INDIRECT("'"&amp;D33&amp;"'"&amp;"!c:c"))))</f>
        <v>0.44699999999999995</v>
      </c>
      <c r="E34" s="2880" t="s">
        <v>2122</v>
      </c>
      <c r="F34" s="3256"/>
      <c r="G34" s="2279"/>
      <c r="H34" s="2279"/>
      <c r="I34" s="2279"/>
    </row>
    <row r="35" spans="1:15" ht="15.75" thickBot="1">
      <c r="A35" s="461"/>
      <c r="B35" s="2883" t="s">
        <v>772</v>
      </c>
      <c r="C35" s="2884">
        <f ca="1">IF(C33="自定义",F35,ROUND(C32*D35,0))</f>
        <v>5894</v>
      </c>
      <c r="D35" s="2885">
        <f ca="1">IF(C33="自定义",ROUND(C35/C32,3),IF(C33="收益比率",SUMIF(INDIRECT("'"&amp;D33&amp;"'"&amp;"!b:b"),"建筑物收益比率",INDIRECT("'"&amp;D33&amp;"'"&amp;"!c:c")),SUMIF(INDIRECT("'"&amp;D33&amp;"'"&amp;"!b:b"),"建筑物成本比率",INDIRECT("'"&amp;D33&amp;"'"&amp;"!c:c"))))</f>
        <v>0.55300000000000005</v>
      </c>
      <c r="E35" s="2881" t="s">
        <v>2123</v>
      </c>
      <c r="F35" s="495"/>
      <c r="G35" s="2279"/>
      <c r="H35" s="2279"/>
      <c r="I35" s="2279"/>
    </row>
    <row r="36" spans="1:15" ht="15.75" thickBot="1">
      <c r="A36" s="3447" t="s">
        <v>768</v>
      </c>
      <c r="B36" s="455" t="s">
        <v>769</v>
      </c>
      <c r="C36" s="486"/>
      <c r="D36" s="456"/>
      <c r="E36" s="1246"/>
      <c r="F36" s="2280"/>
      <c r="G36" s="2279"/>
      <c r="H36" s="2279"/>
      <c r="I36" s="2279"/>
    </row>
    <row r="37" spans="1:15" ht="15.75" thickBot="1">
      <c r="A37" s="3448"/>
      <c r="B37" s="13" t="s">
        <v>771</v>
      </c>
      <c r="C37" s="488"/>
      <c r="D37" s="2228"/>
      <c r="E37" s="2228"/>
      <c r="F37" s="2280"/>
      <c r="G37" s="2279"/>
      <c r="H37" s="2279"/>
      <c r="I37" s="2279"/>
    </row>
    <row r="38" spans="1:15" ht="15.75" thickBot="1">
      <c r="A38" s="3449"/>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428" t="s">
        <v>802</v>
      </c>
      <c r="B45" s="3429"/>
      <c r="C45" s="3430"/>
      <c r="D45" s="496">
        <f ca="1">ROUND(H101*F45,0)</f>
        <v>10658</v>
      </c>
      <c r="E45" s="497" t="s">
        <v>803</v>
      </c>
      <c r="F45" s="498">
        <v>1</v>
      </c>
      <c r="G45" s="499" t="s">
        <v>804</v>
      </c>
      <c r="H45" s="2279"/>
      <c r="I45" s="2279"/>
      <c r="J45" s="3488" t="s">
        <v>215</v>
      </c>
      <c r="K45" s="3488"/>
      <c r="L45" s="3488"/>
      <c r="M45" s="3488"/>
      <c r="N45" s="3488"/>
      <c r="O45" s="3488"/>
    </row>
    <row r="46" spans="1:15" ht="14.25" customHeight="1">
      <c r="A46" s="3425" t="s">
        <v>287</v>
      </c>
      <c r="B46" s="3426"/>
      <c r="C46" s="3426"/>
      <c r="D46" s="3426"/>
      <c r="E46" s="3426"/>
      <c r="F46" s="3426"/>
      <c r="G46" s="3427"/>
      <c r="H46" s="2281"/>
      <c r="I46" s="2234"/>
      <c r="J46" s="1501">
        <v>1</v>
      </c>
      <c r="K46" s="3488" t="s">
        <v>216</v>
      </c>
      <c r="L46" s="3488"/>
      <c r="M46" s="3512"/>
      <c r="N46" s="3512"/>
      <c r="O46" s="3512"/>
    </row>
    <row r="47" spans="1:15" ht="12" customHeight="1">
      <c r="A47" s="501" t="s">
        <v>288</v>
      </c>
      <c r="B47" s="502"/>
      <c r="C47" s="503"/>
      <c r="D47" s="504" t="s">
        <v>289</v>
      </c>
      <c r="E47" s="313" t="s">
        <v>290</v>
      </c>
      <c r="F47" s="505" t="s">
        <v>805</v>
      </c>
      <c r="G47" s="506" t="s">
        <v>806</v>
      </c>
      <c r="H47" s="2281"/>
      <c r="I47" s="2234"/>
      <c r="J47" s="1501">
        <v>2</v>
      </c>
      <c r="K47" s="3488" t="s">
        <v>217</v>
      </c>
      <c r="L47" s="3488"/>
      <c r="M47" s="3513">
        <f>'数据-取费表'!B2</f>
        <v>42926</v>
      </c>
      <c r="N47" s="3513"/>
      <c r="O47" s="3513"/>
    </row>
    <row r="48" spans="1:15" ht="25.5">
      <c r="A48" s="3454" t="s">
        <v>291</v>
      </c>
      <c r="B48" s="3439"/>
      <c r="C48" s="3439"/>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88" t="s">
        <v>784</v>
      </c>
      <c r="L48" s="3488"/>
      <c r="M48" s="3514">
        <f ca="1">H101</f>
        <v>10658</v>
      </c>
      <c r="N48" s="3514"/>
      <c r="O48" s="3514"/>
    </row>
    <row r="49" spans="1:35" ht="25.5" customHeight="1">
      <c r="A49" s="508" t="s">
        <v>807</v>
      </c>
      <c r="B49" s="3423" t="s">
        <v>808</v>
      </c>
      <c r="C49" s="3423"/>
      <c r="D49" s="509">
        <v>0</v>
      </c>
      <c r="E49" s="312" t="s">
        <v>809</v>
      </c>
      <c r="F49" s="317" t="s">
        <v>171</v>
      </c>
      <c r="G49" s="3494"/>
      <c r="H49" s="2279"/>
      <c r="I49" s="2282"/>
      <c r="J49" s="1501">
        <v>4</v>
      </c>
      <c r="K49" s="3488" t="str">
        <f>IF(项目基本情况!E8="房地产抵押价值","房地产抵押价值","抵押担保权已注销时的房地产抵押价值")</f>
        <v>抵押担保权已注销时的房地产抵押价值</v>
      </c>
      <c r="L49" s="3488"/>
      <c r="M49" s="3514" t="str">
        <f>IF(项目基本情况!E8="房地产抵押价值",H107,H109)</f>
        <v>——</v>
      </c>
      <c r="N49" s="3514"/>
      <c r="O49" s="3514"/>
    </row>
    <row r="50" spans="1:35" ht="25.5" customHeight="1">
      <c r="A50" s="510"/>
      <c r="B50" s="3423" t="s">
        <v>294</v>
      </c>
      <c r="C50" s="3423"/>
      <c r="D50" s="511"/>
      <c r="E50" s="320"/>
      <c r="F50" s="512"/>
      <c r="G50" s="3495"/>
      <c r="H50" s="2279"/>
      <c r="I50" s="2282"/>
      <c r="J50" s="3488" t="s">
        <v>218</v>
      </c>
      <c r="K50" s="3488"/>
      <c r="L50" s="3488"/>
      <c r="M50" s="3488"/>
      <c r="N50" s="3488"/>
      <c r="O50" s="3488"/>
    </row>
    <row r="51" spans="1:35" ht="12" customHeight="1">
      <c r="A51" s="513"/>
      <c r="B51" s="3423" t="s">
        <v>295</v>
      </c>
      <c r="C51" s="3423"/>
      <c r="D51" s="514"/>
      <c r="E51" s="319"/>
      <c r="F51" s="512"/>
      <c r="G51" s="3496"/>
      <c r="H51" s="2279"/>
      <c r="I51" s="2282"/>
      <c r="J51" s="3275" t="s">
        <v>219</v>
      </c>
      <c r="K51" s="3488" t="s">
        <v>220</v>
      </c>
      <c r="L51" s="3488"/>
      <c r="M51" s="3275" t="s">
        <v>3009</v>
      </c>
      <c r="N51" s="3275" t="s">
        <v>221</v>
      </c>
      <c r="O51" s="3275" t="s">
        <v>222</v>
      </c>
    </row>
    <row r="52" spans="1:35" ht="24" customHeight="1">
      <c r="A52" s="515" t="s">
        <v>296</v>
      </c>
      <c r="B52" s="3423" t="s">
        <v>297</v>
      </c>
      <c r="C52" s="3423"/>
      <c r="D52" s="514">
        <f ca="1">ROUND(D45*'数据-取费表'!B41/(1+'数据-取费表'!C42),0)</f>
        <v>558</v>
      </c>
      <c r="E52" s="299" t="s">
        <v>298</v>
      </c>
      <c r="F52" s="516">
        <f>'数据-取费表'!B41</f>
        <v>5.5000000000000007E-2</v>
      </c>
      <c r="G52" s="466"/>
      <c r="H52" s="2279"/>
      <c r="I52" s="2282"/>
      <c r="J52" s="1501">
        <v>1</v>
      </c>
      <c r="K52" s="3489" t="s">
        <v>785</v>
      </c>
      <c r="L52" s="3489"/>
      <c r="M52" s="3276">
        <f>D48</f>
        <v>0</v>
      </c>
      <c r="N52" s="1500" t="str">
        <f>E48</f>
        <v>销售额×税（费）率</v>
      </c>
      <c r="O52" s="3277" t="str">
        <f>F48</f>
        <v>免征</v>
      </c>
    </row>
    <row r="53" spans="1:35" ht="12" customHeight="1">
      <c r="A53" s="515" t="s">
        <v>299</v>
      </c>
      <c r="B53" s="3445" t="s">
        <v>300</v>
      </c>
      <c r="C53" s="3446"/>
      <c r="D53" s="514">
        <f ca="1">ROUND(D45*'数据-取费表'!B41/(1+'数据-取费表'!C42),0)</f>
        <v>558</v>
      </c>
      <c r="E53" s="299" t="s">
        <v>298</v>
      </c>
      <c r="F53" s="516">
        <f>'数据-取费表'!B41</f>
        <v>5.5000000000000007E-2</v>
      </c>
      <c r="G53" s="466"/>
      <c r="H53" s="2279"/>
      <c r="I53" s="2282"/>
      <c r="J53" s="1501">
        <v>2</v>
      </c>
      <c r="K53" s="3489" t="s">
        <v>786</v>
      </c>
      <c r="L53" s="3489"/>
      <c r="M53" s="3276">
        <f t="shared" ref="M53:O54" ca="1" si="0">D55</f>
        <v>5</v>
      </c>
      <c r="N53" s="1500" t="str">
        <f t="shared" si="0"/>
        <v>销售额×税（费）率</v>
      </c>
      <c r="O53" s="3277">
        <f t="shared" si="0"/>
        <v>5.0000000000000001E-4</v>
      </c>
    </row>
    <row r="54" spans="1:35" ht="12" customHeight="1">
      <c r="A54" s="515" t="s">
        <v>301</v>
      </c>
      <c r="B54" s="3445" t="s">
        <v>302</v>
      </c>
      <c r="C54" s="3446"/>
      <c r="D54" s="514">
        <f ca="1">C68</f>
        <v>558</v>
      </c>
      <c r="E54" s="319" t="s">
        <v>303</v>
      </c>
      <c r="F54" s="516">
        <f>'数据-取费表'!B41</f>
        <v>5.5000000000000007E-2</v>
      </c>
      <c r="G54" s="466"/>
      <c r="H54" s="2283"/>
      <c r="I54" s="2282"/>
      <c r="J54" s="1501">
        <v>3</v>
      </c>
      <c r="K54" s="3489" t="s">
        <v>787</v>
      </c>
      <c r="L54" s="3489"/>
      <c r="M54" s="3276">
        <f t="shared" ca="1" si="0"/>
        <v>6042</v>
      </c>
      <c r="N54" s="1500" t="str">
        <f t="shared" si="0"/>
        <v>增值额×税（费）率</v>
      </c>
      <c r="O54" s="3278" t="str">
        <f t="shared" si="0"/>
        <v>——</v>
      </c>
    </row>
    <row r="55" spans="1:35" ht="24" customHeight="1">
      <c r="A55" s="3438" t="s">
        <v>304</v>
      </c>
      <c r="B55" s="3439"/>
      <c r="C55" s="3439"/>
      <c r="D55" s="517">
        <f ca="1">IF(H55="个人住宅",0,ROUND(D45*I55,0))</f>
        <v>5</v>
      </c>
      <c r="E55" s="299" t="s">
        <v>305</v>
      </c>
      <c r="F55" s="516">
        <f>IF(H55="正常",I55,"免征")</f>
        <v>5.0000000000000001E-4</v>
      </c>
      <c r="G55" s="466"/>
      <c r="H55" s="1432" t="s">
        <v>155</v>
      </c>
      <c r="I55" s="518">
        <f>'数据-取费表'!B49</f>
        <v>5.0000000000000001E-4</v>
      </c>
      <c r="J55" s="1501" t="str">
        <f>IF(H59="非个人房产","",4)</f>
        <v/>
      </c>
      <c r="K55" s="3489" t="str">
        <f>IF(H59="非个人房产","——","个人所得税")</f>
        <v>——</v>
      </c>
      <c r="L55" s="3489"/>
      <c r="M55" s="3279" t="str">
        <f>D59</f>
        <v>——</v>
      </c>
      <c r="N55" s="3280" t="str">
        <f>E59</f>
        <v>——</v>
      </c>
      <c r="O55" s="3281" t="str">
        <f>F59</f>
        <v>——</v>
      </c>
    </row>
    <row r="56" spans="1:35" ht="24.75">
      <c r="A56" s="3438" t="s">
        <v>306</v>
      </c>
      <c r="B56" s="3439"/>
      <c r="C56" s="3439"/>
      <c r="D56" s="517">
        <f ca="1">IF(H56="个人住宅",D57,D58)</f>
        <v>6042</v>
      </c>
      <c r="E56" s="299" t="s">
        <v>307</v>
      </c>
      <c r="F56" s="516" t="str">
        <f>IF(H56="正常",F58,"免征")</f>
        <v>——</v>
      </c>
      <c r="G56" s="1256" t="s">
        <v>788</v>
      </c>
      <c r="H56" s="1431" t="s">
        <v>155</v>
      </c>
      <c r="I56" s="2284"/>
      <c r="J56" s="1501" t="str">
        <f>IF(项目基本情况!K6="上海银行",IF(J55="",4,J55+1),"")</f>
        <v/>
      </c>
      <c r="K56" s="3516" t="str">
        <f>IF(项目基本情况!K6="上海银行","其他处置费用","")</f>
        <v/>
      </c>
      <c r="L56" s="3517"/>
      <c r="M56" s="3276" t="str">
        <f>IF(项目基本情况!K6="上海银行",M69,"")</f>
        <v/>
      </c>
      <c r="N56" s="3519" t="str">
        <f>IF(项目基本情况!K6="上海银行","包含处置中涉及的律师、诉讼、拍卖、评估等费用","")</f>
        <v/>
      </c>
      <c r="O56" s="3520"/>
    </row>
    <row r="57" spans="1:35" ht="12.75">
      <c r="A57" s="515" t="s">
        <v>292</v>
      </c>
      <c r="B57" s="3452" t="s">
        <v>308</v>
      </c>
      <c r="C57" s="3474"/>
      <c r="D57" s="519">
        <v>0</v>
      </c>
      <c r="E57" s="312" t="s">
        <v>293</v>
      </c>
      <c r="F57" s="487"/>
      <c r="G57" s="466"/>
      <c r="H57" s="2284"/>
      <c r="I57" s="2284"/>
      <c r="J57" s="3499">
        <f>IF(AND(J55="",J56=""),4,IF(项目基本情况!K6="上海银行",结果表!J56+1,结果表!J55+1))</f>
        <v>4</v>
      </c>
      <c r="K57" s="3489" t="s">
        <v>789</v>
      </c>
      <c r="L57" s="3282" t="s">
        <v>223</v>
      </c>
      <c r="M57" s="3283"/>
      <c r="N57" s="3284">
        <f ca="1">SUMIF(M52:M56,"&lt;9e307")</f>
        <v>6047</v>
      </c>
      <c r="O57" s="3285"/>
      <c r="P57" s="3272" t="e">
        <f ca="1">N57/M49</f>
        <v>#VALUE!</v>
      </c>
    </row>
    <row r="58" spans="1:35" ht="24.75">
      <c r="A58" s="515" t="s">
        <v>296</v>
      </c>
      <c r="B58" s="3452" t="s">
        <v>309</v>
      </c>
      <c r="C58" s="3453"/>
      <c r="D58" s="517">
        <f ca="1">IF(H58="转让取得",C81,C97)</f>
        <v>6042</v>
      </c>
      <c r="E58" s="299" t="s">
        <v>307</v>
      </c>
      <c r="F58" s="313" t="s">
        <v>171</v>
      </c>
      <c r="G58" s="466"/>
      <c r="H58" s="1431" t="s">
        <v>1140</v>
      </c>
      <c r="I58" s="2284"/>
      <c r="J58" s="3499"/>
      <c r="K58" s="3489"/>
      <c r="L58" s="3282" t="s">
        <v>224</v>
      </c>
      <c r="M58" s="3286"/>
      <c r="N58" s="3287" t="str">
        <f ca="1">NUMBERSTRING(INT(N57*10000),2)&amp;"元整"</f>
        <v>陆仟零肆拾柒万元整</v>
      </c>
      <c r="O58" s="3288"/>
    </row>
    <row r="59" spans="1:35" ht="24.75" thickBot="1">
      <c r="A59" s="3492" t="s">
        <v>310</v>
      </c>
      <c r="B59" s="3493"/>
      <c r="C59" s="3493"/>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90">
        <f>J57+1</f>
        <v>5</v>
      </c>
      <c r="K59" s="3489" t="s">
        <v>172</v>
      </c>
      <c r="L59" s="1500" t="s">
        <v>223</v>
      </c>
      <c r="M59" s="3289"/>
      <c r="N59" s="3290" t="e">
        <f ca="1">M49-N57</f>
        <v>#VALUE!</v>
      </c>
      <c r="O59" s="3291"/>
    </row>
    <row r="60" spans="1:35" ht="12" customHeight="1">
      <c r="A60" s="1258"/>
      <c r="B60" s="1243"/>
      <c r="C60" s="1243"/>
      <c r="D60" s="1243"/>
      <c r="E60" s="229"/>
      <c r="F60" s="2284"/>
      <c r="G60" s="2284"/>
      <c r="H60" s="2285"/>
      <c r="I60" s="2279"/>
      <c r="J60" s="3491"/>
      <c r="K60" s="3489"/>
      <c r="L60" s="3282" t="s">
        <v>224</v>
      </c>
      <c r="M60" s="3286"/>
      <c r="N60" s="3287" t="e">
        <f ca="1">NUMBERSTRING(INT(N59*10000),2)&amp;"元整"</f>
        <v>#VALUE!</v>
      </c>
      <c r="O60" s="3288"/>
    </row>
    <row r="61" spans="1:35" ht="13.5" thickBot="1">
      <c r="A61" s="3436" t="s">
        <v>311</v>
      </c>
      <c r="B61" s="3436"/>
      <c r="C61" s="3436"/>
      <c r="D61" s="3436"/>
      <c r="E61" s="3436"/>
      <c r="F61" s="2284"/>
      <c r="G61" s="2284"/>
      <c r="H61" s="2285"/>
      <c r="I61" s="2279"/>
      <c r="J61" s="1501">
        <f>J59+1</f>
        <v>6</v>
      </c>
      <c r="K61" s="3489" t="s">
        <v>225</v>
      </c>
      <c r="L61" s="3489"/>
      <c r="M61" s="3292"/>
      <c r="N61" s="3293" t="e">
        <f ca="1">ROUND(N59*10000/'数据-汇总表'!E3,0)</f>
        <v>#VALUE!</v>
      </c>
      <c r="O61" s="3294"/>
    </row>
    <row r="62" spans="1:35" ht="12.75">
      <c r="A62" s="3450" t="s">
        <v>312</v>
      </c>
      <c r="B62" s="3451"/>
      <c r="C62" s="1919"/>
      <c r="D62" s="1919" t="s">
        <v>320</v>
      </c>
      <c r="E62" s="524" t="s">
        <v>321</v>
      </c>
      <c r="F62" s="2284"/>
      <c r="G62" s="2284"/>
      <c r="H62" s="2285"/>
      <c r="I62" s="2279"/>
    </row>
    <row r="63" spans="1:35" ht="12.75">
      <c r="A63" s="535" t="s">
        <v>1902</v>
      </c>
      <c r="B63" s="525" t="s">
        <v>313</v>
      </c>
      <c r="C63" s="526">
        <f ca="1">ROUND((C64+C65)/(1+'数据-取费表'!C42),0)</f>
        <v>10150</v>
      </c>
      <c r="D63" s="527"/>
      <c r="E63" s="528"/>
      <c r="F63" s="2284"/>
      <c r="G63" s="2284"/>
      <c r="H63" s="2285"/>
      <c r="I63" s="2279"/>
      <c r="J63" s="3518" t="s">
        <v>3002</v>
      </c>
      <c r="K63" s="3271" t="s">
        <v>3003</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10658</v>
      </c>
      <c r="D64" s="532" t="s">
        <v>167</v>
      </c>
      <c r="E64" s="533"/>
      <c r="F64" s="2284"/>
      <c r="G64" s="2284"/>
      <c r="H64" s="2285"/>
      <c r="I64" s="2279"/>
      <c r="J64" s="3518"/>
      <c r="K64" s="3271" t="s">
        <v>3004</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3010</v>
      </c>
      <c r="Z64" s="1434"/>
      <c r="AI64" s="1244"/>
    </row>
    <row r="65" spans="1:35" ht="14.25" customHeight="1">
      <c r="A65" s="529" t="s">
        <v>1898</v>
      </c>
      <c r="B65" s="530" t="s">
        <v>315</v>
      </c>
      <c r="C65" s="534"/>
      <c r="D65" s="532"/>
      <c r="E65" s="533"/>
      <c r="F65" s="2284"/>
      <c r="G65" s="2284"/>
      <c r="H65" s="2285"/>
      <c r="I65" s="2279"/>
      <c r="J65" s="3518"/>
      <c r="K65" s="3271" t="s">
        <v>3005</v>
      </c>
      <c r="L65" s="3269" t="e">
        <f>IF(M49&gt;1000,M49*0.1%,IF(AND(M49&gt;500,M49&lt;=1000),M49*0.5%,IF(AND(M49&gt;50,M49&lt;=500),M49*1%,IF(AND(M49&gt;1,M49&lt;=50),M49*1.5%))))</f>
        <v>#VALUE!</v>
      </c>
      <c r="M65" s="313" t="e">
        <f t="shared" si="1"/>
        <v>#VALUE!</v>
      </c>
      <c r="N65" s="469" t="s">
        <v>3011</v>
      </c>
      <c r="Z65" s="1434"/>
      <c r="AI65" s="1244"/>
    </row>
    <row r="66" spans="1:35" ht="14.25" customHeight="1">
      <c r="A66" s="535" t="s">
        <v>1899</v>
      </c>
      <c r="B66" s="536" t="s">
        <v>316</v>
      </c>
      <c r="C66" s="537"/>
      <c r="D66" s="538" t="s">
        <v>167</v>
      </c>
      <c r="E66" s="3323" t="s">
        <v>3049</v>
      </c>
      <c r="F66" s="2284"/>
      <c r="G66" s="2284"/>
      <c r="H66" s="2285"/>
      <c r="I66" s="2279"/>
      <c r="J66" s="3518"/>
      <c r="K66" s="3271" t="s">
        <v>3006</v>
      </c>
      <c r="L66" s="3269" t="e">
        <f>M49*0.5%</f>
        <v>#VALUE!</v>
      </c>
      <c r="M66" s="313" t="e">
        <f>IF(L66&gt;0.5,0.5,ROUND(L66,0))</f>
        <v>#VALUE!</v>
      </c>
      <c r="N66" s="469" t="s">
        <v>3012</v>
      </c>
      <c r="Z66" s="1434"/>
      <c r="AI66" s="1244"/>
    </row>
    <row r="67" spans="1:35" ht="14.25" customHeight="1">
      <c r="A67" s="535" t="s">
        <v>1900</v>
      </c>
      <c r="B67" s="536" t="s">
        <v>317</v>
      </c>
      <c r="C67" s="539">
        <f ca="1">C63-C66</f>
        <v>10150</v>
      </c>
      <c r="D67" s="532" t="s">
        <v>167</v>
      </c>
      <c r="E67" s="533"/>
      <c r="F67" s="2284"/>
      <c r="G67" s="2284"/>
      <c r="H67" s="2285"/>
      <c r="I67" s="2279"/>
      <c r="J67" s="3518"/>
      <c r="K67" s="3271" t="s">
        <v>3007</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558</v>
      </c>
      <c r="D68" s="543">
        <f>'数据-取费表'!B41</f>
        <v>5.5000000000000007E-2</v>
      </c>
      <c r="E68" s="544"/>
      <c r="F68" s="2284"/>
      <c r="G68" s="2284"/>
      <c r="H68" s="2285"/>
      <c r="I68" s="2279"/>
      <c r="J68" s="3518"/>
      <c r="K68" s="3271" t="s">
        <v>3008</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18"/>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72" t="s">
        <v>319</v>
      </c>
      <c r="B70" s="3473"/>
      <c r="C70" s="3473"/>
      <c r="D70" s="3473"/>
      <c r="E70" s="3473"/>
      <c r="F70" s="3473"/>
      <c r="G70" s="3473"/>
      <c r="H70" s="3473"/>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50" t="s">
        <v>312</v>
      </c>
      <c r="B71" s="3451"/>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10150</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51</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45" t="s">
        <v>328</v>
      </c>
      <c r="F76" s="3423"/>
      <c r="G76" s="3423"/>
      <c r="H76" s="3471"/>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2516</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51</v>
      </c>
      <c r="D78" s="558">
        <f>'数据-取费表'!B43</f>
        <v>5.000000000000001E-3</v>
      </c>
      <c r="E78" s="3443" t="s">
        <v>2517</v>
      </c>
      <c r="F78" s="3434"/>
      <c r="G78" s="3434"/>
      <c r="H78" s="3444"/>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10099</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198.01960784313727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6042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72" t="s">
        <v>334</v>
      </c>
      <c r="B83" s="3473"/>
      <c r="C83" s="3473"/>
      <c r="D83" s="3473"/>
      <c r="E83" s="3473"/>
      <c r="F83" s="3473"/>
      <c r="G83" s="3473"/>
      <c r="H83" s="3473"/>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50" t="s">
        <v>312</v>
      </c>
      <c r="B84" s="3451"/>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10150</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51</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33" t="s">
        <v>801</v>
      </c>
      <c r="F91" s="3434"/>
      <c r="G91" s="3434"/>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33" t="s">
        <v>343</v>
      </c>
      <c r="F92" s="3434"/>
      <c r="G92" s="3434"/>
      <c r="H92" s="3444"/>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51</v>
      </c>
      <c r="D93" s="558">
        <f>'数据-取费表'!B43</f>
        <v>5.000000000000001E-3</v>
      </c>
      <c r="E93" s="3443" t="s">
        <v>2517</v>
      </c>
      <c r="F93" s="3434"/>
      <c r="G93" s="3434"/>
      <c r="H93" s="3444"/>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33" t="s">
        <v>345</v>
      </c>
      <c r="F94" s="3434"/>
      <c r="G94" s="3434"/>
      <c r="H94" s="3444"/>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10099</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198.01960784313727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6042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17" t="s">
        <v>230</v>
      </c>
      <c r="B100" s="3418"/>
      <c r="C100" s="3418"/>
      <c r="D100" s="3435"/>
      <c r="E100" s="3418" t="s">
        <v>2916</v>
      </c>
      <c r="F100" s="3418"/>
      <c r="G100" s="3418"/>
      <c r="H100" s="3435"/>
      <c r="I100" s="2279"/>
    </row>
    <row r="101" spans="1:35" ht="18.75" customHeight="1">
      <c r="A101" s="3497" t="s">
        <v>208</v>
      </c>
      <c r="B101" s="3498"/>
      <c r="C101" s="1266" t="str">
        <f>C4</f>
        <v>成本法</v>
      </c>
      <c r="D101" s="1267" t="str">
        <f>D4</f>
        <v>收益法</v>
      </c>
      <c r="E101" s="3515" t="s">
        <v>1916</v>
      </c>
      <c r="F101" s="3464"/>
      <c r="G101" s="1268" t="s">
        <v>210</v>
      </c>
      <c r="H101" s="1987">
        <f ca="1">H118</f>
        <v>10658</v>
      </c>
      <c r="I101" s="2279"/>
    </row>
    <row r="102" spans="1:35" ht="18.75" customHeight="1">
      <c r="A102" s="3466" t="s">
        <v>209</v>
      </c>
      <c r="B102" s="1268" t="s">
        <v>210</v>
      </c>
      <c r="C102" s="1235">
        <f ca="1">C19</f>
        <v>9449</v>
      </c>
      <c r="D102" s="1236">
        <f ca="1">D19</f>
        <v>11464</v>
      </c>
      <c r="E102" s="3515"/>
      <c r="F102" s="3464"/>
      <c r="G102" s="1268" t="s">
        <v>211</v>
      </c>
      <c r="H102" s="711">
        <f ca="1">I118</f>
        <v>5230</v>
      </c>
      <c r="I102" s="2279"/>
    </row>
    <row r="103" spans="1:35" ht="42.75" customHeight="1">
      <c r="A103" s="3466"/>
      <c r="B103" s="1268" t="s">
        <v>211</v>
      </c>
      <c r="C103" s="1237">
        <f ca="1">C20</f>
        <v>4637</v>
      </c>
      <c r="D103" s="1238">
        <f ca="1">D20</f>
        <v>5626</v>
      </c>
      <c r="E103" s="3510" t="s">
        <v>3025</v>
      </c>
      <c r="F103" s="3511"/>
      <c r="G103" s="1269" t="s">
        <v>213</v>
      </c>
      <c r="H103" s="1987">
        <f>IF(D36="正常操作",H104+H105+H106,H105+H106)</f>
        <v>0</v>
      </c>
      <c r="I103" s="2279"/>
    </row>
    <row r="104" spans="1:35" ht="18.75" customHeight="1">
      <c r="A104" s="3466" t="s">
        <v>212</v>
      </c>
      <c r="B104" s="1270" t="s">
        <v>210</v>
      </c>
      <c r="C104" s="1239">
        <f ca="1">H118</f>
        <v>10658</v>
      </c>
      <c r="D104" s="1240"/>
      <c r="E104" s="13" t="s">
        <v>1915</v>
      </c>
      <c r="F104" s="6"/>
      <c r="G104" s="1269" t="s">
        <v>213</v>
      </c>
      <c r="H104" s="1988">
        <f>IF(D36="同一抵押权人同一抵押物续贷",C36&amp;"（未扣减，详见特别提示）",C36)</f>
        <v>0</v>
      </c>
      <c r="I104" s="2279"/>
    </row>
    <row r="105" spans="1:35" ht="18.75" customHeight="1" thickBot="1">
      <c r="A105" s="3467"/>
      <c r="B105" s="1271" t="s">
        <v>211</v>
      </c>
      <c r="C105" s="1241">
        <f ca="1">I118</f>
        <v>5230</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3" t="str">
        <f>IF(项目基本情况!E8="已注销","——","3.房地产抵押价值")</f>
        <v>3.房地产抵押价值</v>
      </c>
      <c r="F107" s="3464"/>
      <c r="G107" s="1268" t="s">
        <v>210</v>
      </c>
      <c r="H107" s="1987">
        <f ca="1">IF(E107="——","——",H101-H103)</f>
        <v>10658</v>
      </c>
      <c r="I107" s="2279"/>
    </row>
    <row r="108" spans="1:35" ht="18.75" customHeight="1">
      <c r="A108" s="2279"/>
      <c r="B108" s="2279"/>
      <c r="C108" s="2279"/>
      <c r="D108" s="2279"/>
      <c r="E108" s="3463"/>
      <c r="F108" s="3464"/>
      <c r="G108" s="1268" t="s">
        <v>211</v>
      </c>
      <c r="H108" s="711">
        <f ca="1">ROUND(H107*10000/'数据-汇总表'!E3,0)</f>
        <v>5230</v>
      </c>
      <c r="I108" s="2279"/>
    </row>
    <row r="109" spans="1:35" ht="18.75" customHeight="1">
      <c r="A109" s="2279"/>
      <c r="B109" s="2279"/>
      <c r="C109" s="2279"/>
      <c r="D109" s="2279"/>
      <c r="E109" s="3463" t="str">
        <f>IF(项目基本情况!E8="已注销及未注销","4.抵押担保权已注销时的房地产抵押价值",IF(项目基本情况!E8="已注销","3.抵押担保权已注销时的房地产抵押价值","——"))</f>
        <v>——</v>
      </c>
      <c r="F109" s="3464"/>
      <c r="G109" s="1268" t="s">
        <v>210</v>
      </c>
      <c r="H109" s="685" t="str">
        <f>IF(E109="——","——",H101-H105-H106)</f>
        <v>——</v>
      </c>
      <c r="I109" s="2279"/>
    </row>
    <row r="110" spans="1:35" ht="18.75" customHeight="1">
      <c r="A110" s="2279"/>
      <c r="B110" s="2279"/>
      <c r="C110" s="2279"/>
      <c r="D110" s="2279"/>
      <c r="E110" s="3463"/>
      <c r="F110" s="3464"/>
      <c r="G110" s="1268" t="s">
        <v>211</v>
      </c>
      <c r="H110" s="711" t="str">
        <f>IF(H109="——","——",ROUND(H109*10000/'数据-汇总表'!E3,0))</f>
        <v>——</v>
      </c>
      <c r="I110" s="2279"/>
    </row>
    <row r="111" spans="1:35" ht="18.75" customHeight="1">
      <c r="A111" s="2279"/>
      <c r="B111" s="2279"/>
      <c r="C111" s="2279"/>
      <c r="D111" s="2279"/>
      <c r="E111" s="3500" t="str">
        <f>IF(项目基本情况!E9="抵押净值",IF(OR(项目基本情况!E8="已注销",项目基本情况!E8="房地产抵押价值"),"4.抵押净值","5.抵押净值"),"——")</f>
        <v>——</v>
      </c>
      <c r="F111" s="3501"/>
      <c r="G111" s="1268" t="s">
        <v>210</v>
      </c>
      <c r="H111" s="1987" t="str">
        <f>IF(E111="——","——",N59)</f>
        <v>——</v>
      </c>
      <c r="I111" s="2279"/>
    </row>
    <row r="112" spans="1:35" ht="18.75" customHeight="1" thickBot="1">
      <c r="A112" s="2279"/>
      <c r="B112" s="2279"/>
      <c r="C112" s="2279"/>
      <c r="D112" s="2279"/>
      <c r="E112" s="3502"/>
      <c r="F112" s="3503"/>
      <c r="G112" s="1272" t="s">
        <v>211</v>
      </c>
      <c r="H112" s="1423" t="str">
        <f>IF(E111="——","——",N61)</f>
        <v>——</v>
      </c>
      <c r="I112" s="2279"/>
    </row>
    <row r="113" spans="1:11" ht="18.75" customHeight="1">
      <c r="A113" s="2279"/>
      <c r="B113" s="2279"/>
      <c r="C113" s="2279"/>
      <c r="D113" s="2279"/>
      <c r="E113" s="3468" t="s">
        <v>2013</v>
      </c>
      <c r="F113" s="3468"/>
      <c r="G113" s="3468"/>
      <c r="H113" s="3468"/>
      <c r="I113" s="2279"/>
    </row>
    <row r="114" spans="1:11" ht="3.75" customHeight="1">
      <c r="A114" s="1243"/>
      <c r="B114" s="1243"/>
      <c r="C114" s="1243"/>
      <c r="D114" s="1243"/>
      <c r="E114" s="1258"/>
      <c r="F114" s="1258"/>
      <c r="G114" s="1258"/>
      <c r="H114" s="1258"/>
      <c r="I114" s="1243"/>
    </row>
    <row r="115" spans="1:11" ht="18.75" customHeight="1">
      <c r="A115" s="3482" t="s">
        <v>226</v>
      </c>
      <c r="B115" s="3483"/>
      <c r="C115" s="3483"/>
      <c r="D115" s="3483"/>
      <c r="E115" s="3483"/>
      <c r="F115" s="3483"/>
      <c r="G115" s="3483"/>
      <c r="H115" s="3483"/>
      <c r="I115" s="3484"/>
    </row>
    <row r="116" spans="1:11" ht="27" customHeight="1">
      <c r="A116" s="3375" t="s">
        <v>5</v>
      </c>
      <c r="B116" s="3469" t="s">
        <v>790</v>
      </c>
      <c r="C116" s="3469" t="s">
        <v>791</v>
      </c>
      <c r="D116" s="3486" t="s">
        <v>206</v>
      </c>
      <c r="E116" s="3487"/>
      <c r="F116" s="3478" t="s">
        <v>2394</v>
      </c>
      <c r="G116" s="3478"/>
      <c r="H116" s="3375" t="s">
        <v>6</v>
      </c>
      <c r="I116" s="3375"/>
    </row>
    <row r="117" spans="1:11" ht="18.75" customHeight="1">
      <c r="A117" s="3375"/>
      <c r="B117" s="3470"/>
      <c r="C117" s="3470"/>
      <c r="D117" s="1916" t="s">
        <v>7</v>
      </c>
      <c r="E117" s="1916" t="s">
        <v>792</v>
      </c>
      <c r="F117" s="1916" t="s">
        <v>7</v>
      </c>
      <c r="G117" s="1916" t="s">
        <v>8</v>
      </c>
      <c r="H117" s="1916" t="s">
        <v>7</v>
      </c>
      <c r="I117" s="1916" t="s">
        <v>8</v>
      </c>
    </row>
    <row r="118" spans="1:11" ht="24.75" customHeight="1">
      <c r="A118" s="2034" t="str">
        <f>项目基本情况!S2</f>
        <v>北京市延庆县永宁镇迎晖路22号院2号等6幢楼房地产</v>
      </c>
      <c r="B118" s="1921">
        <f>M18</f>
        <v>20377.830000000002</v>
      </c>
      <c r="C118" s="1921">
        <f>M19</f>
        <v>72086.12</v>
      </c>
      <c r="D118" s="1921">
        <f ca="1">ROUND(IF(D32="总价",C34,E118*B118/10000),0)</f>
        <v>4764</v>
      </c>
      <c r="E118" s="1921">
        <f ca="1">ROUND(IF(C33="自定义",IF(D32="楼面单价",C34,D118*10000/B118),I118-G118),0)</f>
        <v>2338</v>
      </c>
      <c r="F118" s="1921">
        <f ca="1">ROUND(IF(D32="总价",C35,G118*B118/10000),0)</f>
        <v>5894</v>
      </c>
      <c r="G118" s="1921">
        <f ca="1">ROUND(IF(D32="楼面单价",C35,F118*10000/B118),0)</f>
        <v>2892</v>
      </c>
      <c r="H118" s="1921">
        <f ca="1">ROUND(IF(D32="总价",C32,I118*B118/10000),0)</f>
        <v>10658</v>
      </c>
      <c r="I118" s="1921">
        <f ca="1">ROUND(IF(D32="楼面单价",C32,H118*10000/B118),0)</f>
        <v>5230</v>
      </c>
      <c r="J118" s="1446">
        <f ca="1">D118/C118*666.67</f>
        <v>44.058632646617681</v>
      </c>
    </row>
    <row r="119" spans="1:11" ht="18.75" customHeight="1">
      <c r="A119" s="3375" t="s">
        <v>9</v>
      </c>
      <c r="B119" s="3375"/>
      <c r="C119" s="3375"/>
      <c r="D119" s="3475" t="str">
        <f ca="1">NUMBERSTRING(INT(D118*10000),2)&amp;"元整"</f>
        <v>肆仟柒佰陆拾肆万元整</v>
      </c>
      <c r="E119" s="3477"/>
      <c r="F119" s="3475" t="str">
        <f ca="1">NUMBERSTRING(INT(F118*10000),2)&amp;"元整"</f>
        <v>伍仟捌佰玖拾肆万元整</v>
      </c>
      <c r="G119" s="3477"/>
      <c r="H119" s="3475" t="str">
        <f ca="1">NUMBERSTRING(INT(H118*10000),2)&amp;"元整"</f>
        <v>壹亿零陆佰伍拾捌万元整</v>
      </c>
      <c r="I119" s="3477"/>
    </row>
    <row r="120" spans="1:11" ht="18.75" customHeight="1">
      <c r="A120" s="3507" t="str">
        <f>MID(E103,3,LEN(E103)-2)</f>
        <v>估价师知悉的法定优先受偿款</v>
      </c>
      <c r="B120" s="3508"/>
      <c r="C120" s="3509"/>
      <c r="D120" s="3504">
        <f>H103</f>
        <v>0</v>
      </c>
      <c r="E120" s="3505"/>
      <c r="F120" s="3505"/>
      <c r="G120" s="3505"/>
      <c r="H120" s="3505"/>
      <c r="I120" s="3506"/>
      <c r="K120" s="1434" t="str">
        <f>IF(D120=0,"故，本次评估不存在"&amp;A120,"故，本次评估"&amp;A120&amp;"为人民币"&amp;D120&amp;"万元整。")</f>
        <v>故，本次评估不存在估价师知悉的法定优先受偿款</v>
      </c>
    </row>
    <row r="121" spans="1:11" ht="18.75" customHeight="1">
      <c r="A121" s="3479" t="s">
        <v>9</v>
      </c>
      <c r="B121" s="3480"/>
      <c r="C121" s="3481"/>
      <c r="D121" s="3475" t="str">
        <f>IF(D120=0,"零元整",NUMBERSTRING(INT(D120*10000),2)&amp;"元整")</f>
        <v>零元整</v>
      </c>
      <c r="E121" s="3476"/>
      <c r="F121" s="3476"/>
      <c r="G121" s="3476"/>
      <c r="H121" s="3476"/>
      <c r="I121" s="3477"/>
    </row>
    <row r="122" spans="1:11" ht="18.75" customHeight="1">
      <c r="A122" s="3465" t="str">
        <f>MID(E107,3,LEN(E107)-2)</f>
        <v>房地产抵押价值</v>
      </c>
      <c r="B122" s="3465"/>
      <c r="C122" s="3465"/>
      <c r="D122" s="3504">
        <f ca="1">H107</f>
        <v>10658</v>
      </c>
      <c r="E122" s="3505"/>
      <c r="F122" s="3505"/>
      <c r="G122" s="3505"/>
      <c r="H122" s="3505"/>
      <c r="I122" s="3506"/>
    </row>
    <row r="123" spans="1:11" ht="18.75" customHeight="1">
      <c r="A123" s="3375" t="s">
        <v>9</v>
      </c>
      <c r="B123" s="3375"/>
      <c r="C123" s="3375"/>
      <c r="D123" s="3475" t="str">
        <f ca="1">NUMBERSTRING(INT(D122*10000),2)&amp;"元整"</f>
        <v>壹亿零陆佰伍拾捌万元整</v>
      </c>
      <c r="E123" s="3476"/>
      <c r="F123" s="3476"/>
      <c r="G123" s="3476"/>
      <c r="H123" s="3476"/>
      <c r="I123" s="3477"/>
    </row>
    <row r="124" spans="1:11" ht="18.75" customHeight="1">
      <c r="A124" s="3465" t="str">
        <f>MID(E109,3,LEN(E109)-2)</f>
        <v/>
      </c>
      <c r="B124" s="3465"/>
      <c r="C124" s="3465"/>
      <c r="D124" s="3504" t="str">
        <f>H109</f>
        <v>——</v>
      </c>
      <c r="E124" s="3505"/>
      <c r="F124" s="3505"/>
      <c r="G124" s="3505"/>
      <c r="H124" s="3505"/>
      <c r="I124" s="3506"/>
    </row>
    <row r="125" spans="1:11" ht="18.75" customHeight="1">
      <c r="A125" s="3375" t="s">
        <v>9</v>
      </c>
      <c r="B125" s="3375"/>
      <c r="C125" s="3375"/>
      <c r="D125" s="3475" t="e">
        <f>NUMBERSTRING(INT(D124*10000),2)&amp;"元整"</f>
        <v>#VALUE!</v>
      </c>
      <c r="E125" s="3476"/>
      <c r="F125" s="3476"/>
      <c r="G125" s="3476"/>
      <c r="H125" s="3476"/>
      <c r="I125" s="3477"/>
    </row>
    <row r="126" spans="1:11" ht="18.75" customHeight="1">
      <c r="A126" s="3465" t="str">
        <f>MID(E111,3,LEN(E111)-2)</f>
        <v/>
      </c>
      <c r="B126" s="3465"/>
      <c r="C126" s="3465"/>
      <c r="D126" s="3504" t="str">
        <f>H111</f>
        <v>——</v>
      </c>
      <c r="E126" s="3505"/>
      <c r="F126" s="3505"/>
      <c r="G126" s="3505"/>
      <c r="H126" s="3505"/>
      <c r="I126" s="3506"/>
    </row>
    <row r="127" spans="1:11" ht="18.75" customHeight="1">
      <c r="A127" s="3375" t="s">
        <v>9</v>
      </c>
      <c r="B127" s="3375"/>
      <c r="C127" s="3375"/>
      <c r="D127" s="3475" t="e">
        <f>NUMBERSTRING(INT(D126*10000),2)&amp;"元整"</f>
        <v>#VALUE!</v>
      </c>
      <c r="E127" s="3476"/>
      <c r="F127" s="3476"/>
      <c r="G127" s="3476"/>
      <c r="H127" s="3476"/>
      <c r="I127" s="3477"/>
    </row>
    <row r="128" spans="1:11" ht="21.75" customHeight="1">
      <c r="A128" s="3485" t="s">
        <v>2012</v>
      </c>
      <c r="B128" s="3485"/>
      <c r="C128" s="3485"/>
      <c r="D128" s="3485"/>
      <c r="E128" s="3485"/>
      <c r="F128" s="3485"/>
      <c r="G128" s="3485"/>
      <c r="H128" s="3485"/>
      <c r="I128" s="3485"/>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1" sqref="B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t="s">
        <v>39</v>
      </c>
      <c r="C1" s="574"/>
      <c r="D1" s="574"/>
      <c r="E1" s="574"/>
      <c r="F1" s="574"/>
      <c r="G1" s="2755">
        <f>MATCH(B1,'数据-取费表'!A6:A16,0)+5</f>
        <v>6</v>
      </c>
    </row>
    <row r="2" spans="1:9" s="576" customFormat="1" ht="18" customHeight="1">
      <c r="A2" s="577" t="s">
        <v>447</v>
      </c>
      <c r="B2" s="578">
        <f ca="1">IF(D2="——",C52,C52-E2)</f>
        <v>9449</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4637</v>
      </c>
      <c r="C3" s="85" t="s">
        <v>873</v>
      </c>
      <c r="D3" s="575"/>
      <c r="E3" s="575"/>
      <c r="F3" s="575"/>
      <c r="G3" s="575"/>
    </row>
    <row r="4" spans="1:9" s="584" customFormat="1" ht="15.75">
      <c r="A4" s="581" t="s">
        <v>825</v>
      </c>
      <c r="B4" s="582"/>
      <c r="C4" s="582"/>
      <c r="D4" s="582"/>
      <c r="E4" s="582"/>
      <c r="F4" s="582"/>
      <c r="G4" s="583"/>
    </row>
    <row r="5" spans="1:9" s="590" customFormat="1" ht="13.5" customHeight="1">
      <c r="A5" s="631" t="s">
        <v>2518</v>
      </c>
      <c r="B5" s="586" t="s">
        <v>826</v>
      </c>
      <c r="C5" s="587">
        <f ca="1">C6+C7+C8</f>
        <v>3421</v>
      </c>
      <c r="D5" s="587" t="s">
        <v>827</v>
      </c>
      <c r="E5" s="588" t="s">
        <v>828</v>
      </c>
      <c r="F5" s="588" t="s">
        <v>829</v>
      </c>
      <c r="G5" s="589"/>
    </row>
    <row r="6" spans="1:9" s="590" customFormat="1" ht="13.5" customHeight="1">
      <c r="A6" s="1805" t="s">
        <v>1928</v>
      </c>
      <c r="B6" s="591" t="s">
        <v>830</v>
      </c>
      <c r="C6" s="592">
        <f ca="1">基准地价修正!B2</f>
        <v>3320</v>
      </c>
      <c r="D6" s="593"/>
      <c r="E6" s="594"/>
      <c r="F6" s="594"/>
      <c r="G6" s="595"/>
    </row>
    <row r="7" spans="1:9" s="590" customFormat="1" ht="13.5" customHeight="1">
      <c r="A7" s="1805" t="s">
        <v>1929</v>
      </c>
      <c r="B7" s="591" t="s">
        <v>348</v>
      </c>
      <c r="C7" s="596">
        <f ca="1">ROUND(C6*F7,0)</f>
        <v>101</v>
      </c>
      <c r="D7" s="596"/>
      <c r="E7" s="594"/>
      <c r="F7" s="597">
        <f>'数据-取费表'!B48+'数据-取费表'!B49</f>
        <v>3.0499999999999999E-2</v>
      </c>
      <c r="G7" s="595"/>
    </row>
    <row r="8" spans="1:9" s="599" customFormat="1">
      <c r="A8" s="1805" t="s">
        <v>1930</v>
      </c>
      <c r="B8" s="591" t="s">
        <v>831</v>
      </c>
      <c r="C8" s="596" t="str">
        <f>IF(G8="已包含在土地购买价格中","0",IF(B1="",'数据-取费表'!B29,IF(G9="全部缴纳",C9+C10,H9)))</f>
        <v>0</v>
      </c>
      <c r="D8" s="598"/>
      <c r="E8" s="596"/>
      <c r="F8" s="597"/>
      <c r="G8" s="84" t="s">
        <v>2696</v>
      </c>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100</v>
      </c>
      <c r="F9" s="597"/>
      <c r="G9" s="2805" t="s">
        <v>3084</v>
      </c>
      <c r="H9" s="2806"/>
      <c r="I9" s="2807" t="s">
        <v>2700</v>
      </c>
    </row>
    <row r="10" spans="1:9" s="590" customFormat="1" ht="13.5" customHeight="1">
      <c r="A10" s="1806" t="s">
        <v>1938</v>
      </c>
      <c r="B10" s="600" t="s">
        <v>833</v>
      </c>
      <c r="C10" s="601">
        <f ca="1">ROUND(D10*E10/10000,0)</f>
        <v>306</v>
      </c>
      <c r="D10" s="1910">
        <f ca="1">IF(B1="",'数据-汇总表'!E6,IF(INDIRECT("'数据-取费表'!c"&amp;$G$1)="住宅",INDIRECT("'数据-取费表'!s"&amp;$G$1),INDIRECT("'数据-取费表'!k"&amp;$G$1)+INDIRECT("'数据-取费表'!s"&amp;$G$1)))</f>
        <v>20377.830000000002</v>
      </c>
      <c r="E10" s="601">
        <f>'数据-取费表'!B28</f>
        <v>150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t="str">
        <f>IF(G19="已包含在土地取得成本中","0",ROUND(D19*E19/10000,0))</f>
        <v>0</v>
      </c>
      <c r="D19" s="1914">
        <f ca="1">D9+D10</f>
        <v>20377.830000000002</v>
      </c>
      <c r="E19" s="587">
        <f>'数据-取费表'!B31</f>
        <v>200</v>
      </c>
      <c r="F19" s="607"/>
      <c r="G19" s="84" t="s">
        <v>3085</v>
      </c>
    </row>
    <row r="20" spans="1:7" s="590" customFormat="1" ht="13.5" customHeight="1">
      <c r="A20" s="1804" t="s">
        <v>2521</v>
      </c>
      <c r="B20" s="586" t="s">
        <v>843</v>
      </c>
      <c r="C20" s="608">
        <f ca="1">ROUND((C5+C19)*F20,0)</f>
        <v>68</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249</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02">
        <f ca="1">ROUND(IF('数据-取费表'!B22&lt;=1,C5*F22*'数据-取费表'!B23,C5*(POWER((1+F22),'数据-取费表'!B23)-1)),0)</f>
        <v>247</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2522</v>
      </c>
      <c r="C25" s="2702">
        <f ca="1">ROUND(IF('数据-取费表'!B22&lt;=1,C20*F22*'数据-取费表'!B23/2,C20*(POWER((1+F22),'数据-取费表'!B23/2)-1)),0)</f>
        <v>2</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 ca="1">C28</f>
        <v>174</v>
      </c>
      <c r="D27" s="611">
        <f ca="1">C29</f>
        <v>1E-3</v>
      </c>
      <c r="E27" s="612" t="s">
        <v>865</v>
      </c>
      <c r="F27" s="622">
        <f ca="1">IF(B1="",'数据-取费表'!Q16,INDIRECT("'数据-取费表'!q"&amp;$G$1))</f>
        <v>0.05</v>
      </c>
      <c r="G27" s="623" t="s">
        <v>2533</v>
      </c>
    </row>
    <row r="28" spans="1:7" s="590" customFormat="1" ht="13.5" customHeight="1">
      <c r="A28" s="1807" t="s">
        <v>1928</v>
      </c>
      <c r="B28" s="624" t="s">
        <v>2526</v>
      </c>
      <c r="C28" s="625">
        <f ca="1">ROUND((C5+C19+C20)*F27*'数据-取费表'!B21/'数据-取费表'!B20,0)</f>
        <v>174</v>
      </c>
      <c r="D28" s="611"/>
      <c r="E28" s="612"/>
      <c r="F28" s="622"/>
      <c r="G28" s="623"/>
    </row>
    <row r="29" spans="1:7" s="590" customFormat="1" ht="13.5" customHeight="1">
      <c r="A29" s="1807" t="s">
        <v>1929</v>
      </c>
      <c r="B29" s="624" t="s">
        <v>2527</v>
      </c>
      <c r="C29" s="614">
        <f ca="1">ROUND(C21*F27*'数据-取费表'!B21/'数据-取费表'!B20,4)</f>
        <v>1E-3</v>
      </c>
      <c r="D29" s="611"/>
      <c r="E29" s="612"/>
      <c r="F29" s="622"/>
      <c r="G29" s="623"/>
    </row>
    <row r="30" spans="1:7" s="590" customFormat="1" ht="13.5" customHeight="1">
      <c r="A30" s="1804" t="s">
        <v>1925</v>
      </c>
      <c r="B30" s="586" t="s">
        <v>349</v>
      </c>
      <c r="C30" s="611">
        <f>ROUND(F30/(1+'数据-取费表'!C42),4)</f>
        <v>5.2400000000000002E-2</v>
      </c>
      <c r="D30" s="612" t="s">
        <v>2953</v>
      </c>
      <c r="E30" s="617"/>
      <c r="F30" s="613">
        <f>'数据-取费表'!B41</f>
        <v>5.5000000000000007E-2</v>
      </c>
      <c r="G30" s="2622" t="s">
        <v>2954</v>
      </c>
    </row>
    <row r="31" spans="1:7" ht="16.5" customHeight="1">
      <c r="A31" s="585">
        <v>1</v>
      </c>
      <c r="B31" s="586" t="s">
        <v>867</v>
      </c>
      <c r="C31" s="587">
        <f ca="1">ROUND((C5+C19+C20+C22+C27)/(1-C21-D22-D27-C30),0)</f>
        <v>4225</v>
      </c>
      <c r="D31" s="606"/>
      <c r="E31" s="587"/>
      <c r="F31" s="626"/>
      <c r="G31" s="610" t="s">
        <v>2534</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4749</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4076</v>
      </c>
      <c r="D34" s="593"/>
      <c r="E34" s="596"/>
      <c r="F34" s="633">
        <f ca="1">IF('数据-取费表'!B24=0,1,IF(B1="",'数据-取费表'!N16,INDIRECT("'数据-取费表'!n"&amp;$G$1)))</f>
        <v>1</v>
      </c>
      <c r="G34" s="595" t="s">
        <v>855</v>
      </c>
    </row>
    <row r="35" spans="1:7" ht="13.5" customHeight="1">
      <c r="A35" s="1807" t="s">
        <v>1933</v>
      </c>
      <c r="B35" s="591" t="s">
        <v>351</v>
      </c>
      <c r="C35" s="596">
        <f ca="1">ROUND(C34*F35,0)</f>
        <v>204</v>
      </c>
      <c r="D35" s="596"/>
      <c r="E35" s="596"/>
      <c r="F35" s="635">
        <f>'数据-取费表'!B33</f>
        <v>0.05</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408</v>
      </c>
      <c r="D37" s="593">
        <f ca="1">D19</f>
        <v>20377.830000000002</v>
      </c>
      <c r="E37" s="625">
        <f>'数据-取费表'!B35</f>
        <v>200</v>
      </c>
      <c r="F37" s="635"/>
      <c r="G37" s="637" t="s">
        <v>858</v>
      </c>
    </row>
    <row r="38" spans="1:7" ht="13.5" customHeight="1">
      <c r="A38" s="1807" t="s">
        <v>1936</v>
      </c>
      <c r="B38" s="591" t="s">
        <v>354</v>
      </c>
      <c r="C38" s="596">
        <f ca="1">ROUND(C34*F38,0)</f>
        <v>61</v>
      </c>
      <c r="D38" s="596"/>
      <c r="E38" s="596"/>
      <c r="F38" s="635">
        <f>'数据-取费表'!B36</f>
        <v>1.4999999999999999E-2</v>
      </c>
      <c r="G38" s="595" t="s">
        <v>856</v>
      </c>
    </row>
    <row r="39" spans="1:7" s="590" customFormat="1" ht="13.5" customHeight="1">
      <c r="A39" s="1804" t="s">
        <v>1920</v>
      </c>
      <c r="B39" s="586" t="s">
        <v>843</v>
      </c>
      <c r="C39" s="608">
        <f ca="1">ROUND(C33*F20,0)</f>
        <v>95</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171</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ROUND(IF('数据-取费表'!B22&lt;=1,C33*F22*'数据-取费表'!B21/2,C33*(POWER((1+F22),'数据-取费表'!B21/2)-1)),0)</f>
        <v>168</v>
      </c>
      <c r="D42" s="614"/>
      <c r="E42" s="614"/>
      <c r="F42" s="615"/>
      <c r="G42" s="3521" t="s">
        <v>860</v>
      </c>
    </row>
    <row r="43" spans="1:7" ht="13.5" customHeight="1">
      <c r="A43" s="1807" t="s">
        <v>1929</v>
      </c>
      <c r="B43" s="591" t="s">
        <v>2528</v>
      </c>
      <c r="C43" s="614">
        <f ca="1">ROUND(IF('数据-取费表'!B22&lt;=1,C39*F22*'数据-取费表'!B21/2,C39*(POWER((1+F22),'数据-取费表'!B21/2)-1)),0)</f>
        <v>3</v>
      </c>
      <c r="D43" s="614"/>
      <c r="E43" s="614"/>
      <c r="F43" s="615"/>
      <c r="G43" s="3522"/>
    </row>
    <row r="44" spans="1:7" ht="13.5" customHeight="1">
      <c r="A44" s="1807" t="s">
        <v>1930</v>
      </c>
      <c r="B44" s="591" t="s">
        <v>2530</v>
      </c>
      <c r="C44" s="614">
        <f ca="1">ROUND(IF('数据-取费表'!B22&lt;=1,C40*F22*'数据-取费表'!B21/2,C40*(POWER((1+F22),'数据-取费表'!B21/2)-1)),4)</f>
        <v>6.9999999999999999E-4</v>
      </c>
      <c r="D44" s="614"/>
      <c r="E44" s="614"/>
      <c r="F44" s="615"/>
      <c r="G44" s="3523"/>
    </row>
    <row r="45" spans="1:7" s="590" customFormat="1" ht="13.5" customHeight="1">
      <c r="A45" s="1804" t="s">
        <v>1923</v>
      </c>
      <c r="B45" s="620" t="s">
        <v>851</v>
      </c>
      <c r="C45" s="621">
        <f ca="1">C46</f>
        <v>242</v>
      </c>
      <c r="D45" s="611">
        <f ca="1">C47</f>
        <v>1E-3</v>
      </c>
      <c r="E45" s="612" t="s">
        <v>868</v>
      </c>
      <c r="F45" s="622"/>
      <c r="G45" s="623" t="s">
        <v>2536</v>
      </c>
    </row>
    <row r="46" spans="1:7" s="590" customFormat="1" ht="13.5" customHeight="1">
      <c r="A46" s="1807" t="s">
        <v>1928</v>
      </c>
      <c r="B46" s="624" t="s">
        <v>2529</v>
      </c>
      <c r="C46" s="625">
        <f ca="1">ROUND((C33+C39)*F27,0)</f>
        <v>242</v>
      </c>
      <c r="D46" s="639"/>
      <c r="E46" s="612"/>
      <c r="F46" s="622"/>
      <c r="G46" s="623"/>
    </row>
    <row r="47" spans="1:7" s="590" customFormat="1" ht="13.5" customHeight="1">
      <c r="A47" s="1807" t="s">
        <v>1929</v>
      </c>
      <c r="B47" s="624" t="s">
        <v>2531</v>
      </c>
      <c r="C47" s="614">
        <f ca="1">ROUND(C40*F27,4)</f>
        <v>1E-3</v>
      </c>
      <c r="D47" s="639"/>
      <c r="E47" s="612"/>
      <c r="F47" s="622"/>
      <c r="G47" s="623"/>
    </row>
    <row r="48" spans="1:7" s="590" customFormat="1" ht="13.5" customHeight="1">
      <c r="A48" s="1804" t="s">
        <v>1924</v>
      </c>
      <c r="B48" s="586" t="s">
        <v>861</v>
      </c>
      <c r="C48" s="3241">
        <f>ROUND(F30/(1+'数据-取费表'!C42),4)</f>
        <v>5.2400000000000002E-2</v>
      </c>
      <c r="D48" s="612" t="s">
        <v>2955</v>
      </c>
      <c r="E48" s="608"/>
      <c r="F48" s="613"/>
      <c r="G48" s="2622" t="s">
        <v>2956</v>
      </c>
    </row>
    <row r="49" spans="1:7" ht="16.5" customHeight="1">
      <c r="A49" s="1804" t="s">
        <v>1925</v>
      </c>
      <c r="B49" s="586" t="s">
        <v>870</v>
      </c>
      <c r="C49" s="608">
        <f ca="1">ROUND((C33+C39+C41+C45)/(1-C40-D41-D45-C48),0)</f>
        <v>5678</v>
      </c>
      <c r="D49" s="608"/>
      <c r="E49" s="608"/>
      <c r="F49" s="640"/>
      <c r="G49" s="610" t="s">
        <v>2537</v>
      </c>
    </row>
    <row r="50" spans="1:7" s="634" customFormat="1" ht="24">
      <c r="A50" s="1804" t="s">
        <v>1926</v>
      </c>
      <c r="B50" s="586" t="s">
        <v>863</v>
      </c>
      <c r="C50" s="608"/>
      <c r="D50" s="608"/>
      <c r="E50" s="608"/>
      <c r="F50" s="640">
        <f>IF('数据-取费表'!B24=0,'数据-取费表'!N16,1)</f>
        <v>0.92</v>
      </c>
      <c r="G50" s="623" t="s">
        <v>864</v>
      </c>
    </row>
    <row r="51" spans="1:7" ht="16.5" customHeight="1">
      <c r="A51" s="1804" t="s">
        <v>1927</v>
      </c>
      <c r="B51" s="586" t="s">
        <v>871</v>
      </c>
      <c r="C51" s="608">
        <f ca="1">ROUND(C49*F50,0)</f>
        <v>5224</v>
      </c>
      <c r="D51" s="608"/>
      <c r="E51" s="608"/>
      <c r="F51" s="640"/>
      <c r="G51" s="610" t="s">
        <v>355</v>
      </c>
    </row>
    <row r="52" spans="1:7" s="584" customFormat="1" ht="16.5" thickBot="1">
      <c r="A52" s="641" t="s">
        <v>356</v>
      </c>
      <c r="B52" s="642"/>
      <c r="C52" s="643">
        <f ca="1">C31+C51</f>
        <v>9449</v>
      </c>
      <c r="D52" s="642"/>
      <c r="E52" s="642"/>
      <c r="F52" s="642"/>
      <c r="G52" s="644"/>
    </row>
    <row r="55" spans="1:7" ht="15">
      <c r="B55" s="646" t="s">
        <v>357</v>
      </c>
      <c r="C55" s="647"/>
    </row>
    <row r="56" spans="1:7">
      <c r="B56" s="2877" t="s">
        <v>2712</v>
      </c>
      <c r="C56" s="651">
        <f ca="1">1-C57</f>
        <v>0.44699999999999995</v>
      </c>
    </row>
    <row r="57" spans="1:7">
      <c r="B57" s="2877" t="s">
        <v>2711</v>
      </c>
      <c r="C57" s="650">
        <f ca="1">ROUND(C51/C52,3)</f>
        <v>0.55300000000000005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2" t="str">
        <f>项目基本情况!B1</f>
        <v>北京市延庆县永宁镇迎晖路22号院2号等6幢楼房地产抵押价值预评估</v>
      </c>
      <c r="C37" s="3332"/>
      <c r="D37" s="3332"/>
      <c r="E37" s="3332"/>
      <c r="F37" s="3332"/>
      <c r="G37" s="3332"/>
      <c r="H37" s="3332"/>
      <c r="I37" s="3332"/>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2642</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6104</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2995</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3056675</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3056675</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100</v>
      </c>
      <c r="F9" s="597"/>
      <c r="G9" s="602"/>
    </row>
    <row r="10" spans="1:8" s="590" customFormat="1" ht="13.5" customHeight="1">
      <c r="A10" s="1806" t="s">
        <v>1938</v>
      </c>
      <c r="B10" s="600" t="s">
        <v>833</v>
      </c>
      <c r="C10" s="601">
        <f ca="1">ROUND(D10*E10,0)</f>
        <v>3056675</v>
      </c>
      <c r="D10" s="1910">
        <f ca="1">IF(B1="",'数据-汇总表'!E6,IF(INDIRECT("'数据-取费表'!c"&amp;$G$1)="住宅",INDIRECT("'数据-取费表'!s"&amp;$G$1),INDIRECT("'数据-取费表'!k"&amp;$G$1)+INDIRECT("'数据-取费表'!s"&amp;$G$1)))</f>
        <v>20377.830000000002</v>
      </c>
      <c r="E10" s="601">
        <f>'数据-取费表'!B28</f>
        <v>150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4075566</v>
      </c>
      <c r="D19" s="1914">
        <f ca="1">D9+D10</f>
        <v>20377.830000000002</v>
      </c>
      <c r="E19" s="587">
        <f>'数据-取费表'!B31</f>
        <v>200</v>
      </c>
      <c r="F19" s="607"/>
      <c r="G19" s="84"/>
    </row>
    <row r="20" spans="1:7" s="590" customFormat="1" ht="13.5" customHeight="1">
      <c r="A20" s="1804" t="s">
        <v>1921</v>
      </c>
      <c r="B20" s="586" t="s">
        <v>843</v>
      </c>
      <c r="C20" s="608">
        <f ca="1">ROUND((C5+C19)*F20,0)</f>
        <v>142645</v>
      </c>
      <c r="D20" s="608"/>
      <c r="E20" s="608"/>
      <c r="F20" s="609">
        <f>'数据-取费表'!B37</f>
        <v>0.02</v>
      </c>
      <c r="G20" s="2622" t="s">
        <v>2532</v>
      </c>
    </row>
    <row r="21" spans="1:7" s="590" customFormat="1" ht="13.5" customHeight="1">
      <c r="A21" s="1804" t="s">
        <v>1922</v>
      </c>
      <c r="B21" s="586" t="s">
        <v>844</v>
      </c>
      <c r="C21" s="611">
        <f>F21</f>
        <v>0.02</v>
      </c>
      <c r="D21" s="612" t="s">
        <v>865</v>
      </c>
      <c r="E21" s="608"/>
      <c r="F21" s="609">
        <f>'数据-取费表'!B38</f>
        <v>0.02</v>
      </c>
      <c r="G21" s="610" t="s">
        <v>845</v>
      </c>
    </row>
    <row r="22" spans="1:7" s="590" customFormat="1" ht="13.5" customHeight="1">
      <c r="A22" s="1804" t="s">
        <v>1923</v>
      </c>
      <c r="B22" s="586" t="s">
        <v>846</v>
      </c>
      <c r="C22" s="2756">
        <f ca="1">ROUND(SUM(C23:C25),0)</f>
        <v>519212</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57">
        <f ca="1">ROUND(IF('数据-取费表'!B22&lt;=1,C5*F22*'数据-取费表'!B22,C5*(POWER((1+F22),'数据-取费表'!B22)-1)),0)</f>
        <v>220354</v>
      </c>
      <c r="D23" s="614"/>
      <c r="E23" s="614"/>
      <c r="F23" s="615"/>
      <c r="G23" s="616" t="s">
        <v>847</v>
      </c>
    </row>
    <row r="24" spans="1:7" s="590" customFormat="1" ht="13.5" customHeight="1">
      <c r="A24" s="1807" t="s">
        <v>1929</v>
      </c>
      <c r="B24" s="591" t="s">
        <v>2520</v>
      </c>
      <c r="C24" s="2757">
        <f ca="1">ROUND(IF('数据-取费表'!B22&lt;=1,C19*F22*('数据-取费表'!B19/2+'数据-取费表'!B20),C19*(POWER((1+F22),('数据-取费表'!B19/2+'数据-取费表'!B20))-1)),0)</f>
        <v>293806</v>
      </c>
      <c r="D24" s="614"/>
      <c r="E24" s="614"/>
      <c r="F24" s="615"/>
      <c r="G24" s="616" t="s">
        <v>848</v>
      </c>
    </row>
    <row r="25" spans="1:7" s="590" customFormat="1" ht="24">
      <c r="A25" s="1807" t="s">
        <v>1930</v>
      </c>
      <c r="B25" s="591" t="s">
        <v>2522</v>
      </c>
      <c r="C25" s="2757">
        <f ca="1">ROUND(IF('数据-取费表'!B22&lt;=1,C20*F22*'数据-取费表'!B22/2,C20*(POWER((1+F22),'数据-取费表'!B22/2)-1)),0)</f>
        <v>5052</v>
      </c>
      <c r="D25" s="614"/>
      <c r="E25" s="617"/>
      <c r="F25" s="615"/>
      <c r="G25" s="618" t="s">
        <v>849</v>
      </c>
    </row>
    <row r="26" spans="1:7" s="590" customFormat="1">
      <c r="A26" s="1807" t="s">
        <v>1932</v>
      </c>
      <c r="B26" s="591" t="s">
        <v>2524</v>
      </c>
      <c r="C26" s="614">
        <f ca="1">ROUND(IF('数据-取费表'!B22&lt;=1,F21*F22*'数据-取费表'!B22/2,F21*(POWER((1+F22),'数据-取费表'!B22/2)-1)),4)</f>
        <v>6.9999999999999999E-4</v>
      </c>
      <c r="D26" s="614"/>
      <c r="E26" s="617"/>
      <c r="F26" s="615"/>
      <c r="G26" s="619"/>
    </row>
    <row r="27" spans="1:7" s="590" customFormat="1" ht="24.75">
      <c r="A27" s="1804" t="s">
        <v>1924</v>
      </c>
      <c r="B27" s="620" t="s">
        <v>851</v>
      </c>
      <c r="C27" s="621">
        <f ca="1">C28</f>
        <v>363744</v>
      </c>
      <c r="D27" s="611">
        <f ca="1">C29</f>
        <v>1E-3</v>
      </c>
      <c r="E27" s="612" t="s">
        <v>865</v>
      </c>
      <c r="F27" s="622">
        <f ca="1">IF(B1="",'数据-取费表'!Q16,INDIRECT("'数据-取费表'!q"&amp;$G$1))</f>
        <v>0.05</v>
      </c>
      <c r="G27" s="623" t="s">
        <v>2533</v>
      </c>
    </row>
    <row r="28" spans="1:7" s="590" customFormat="1" ht="13.5" customHeight="1">
      <c r="A28" s="1807" t="s">
        <v>1928</v>
      </c>
      <c r="B28" s="624" t="s">
        <v>2526</v>
      </c>
      <c r="C28" s="625">
        <f ca="1">ROUND((C5+C19+C20)*F27,0)</f>
        <v>363744</v>
      </c>
      <c r="D28" s="611"/>
      <c r="E28" s="612"/>
      <c r="F28" s="622"/>
      <c r="G28" s="623"/>
    </row>
    <row r="29" spans="1:7" s="590" customFormat="1" ht="13.5" customHeight="1">
      <c r="A29" s="1807" t="s">
        <v>1929</v>
      </c>
      <c r="B29" s="624" t="s">
        <v>2527</v>
      </c>
      <c r="C29" s="614">
        <f ca="1">ROUND(C21*F27,4)</f>
        <v>1E-3</v>
      </c>
      <c r="D29" s="611"/>
      <c r="E29" s="612"/>
      <c r="F29" s="622"/>
      <c r="G29" s="623"/>
    </row>
    <row r="30" spans="1:7" s="590" customFormat="1" ht="13.5" customHeight="1">
      <c r="A30" s="1804" t="s">
        <v>1925</v>
      </c>
      <c r="B30" s="586" t="s">
        <v>349</v>
      </c>
      <c r="C30" s="611">
        <f>ROUND(F30/(1+'数据-取费表'!C42),4)</f>
        <v>5.2400000000000002E-2</v>
      </c>
      <c r="D30" s="612" t="s">
        <v>2957</v>
      </c>
      <c r="E30" s="617"/>
      <c r="F30" s="613">
        <f>'数据-取费表'!B41</f>
        <v>5.5000000000000007E-2</v>
      </c>
      <c r="G30" s="2622" t="s">
        <v>2958</v>
      </c>
    </row>
    <row r="31" spans="1:7" ht="16.5" customHeight="1">
      <c r="A31" s="585">
        <v>1</v>
      </c>
      <c r="B31" s="586" t="s">
        <v>867</v>
      </c>
      <c r="C31" s="587">
        <f ca="1">ROUND((C5+C19+C20+C22+C27)/(1-C21-D22-D27-C30),0)</f>
        <v>8810716</v>
      </c>
      <c r="D31" s="606"/>
      <c r="E31" s="587"/>
      <c r="F31" s="626"/>
      <c r="G31" s="610" t="s">
        <v>2534</v>
      </c>
    </row>
    <row r="32" spans="1:7" s="584" customFormat="1" ht="15.75">
      <c r="A32" s="628" t="s">
        <v>2637</v>
      </c>
      <c r="B32" s="629"/>
      <c r="C32" s="629"/>
      <c r="D32" s="629"/>
      <c r="E32" s="629"/>
      <c r="F32" s="629"/>
      <c r="G32" s="630"/>
    </row>
    <row r="33" spans="1:7" s="590" customFormat="1" ht="13.5" customHeight="1">
      <c r="A33" s="631" t="s">
        <v>1919</v>
      </c>
      <c r="B33" s="2758" t="s">
        <v>2638</v>
      </c>
      <c r="C33" s="632">
        <f ca="1">SUM(C34:C38)</f>
        <v>47480344</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40755660</v>
      </c>
      <c r="D34" s="593"/>
      <c r="E34" s="596"/>
      <c r="F34" s="633"/>
      <c r="G34" s="595"/>
    </row>
    <row r="35" spans="1:7" ht="13.5" customHeight="1">
      <c r="A35" s="1807" t="s">
        <v>1933</v>
      </c>
      <c r="B35" s="591" t="s">
        <v>351</v>
      </c>
      <c r="C35" s="596">
        <f ca="1">ROUND(C34*F35,0)</f>
        <v>2037783</v>
      </c>
      <c r="D35" s="596"/>
      <c r="E35" s="596"/>
      <c r="F35" s="635">
        <f>'数据-取费表'!B33</f>
        <v>0.05</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4075566</v>
      </c>
      <c r="D37" s="593">
        <f ca="1">D19</f>
        <v>20377.830000000002</v>
      </c>
      <c r="E37" s="625">
        <f>'数据-取费表'!B35</f>
        <v>200</v>
      </c>
      <c r="F37" s="635"/>
      <c r="G37" s="637"/>
    </row>
    <row r="38" spans="1:7" ht="13.5" customHeight="1">
      <c r="A38" s="1807" t="s">
        <v>1936</v>
      </c>
      <c r="B38" s="591" t="s">
        <v>354</v>
      </c>
      <c r="C38" s="596">
        <f ca="1">ROUND(C34*F38,0)</f>
        <v>611335</v>
      </c>
      <c r="D38" s="596"/>
      <c r="E38" s="596"/>
      <c r="F38" s="635">
        <f>'数据-取费表'!B36</f>
        <v>1.4999999999999999E-2</v>
      </c>
      <c r="G38" s="595" t="s">
        <v>856</v>
      </c>
    </row>
    <row r="39" spans="1:7" s="590" customFormat="1" ht="13.5" customHeight="1">
      <c r="A39" s="1804" t="s">
        <v>1920</v>
      </c>
      <c r="B39" s="586" t="s">
        <v>843</v>
      </c>
      <c r="C39" s="608">
        <f ca="1">ROUND(C33*F20,0)</f>
        <v>949607</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1715271</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ROUND(IF('数据-取费表'!B22&lt;=1,C33*F22*'数据-取费表'!B20/2,C33*(POWER((1+F22),'数据-取费表'!B20/2)-1)),0)</f>
        <v>1681638</v>
      </c>
      <c r="D42" s="614"/>
      <c r="E42" s="614"/>
      <c r="F42" s="615"/>
      <c r="G42" s="3524" t="s">
        <v>2641</v>
      </c>
    </row>
    <row r="43" spans="1:7" ht="13.5" customHeight="1">
      <c r="A43" s="1807" t="s">
        <v>1929</v>
      </c>
      <c r="B43" s="591" t="s">
        <v>2520</v>
      </c>
      <c r="C43" s="614">
        <f ca="1">ROUND(IF('数据-取费表'!B22&lt;=1,C39*F22*'数据-取费表'!B20/2,C39*(POWER((1+F22),'数据-取费表'!B20/2)-1)),0)</f>
        <v>33633</v>
      </c>
      <c r="D43" s="614"/>
      <c r="E43" s="614"/>
      <c r="F43" s="615"/>
      <c r="G43" s="3522"/>
    </row>
    <row r="44" spans="1:7" ht="13.5" customHeight="1">
      <c r="A44" s="1807" t="s">
        <v>1930</v>
      </c>
      <c r="B44" s="591" t="s">
        <v>2522</v>
      </c>
      <c r="C44" s="614">
        <f ca="1">ROUND(IF('数据-取费表'!B22&lt;=1,C40*F22*'数据-取费表'!B20/2,C40*(POWER((1+F22),'数据-取费表'!B20/2)-1)),4)</f>
        <v>6.9999999999999999E-4</v>
      </c>
      <c r="D44" s="614"/>
      <c r="E44" s="614"/>
      <c r="F44" s="615"/>
      <c r="G44" s="3523"/>
    </row>
    <row r="45" spans="1:7" s="590" customFormat="1" ht="13.5" customHeight="1">
      <c r="A45" s="1804" t="s">
        <v>1923</v>
      </c>
      <c r="B45" s="620" t="s">
        <v>851</v>
      </c>
      <c r="C45" s="621">
        <f ca="1">C46</f>
        <v>2421498</v>
      </c>
      <c r="D45" s="611">
        <f ca="1">C47</f>
        <v>1E-3</v>
      </c>
      <c r="E45" s="612" t="s">
        <v>868</v>
      </c>
      <c r="F45" s="622"/>
      <c r="G45" s="623" t="s">
        <v>2536</v>
      </c>
    </row>
    <row r="46" spans="1:7" s="590" customFormat="1" ht="13.5" customHeight="1">
      <c r="A46" s="1807" t="s">
        <v>1928</v>
      </c>
      <c r="B46" s="624" t="s">
        <v>2529</v>
      </c>
      <c r="C46" s="625">
        <f ca="1">ROUND((C33+C39)*F27,0)</f>
        <v>2421498</v>
      </c>
      <c r="D46" s="639"/>
      <c r="E46" s="612"/>
      <c r="F46" s="622"/>
      <c r="G46" s="623"/>
    </row>
    <row r="47" spans="1:7" s="590" customFormat="1" ht="13.5" customHeight="1">
      <c r="A47" s="1807" t="s">
        <v>1929</v>
      </c>
      <c r="B47" s="624" t="s">
        <v>2531</v>
      </c>
      <c r="C47" s="614">
        <f ca="1">ROUND(C40*F27,4)</f>
        <v>1E-3</v>
      </c>
      <c r="D47" s="639"/>
      <c r="E47" s="612"/>
      <c r="F47" s="622"/>
      <c r="G47" s="623"/>
    </row>
    <row r="48" spans="1:7" s="590" customFormat="1" ht="13.5" customHeight="1">
      <c r="A48" s="1804" t="s">
        <v>1924</v>
      </c>
      <c r="B48" s="586" t="s">
        <v>861</v>
      </c>
      <c r="C48" s="638">
        <f>ROUND(F30/(1+'数据-取费表'!C42),4)</f>
        <v>5.2400000000000002E-2</v>
      </c>
      <c r="D48" s="612" t="s">
        <v>2955</v>
      </c>
      <c r="E48" s="608"/>
      <c r="F48" s="613"/>
      <c r="G48" s="2622" t="s">
        <v>2956</v>
      </c>
    </row>
    <row r="49" spans="1:7" ht="16.5" customHeight="1">
      <c r="A49" s="1804" t="s">
        <v>1925</v>
      </c>
      <c r="B49" s="586" t="s">
        <v>2639</v>
      </c>
      <c r="C49" s="608">
        <f ca="1">ROUND((C33+C39+C41+C45)/(1-C40-D41-D45-C48),0)</f>
        <v>56773647</v>
      </c>
      <c r="D49" s="608"/>
      <c r="E49" s="608"/>
      <c r="F49" s="640"/>
      <c r="G49" s="610" t="s">
        <v>2537</v>
      </c>
    </row>
    <row r="50" spans="1:7" s="634" customFormat="1">
      <c r="A50" s="1804" t="s">
        <v>1926</v>
      </c>
      <c r="B50" s="586" t="s">
        <v>863</v>
      </c>
      <c r="C50" s="608"/>
      <c r="D50" s="608"/>
      <c r="E50" s="608"/>
      <c r="F50" s="640">
        <f>IF('数据-取费表'!B24=0,'数据-取费表'!N16,1)</f>
        <v>0.92</v>
      </c>
      <c r="G50" s="623"/>
    </row>
    <row r="51" spans="1:7" ht="16.5" customHeight="1">
      <c r="A51" s="1804" t="s">
        <v>1927</v>
      </c>
      <c r="B51" s="586" t="s">
        <v>2640</v>
      </c>
      <c r="C51" s="608">
        <f ca="1">ROUND(C49*F50,0)</f>
        <v>52231755</v>
      </c>
      <c r="D51" s="608"/>
      <c r="E51" s="608"/>
      <c r="F51" s="640"/>
      <c r="G51" s="610" t="s">
        <v>355</v>
      </c>
    </row>
    <row r="52" spans="1:7" s="584" customFormat="1" ht="16.5" thickBot="1">
      <c r="A52" s="641" t="s">
        <v>356</v>
      </c>
      <c r="B52" s="642"/>
      <c r="C52" s="643">
        <f ca="1">C31+C51</f>
        <v>61042471</v>
      </c>
      <c r="D52" s="642"/>
      <c r="E52" s="642"/>
      <c r="F52" s="642"/>
      <c r="G52" s="644"/>
    </row>
    <row r="55" spans="1:7" ht="15">
      <c r="B55" s="646" t="s">
        <v>357</v>
      </c>
      <c r="C55" s="647"/>
    </row>
    <row r="56" spans="1:7">
      <c r="B56" s="2877" t="s">
        <v>2712</v>
      </c>
      <c r="C56" s="651">
        <f ca="1">1-C57</f>
        <v>0.14400000000000002</v>
      </c>
    </row>
    <row r="57" spans="1:7">
      <c r="B57" s="2877" t="s">
        <v>2711</v>
      </c>
      <c r="C57" s="650">
        <f ca="1">ROUND(C51/C52,3)</f>
        <v>0.85599999999999998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7</v>
      </c>
    </row>
    <row r="2" spans="1:33" ht="18" customHeight="1">
      <c r="A2" s="577" t="s">
        <v>823</v>
      </c>
      <c r="B2" s="580">
        <f ca="1">C32</f>
        <v>-319</v>
      </c>
      <c r="C2" s="88" t="s">
        <v>1106</v>
      </c>
      <c r="D2" s="652"/>
      <c r="E2" s="652"/>
      <c r="F2" s="652"/>
      <c r="G2" s="652"/>
      <c r="H2" s="652"/>
      <c r="I2" s="652"/>
      <c r="J2" s="652"/>
      <c r="K2" s="652"/>
    </row>
    <row r="3" spans="1:33" ht="18" customHeight="1" thickBot="1">
      <c r="A3" s="579" t="s">
        <v>824</v>
      </c>
      <c r="B3" s="580">
        <f ca="1">ROUND(B2*10000/IF(C1="",'数据-汇总表'!E3,INDIRECT("'数据-取费表'!K"&amp;$K$1)),0)</f>
        <v>-157</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2961</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2962</v>
      </c>
      <c r="B12" s="1829" t="s">
        <v>887</v>
      </c>
      <c r="C12" s="313">
        <f ca="1">ROUND(C11*F12,0)</f>
        <v>0</v>
      </c>
      <c r="D12" s="1830"/>
      <c r="E12" s="715"/>
      <c r="F12" s="1833">
        <f>'数据-取费表'!B33</f>
        <v>0.05</v>
      </c>
      <c r="G12" s="295" t="s">
        <v>888</v>
      </c>
      <c r="H12" s="1825"/>
      <c r="I12" s="1825"/>
      <c r="J12" s="1825"/>
      <c r="K12" s="1826"/>
    </row>
    <row r="13" spans="1:33" s="1832" customFormat="1" ht="13.5" customHeight="1">
      <c r="A13" s="1828" t="s">
        <v>2963</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2964</v>
      </c>
      <c r="B14" s="1829" t="s">
        <v>891</v>
      </c>
      <c r="C14" s="313">
        <f ca="1">ROUND(D14*E14*F11/10000,0)</f>
        <v>0</v>
      </c>
      <c r="D14" s="1911">
        <f ca="1">IF(C1="",'数据-汇总表'!E3,INDIRECT("'数据-取费表'!K"&amp;$K$1)+INDIRECT("'数据-取费表'!S"&amp;$K$1))</f>
        <v>20377.830000000002</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2965</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2966</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20377.830000000002</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2967</v>
      </c>
      <c r="B18" s="1829" t="s">
        <v>895</v>
      </c>
      <c r="C18" s="313">
        <f ca="1">C19+C20-IF(C1="",'数据-取费表'!B29,IF(G18="已全部缴纳",C19+C20,H18))</f>
        <v>306</v>
      </c>
      <c r="D18" s="1911"/>
      <c r="E18" s="313"/>
      <c r="F18" s="1833"/>
      <c r="G18" s="3052"/>
      <c r="H18" s="3050"/>
      <c r="I18" s="3051" t="s">
        <v>2811</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100</v>
      </c>
      <c r="F19" s="1833"/>
      <c r="G19" s="303"/>
      <c r="H19" s="3054"/>
      <c r="I19" s="1838"/>
      <c r="J19" s="1838"/>
      <c r="K19" s="1839"/>
    </row>
    <row r="20" spans="1:33" s="1832" customFormat="1" ht="13.5" customHeight="1">
      <c r="A20" s="1828" t="s">
        <v>1943</v>
      </c>
      <c r="B20" s="1829" t="s">
        <v>897</v>
      </c>
      <c r="C20" s="313">
        <f ca="1">ROUND(D20*E20/10000,0)</f>
        <v>306</v>
      </c>
      <c r="D20" s="1911">
        <f ca="1">IF(C1="",'数据-汇总表'!E6,IF(INDIRECT("'数据-取费表'!c"&amp;$K$1)="住宅",INDIRECT("'数据-取费表'!s"&amp;$K$1),INDIRECT("'数据-取费表'!k"&amp;$K$1)+INDIRECT("'数据-取费表'!s"&amp;$K$1)))</f>
        <v>20377.830000000002</v>
      </c>
      <c r="E20" s="313">
        <f>'数据-取费表'!B28</f>
        <v>150</v>
      </c>
      <c r="F20" s="1833"/>
      <c r="G20" s="303"/>
      <c r="H20" s="1838"/>
      <c r="I20" s="1838"/>
      <c r="J20" s="1838"/>
      <c r="K20" s="1839"/>
    </row>
    <row r="21" spans="1:33" s="1832" customFormat="1" ht="13.5" customHeight="1">
      <c r="A21" s="1817" t="s">
        <v>1939</v>
      </c>
      <c r="B21" s="1842" t="s">
        <v>900</v>
      </c>
      <c r="C21" s="1843">
        <f ca="1">C16+C17+C18</f>
        <v>306</v>
      </c>
      <c r="D21" s="1844"/>
      <c r="E21" s="657"/>
      <c r="F21" s="657"/>
      <c r="G21" s="471" t="s">
        <v>2538</v>
      </c>
      <c r="H21" s="1836"/>
      <c r="I21" s="1836"/>
      <c r="J21" s="1836"/>
      <c r="K21" s="1837"/>
    </row>
    <row r="22" spans="1:33" s="1832" customFormat="1" ht="13.5" customHeight="1">
      <c r="A22" s="1822" t="s">
        <v>1920</v>
      </c>
      <c r="B22" s="1842" t="s">
        <v>901</v>
      </c>
      <c r="C22" s="1843">
        <f ca="1">ROUND(C21*F22,0)</f>
        <v>6</v>
      </c>
      <c r="D22" s="657"/>
      <c r="E22" s="657"/>
      <c r="F22" s="1845">
        <f>'数据-取费表'!B37</f>
        <v>0.02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0.02</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2959</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1941</v>
      </c>
      <c r="B27" s="1849" t="s">
        <v>2628</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1924</v>
      </c>
      <c r="B28" s="3243" t="s">
        <v>2968</v>
      </c>
      <c r="C28" s="663">
        <f ca="1">C30</f>
        <v>16</v>
      </c>
      <c r="D28" s="656">
        <f ca="1">C29</f>
        <v>0</v>
      </c>
      <c r="E28" s="658" t="s">
        <v>50</v>
      </c>
      <c r="F28" s="664">
        <f ca="1">IF(C1="",'数据-取费表'!Q16,INDIRECT("'数据-取费表'!q"&amp;$K$1))</f>
        <v>0.05</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2629</v>
      </c>
      <c r="C30" s="668">
        <f ca="1">ROUND((C21+C22+C23)*F28,0)</f>
        <v>16</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5.5000000000000007E-2</v>
      </c>
      <c r="G31" s="1869" t="s">
        <v>911</v>
      </c>
      <c r="H31" s="1870"/>
      <c r="I31" s="1870"/>
      <c r="J31" s="1870"/>
      <c r="K31" s="1871"/>
    </row>
    <row r="32" spans="1:33" s="1827" customFormat="1" ht="13.5" customHeight="1" thickBot="1">
      <c r="A32" s="1858" t="s">
        <v>2960</v>
      </c>
      <c r="B32" s="1859"/>
      <c r="C32" s="1860">
        <f ca="1">ROUND((C4-C21-C22-C23-C25-C28-C31)/(1+C24+D25+D28),0)</f>
        <v>-319</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39</v>
      </c>
      <c r="D1" s="1274"/>
      <c r="E1" s="2587" t="s">
        <v>2457</v>
      </c>
      <c r="F1" s="2588">
        <f ca="1">J53</f>
        <v>45.03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11464</v>
      </c>
      <c r="C2" s="1300" t="s">
        <v>1107</v>
      </c>
      <c r="D2" s="1276"/>
      <c r="E2" s="2577"/>
      <c r="F2" s="1277"/>
      <c r="G2" s="2289"/>
      <c r="H2" s="1275"/>
      <c r="I2" s="1275"/>
      <c r="J2" s="1275"/>
      <c r="K2" s="1299"/>
      <c r="L2" s="1275"/>
      <c r="M2" s="1275"/>
    </row>
    <row r="3" spans="1:37" ht="18" customHeight="1" thickBot="1">
      <c r="A3" s="675" t="s">
        <v>824</v>
      </c>
      <c r="B3" s="1408">
        <f ca="1">IF(ISERROR(B2*10000/F43),0,ROUND(B2*10000/F43,0))</f>
        <v>5626</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2546</v>
      </c>
      <c r="C5" s="2628">
        <f ca="1">C6+C10+C12</f>
        <v>670</v>
      </c>
      <c r="D5" s="2638" t="s">
        <v>2548</v>
      </c>
      <c r="E5" s="2629"/>
      <c r="F5" s="2630"/>
      <c r="G5" s="2290"/>
      <c r="H5" s="681">
        <v>1</v>
      </c>
      <c r="I5" s="682" t="s">
        <v>2546</v>
      </c>
      <c r="J5" s="2628">
        <f ca="1">J6+J10+J12</f>
        <v>0</v>
      </c>
      <c r="K5" s="2631" t="s">
        <v>2548</v>
      </c>
      <c r="L5" s="2629"/>
      <c r="M5" s="2630"/>
    </row>
    <row r="6" spans="1:37" ht="18" customHeight="1">
      <c r="A6" s="2624" t="s">
        <v>2553</v>
      </c>
      <c r="B6" s="3527" t="s">
        <v>2547</v>
      </c>
      <c r="C6" s="2633">
        <f ca="1">ROUND(F6*F8*F7*(1-F9)/10000,0)</f>
        <v>669</v>
      </c>
      <c r="D6" s="2627" t="s">
        <v>2549</v>
      </c>
      <c r="E6" s="684" t="s">
        <v>920</v>
      </c>
      <c r="F6" s="685">
        <f ca="1">INDIRECT("'数据-取费表'!u"&amp;$G$1)</f>
        <v>1</v>
      </c>
      <c r="G6" s="2290"/>
      <c r="H6" s="2624" t="s">
        <v>2556</v>
      </c>
      <c r="I6" s="3527" t="s">
        <v>2547</v>
      </c>
      <c r="J6" s="683">
        <f ca="1">ROUND(M6*M8*M7*(1-M9)/10000,0)</f>
        <v>0</v>
      </c>
      <c r="K6" s="2627" t="s">
        <v>2549</v>
      </c>
      <c r="L6" s="684" t="s">
        <v>920</v>
      </c>
      <c r="M6" s="685">
        <f ca="1">INDIRECT("'数据-取费表'!z"&amp;$G$1)</f>
        <v>0</v>
      </c>
    </row>
    <row r="7" spans="1:37" ht="18" customHeight="1">
      <c r="A7" s="2632"/>
      <c r="B7" s="3528"/>
      <c r="C7" s="2634"/>
      <c r="D7" s="2063"/>
      <c r="E7" s="2635" t="s">
        <v>921</v>
      </c>
      <c r="F7" s="685">
        <f ca="1">IF(INDIRECT("'数据-取费表'!ah"&amp;$G$1)="",INDIRECT("'数据-取费表'!k"&amp;$G$1),INDIRECT("'数据-取费表'!ah"&amp;$G$1))</f>
        <v>20377.830000000002</v>
      </c>
      <c r="G7" s="2290"/>
      <c r="H7" s="686"/>
      <c r="I7" s="3528"/>
      <c r="J7" s="688"/>
      <c r="K7" s="689"/>
      <c r="L7" s="684" t="s">
        <v>921</v>
      </c>
      <c r="M7" s="685">
        <f ca="1">F7</f>
        <v>20377.830000000002</v>
      </c>
    </row>
    <row r="8" spans="1:37" ht="18" customHeight="1">
      <c r="A8" s="686"/>
      <c r="B8" s="3528"/>
      <c r="C8" s="688"/>
      <c r="D8" s="689"/>
      <c r="E8" s="684" t="s">
        <v>922</v>
      </c>
      <c r="F8" s="685">
        <f ca="1">INDIRECT("'数据-取费表'!ai"&amp;$G$1)</f>
        <v>365</v>
      </c>
      <c r="G8" s="2290"/>
      <c r="H8" s="686"/>
      <c r="I8" s="3528"/>
      <c r="J8" s="688"/>
      <c r="K8" s="689"/>
      <c r="L8" s="684" t="s">
        <v>922</v>
      </c>
      <c r="M8" s="685">
        <f ca="1">INDIRECT("'数据-取费表'!ai"&amp;$G$1)</f>
        <v>365</v>
      </c>
    </row>
    <row r="9" spans="1:37" ht="18" customHeight="1">
      <c r="A9" s="686"/>
      <c r="B9" s="3529"/>
      <c r="C9" s="688"/>
      <c r="D9" s="689"/>
      <c r="E9" s="684" t="s">
        <v>923</v>
      </c>
      <c r="F9" s="694">
        <f ca="1">INDIRECT("'数据-取费表'!w"&amp;$G$1)</f>
        <v>0.1</v>
      </c>
      <c r="G9" s="2290"/>
      <c r="H9" s="686"/>
      <c r="I9" s="3529"/>
      <c r="J9" s="688"/>
      <c r="K9" s="689"/>
      <c r="L9" s="695" t="s">
        <v>923</v>
      </c>
      <c r="M9" s="696">
        <f ca="1">INDIRECT("'数据-取费表'!ab"&amp;$G$1)</f>
        <v>0</v>
      </c>
    </row>
    <row r="10" spans="1:37" ht="18" customHeight="1">
      <c r="A10" s="2624" t="s">
        <v>2554</v>
      </c>
      <c r="B10" s="2625" t="s">
        <v>2542</v>
      </c>
      <c r="C10" s="698">
        <f ca="1">ROUND(IF(F10="押一",F6*F8*F7/12*F11,IF(F10="押二",F6*F8*F7/12*2*F11,IF(F10="押三",F6*F8*F7/12*3*F11,C11*F11)))/10000,0)</f>
        <v>1</v>
      </c>
      <c r="D10" s="2636" t="s">
        <v>2550</v>
      </c>
      <c r="E10" s="2099" t="s">
        <v>2544</v>
      </c>
      <c r="F10" s="2833" t="s">
        <v>3081</v>
      </c>
      <c r="G10" s="2290"/>
      <c r="H10" s="2624" t="s">
        <v>2557</v>
      </c>
      <c r="I10" s="2625" t="s">
        <v>2542</v>
      </c>
      <c r="J10" s="683">
        <f ca="1">ROUND(IF(M10="押一",M6*M8*M7/12*M11,IF(M10="押二",M6*M8*M7/12*2*M11,IF(M10="押三",M6*M8*M7/12*3*M11,J11*M11)))/10000,0)</f>
        <v>0</v>
      </c>
      <c r="K10" s="2636" t="s">
        <v>2550</v>
      </c>
      <c r="L10" s="2099" t="s">
        <v>2544</v>
      </c>
      <c r="M10" s="2731" t="s">
        <v>2636</v>
      </c>
    </row>
    <row r="11" spans="1:37" ht="18" customHeight="1">
      <c r="A11" s="690"/>
      <c r="B11" s="2626" t="s">
        <v>2709</v>
      </c>
      <c r="C11" s="2417"/>
      <c r="D11" s="2872"/>
      <c r="E11" s="2099" t="s">
        <v>2545</v>
      </c>
      <c r="F11" s="696">
        <f ca="1">'数据-取费表'!B39</f>
        <v>1.4999999999999999E-2</v>
      </c>
      <c r="G11" s="2290"/>
      <c r="H11" s="2637"/>
      <c r="I11" s="2626" t="s">
        <v>2709</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2558</v>
      </c>
      <c r="I12" s="2673" t="s">
        <v>2543</v>
      </c>
      <c r="J12" s="2674"/>
      <c r="K12" s="2691"/>
      <c r="L12" s="2676"/>
      <c r="M12" s="2692"/>
    </row>
    <row r="13" spans="1:37" ht="18" customHeight="1" thickTop="1">
      <c r="A13" s="2668">
        <v>2</v>
      </c>
      <c r="B13" s="2669" t="s">
        <v>924</v>
      </c>
      <c r="C13" s="692">
        <f ca="1">ROUND(C29*F13,0)</f>
        <v>5224</v>
      </c>
      <c r="D13" s="2670" t="s">
        <v>925</v>
      </c>
      <c r="E13" s="2670" t="s">
        <v>926</v>
      </c>
      <c r="F13" s="2671">
        <f ca="1">INDIRECT("'数据-取费表'!y"&amp;$G$1)</f>
        <v>0.92</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4076</v>
      </c>
      <c r="D14" s="2217" t="s">
        <v>927</v>
      </c>
      <c r="E14" s="2216"/>
      <c r="F14" s="703"/>
      <c r="G14" s="2290"/>
      <c r="H14" s="2440" t="s">
        <v>2386</v>
      </c>
      <c r="I14" s="684" t="s">
        <v>928</v>
      </c>
      <c r="J14" s="313">
        <f ca="1">C29</f>
        <v>5678</v>
      </c>
      <c r="K14" s="303"/>
      <c r="L14" s="700"/>
      <c r="M14" s="701"/>
    </row>
    <row r="15" spans="1:37" s="706" customFormat="1" ht="18" customHeight="1" thickBot="1">
      <c r="A15" s="2440" t="s">
        <v>2619</v>
      </c>
      <c r="B15" s="684" t="s">
        <v>361</v>
      </c>
      <c r="C15" s="313">
        <f ca="1">ROUND(C14*F15,0)</f>
        <v>204</v>
      </c>
      <c r="D15" s="704" t="s">
        <v>929</v>
      </c>
      <c r="E15" s="704" t="s">
        <v>930</v>
      </c>
      <c r="F15" s="705">
        <f>'数据-取费表'!B33</f>
        <v>0.05</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144</v>
      </c>
      <c r="K16" s="2678" t="s">
        <v>932</v>
      </c>
      <c r="L16" s="2679"/>
      <c r="M16" s="2630"/>
    </row>
    <row r="17" spans="1:37" s="706" customFormat="1" ht="18" customHeight="1">
      <c r="A17" s="2440" t="s">
        <v>2621</v>
      </c>
      <c r="B17" s="684" t="s">
        <v>363</v>
      </c>
      <c r="C17" s="313">
        <f ca="1">ROUND(F17*(F43+INDIRECT("'数据-取费表'!S"&amp;$G$1))/10000,0)</f>
        <v>408</v>
      </c>
      <c r="D17" s="684" t="s">
        <v>933</v>
      </c>
      <c r="E17" s="684" t="s">
        <v>934</v>
      </c>
      <c r="F17" s="315">
        <f>'数据-取费表'!B35</f>
        <v>200</v>
      </c>
      <c r="G17" s="2291"/>
      <c r="H17" s="2440" t="s">
        <v>2386</v>
      </c>
      <c r="I17" s="684" t="s">
        <v>364</v>
      </c>
      <c r="J17" s="313">
        <f ca="1">ROUND(IF(项目基本情况!B11="自然人",J5*M17,J18+J19+J20),1)</f>
        <v>58.5</v>
      </c>
      <c r="K17" s="2217" t="s">
        <v>935</v>
      </c>
      <c r="L17" s="2215"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61</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2553</v>
      </c>
      <c r="B19" s="684" t="s">
        <v>367</v>
      </c>
      <c r="C19" s="313">
        <f ca="1">SUM(C14:C18)</f>
        <v>4749</v>
      </c>
      <c r="D19" s="471" t="s">
        <v>939</v>
      </c>
      <c r="E19" s="2225"/>
      <c r="F19" s="315"/>
      <c r="G19" s="2290"/>
      <c r="H19" s="2440" t="s">
        <v>2619</v>
      </c>
      <c r="I19" s="684" t="s">
        <v>940</v>
      </c>
      <c r="J19" s="313">
        <f ca="1">IF(K19="按租金收入计税",ROUND(J5*M19,2),ROUND(C29*M19*0.7,2))</f>
        <v>47.7</v>
      </c>
      <c r="K19" s="1301" t="s">
        <v>2427</v>
      </c>
      <c r="L19" s="684" t="s">
        <v>930</v>
      </c>
      <c r="M19" s="707">
        <f>IF(K19="按租金收入计税",'数据-取费表'!B51,'数据-取费表'!B50)</f>
        <v>1.2E-2</v>
      </c>
    </row>
    <row r="20" spans="1:37" s="706" customFormat="1" ht="18" customHeight="1">
      <c r="A20" s="2440" t="s">
        <v>2623</v>
      </c>
      <c r="B20" s="684" t="s">
        <v>368</v>
      </c>
      <c r="C20" s="313">
        <f ca="1">ROUND(C19*F20,0)</f>
        <v>95</v>
      </c>
      <c r="D20" s="709" t="s">
        <v>941</v>
      </c>
      <c r="E20" s="684" t="s">
        <v>930</v>
      </c>
      <c r="F20" s="707">
        <f>'数据-取费表'!B37</f>
        <v>0.02</v>
      </c>
      <c r="G20" s="2291"/>
      <c r="H20" s="2440" t="s">
        <v>2620</v>
      </c>
      <c r="I20" s="496" t="s">
        <v>942</v>
      </c>
      <c r="J20" s="314">
        <f ca="1">ROUND(M20*M21/10000,2)</f>
        <v>10.81</v>
      </c>
      <c r="K20" s="710" t="s">
        <v>943</v>
      </c>
      <c r="L20" s="684" t="s">
        <v>944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71</v>
      </c>
      <c r="D21" s="709" t="s">
        <v>946</v>
      </c>
      <c r="E21" s="684" t="s">
        <v>947</v>
      </c>
      <c r="F21" s="707">
        <f>'数据-取费表'!B38</f>
        <v>0.02</v>
      </c>
      <c r="G21" s="2291"/>
      <c r="H21" s="712"/>
      <c r="I21" s="693"/>
      <c r="J21" s="318"/>
      <c r="K21" s="713"/>
      <c r="L21" s="684" t="s">
        <v>948</v>
      </c>
      <c r="M21" s="685">
        <f ca="1">INDIRECT("'数据-取费表'!r"&amp;$G$1)</f>
        <v>72086.12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225"/>
      <c r="F22" s="315"/>
      <c r="G22" s="2290"/>
      <c r="H22" s="2440" t="s">
        <v>2393</v>
      </c>
      <c r="I22" s="684" t="s">
        <v>950</v>
      </c>
      <c r="J22" s="313">
        <f ca="1">ROUND(J14*M22,1)</f>
        <v>85.2</v>
      </c>
      <c r="K22" s="2215" t="s">
        <v>951</v>
      </c>
      <c r="L22" s="684" t="s">
        <v>930</v>
      </c>
      <c r="M22" s="714">
        <f ca="1">INDIRECT("'数据-取费表'!Ak"&amp;$G$1)</f>
        <v>1.4999999999999999E-2</v>
      </c>
    </row>
    <row r="23" spans="1:37" s="706" customFormat="1" ht="18" customHeight="1">
      <c r="A23" s="2440" t="s">
        <v>2383</v>
      </c>
      <c r="B23" s="684" t="s">
        <v>2539</v>
      </c>
      <c r="C23" s="313">
        <f ca="1">IF('数据-取费表'!B22&lt;=1,ROUND(C19*F24*F23/2,0)+ROUND(C20*F24*F23/2,0),ROUND(C19*(POWER((1+F24),F23/2)-1),0)+ROUND(C20*(POWER((1+F24),F23/2)-1),0))</f>
        <v>171</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ROUND(J5*M24,1)</f>
        <v>0</v>
      </c>
      <c r="K24" s="2683" t="s">
        <v>956</v>
      </c>
      <c r="L24" s="2681" t="s">
        <v>930</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-144</v>
      </c>
      <c r="K25" s="2686" t="s">
        <v>959</v>
      </c>
      <c r="L25" s="2687"/>
      <c r="M25" s="2688"/>
    </row>
    <row r="26" spans="1:37" ht="18" customHeight="1">
      <c r="A26" s="2440" t="s">
        <v>2383</v>
      </c>
      <c r="B26" s="684" t="s">
        <v>2540</v>
      </c>
      <c r="C26" s="313">
        <f ca="1">ROUND((C19+C20)*F26,0)</f>
        <v>242</v>
      </c>
      <c r="D26" s="709" t="s">
        <v>960</v>
      </c>
      <c r="E26" s="695" t="s">
        <v>961</v>
      </c>
      <c r="F26" s="694">
        <f ca="1">INDIRECT("'数据-取费表'!q"&amp;$G$1)</f>
        <v>0.05</v>
      </c>
      <c r="G26" s="2290"/>
      <c r="H26" s="681" t="s">
        <v>2369</v>
      </c>
      <c r="I26" s="682" t="s">
        <v>962</v>
      </c>
      <c r="J26" s="683">
        <f ca="1">IF(J5&lt;&gt;0,ROUND(J25*(1-((1+M28)/(1+M26))^M27)/(M26-M28),0),0)</f>
        <v>0</v>
      </c>
      <c r="K26" s="710" t="s">
        <v>963</v>
      </c>
      <c r="L26" s="684" t="s">
        <v>969</v>
      </c>
      <c r="M26" s="694">
        <f ca="1">INDIRECT("'数据-取费表'!I"&amp;$G$1)</f>
        <v>5.5E-2</v>
      </c>
    </row>
    <row r="27" spans="1:37" ht="18" customHeight="1">
      <c r="A27" s="2440" t="s">
        <v>2389</v>
      </c>
      <c r="B27" s="684" t="s">
        <v>376</v>
      </c>
      <c r="C27" s="313">
        <f ca="1">ROUND(F21*F26,4)</f>
        <v>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5.2400000000000002E-2</v>
      </c>
      <c r="D28" s="709" t="s">
        <v>971</v>
      </c>
      <c r="E28" s="684" t="s">
        <v>930</v>
      </c>
      <c r="F28" s="707">
        <f>'数据-取费表'!B41</f>
        <v>5.5000000000000007E-2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5678</v>
      </c>
      <c r="D29" s="2683"/>
      <c r="E29" s="2681"/>
      <c r="F29" s="2684"/>
      <c r="G29" s="2291"/>
      <c r="H29" s="720" t="s">
        <v>2376</v>
      </c>
      <c r="I29" s="721" t="s">
        <v>966</v>
      </c>
      <c r="J29" s="722">
        <f ca="1">ROUND(J26/(1+F40)^F41,0)</f>
        <v>0</v>
      </c>
      <c r="K29" s="723" t="s">
        <v>967</v>
      </c>
      <c r="L29" s="724"/>
      <c r="M29" s="725">
        <f ca="1">INDIRECT("'数据-取费表'!k"&amp;$G$1)</f>
        <v>20377.830000000002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199</v>
      </c>
      <c r="D30" s="2678" t="s">
        <v>932</v>
      </c>
      <c r="E30" s="2679"/>
      <c r="F30" s="2630"/>
      <c r="G30" s="2290"/>
      <c r="H30" s="1278"/>
      <c r="I30" s="1279"/>
      <c r="J30" s="1280"/>
      <c r="K30" s="1281"/>
      <c r="L30" s="1282"/>
      <c r="M30" s="1283"/>
    </row>
    <row r="31" spans="1:37" ht="18" customHeight="1">
      <c r="A31" s="2440" t="s">
        <v>2553</v>
      </c>
      <c r="B31" s="684" t="s">
        <v>364</v>
      </c>
      <c r="C31" s="313">
        <f ca="1">ROUND(IF(项目基本情况!B11="自然人",C5*F31,C32+C33+C34),1)</f>
        <v>93.6</v>
      </c>
      <c r="D31" s="2217" t="s">
        <v>935</v>
      </c>
      <c r="E31" s="2215"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2618</v>
      </c>
      <c r="B32" s="684" t="s">
        <v>937</v>
      </c>
      <c r="C32" s="313">
        <f ca="1">IF(项目基本情况!B11="自然人","——",ROUND(C5*F32/(1+'数据-取费表'!C42),2))</f>
        <v>35.1</v>
      </c>
      <c r="D32" s="2215" t="s">
        <v>938</v>
      </c>
      <c r="E32" s="684" t="s">
        <v>930</v>
      </c>
      <c r="F32" s="717">
        <f>'数据-取费表'!B41</f>
        <v>5.5000000000000007E-2</v>
      </c>
      <c r="G32" s="2290"/>
      <c r="H32" s="1284"/>
      <c r="I32" s="1285"/>
      <c r="J32" s="1286"/>
      <c r="K32" s="1287"/>
      <c r="L32" s="1288"/>
      <c r="M32" s="1289"/>
    </row>
    <row r="33" spans="1:18" ht="18" customHeight="1">
      <c r="A33" s="2440" t="s">
        <v>2619</v>
      </c>
      <c r="B33" s="684" t="s">
        <v>940</v>
      </c>
      <c r="C33" s="313">
        <f ca="1">IF(项目基本情况!B11="自然人","——",IF(D33="按租金收入计税",ROUND(C5*F33,2),IF(D33="按房产原值计税",ROUND(C29*F33*0.7,2),INDIRECT("'数据-取费表'!Aj"&amp;$G$1))))</f>
        <v>47.7</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975</v>
      </c>
      <c r="C34" s="314">
        <f ca="1">IF(项目基本情况!B11="自然人","——",ROUND(F34*F35/10000,2))</f>
        <v>10.81</v>
      </c>
      <c r="D34" s="710" t="s">
        <v>976</v>
      </c>
      <c r="E34" s="684" t="s">
        <v>977</v>
      </c>
      <c r="F34" s="711">
        <f>'数据-取费表'!B52</f>
        <v>1.5</v>
      </c>
      <c r="G34" s="2290"/>
      <c r="H34" s="1278"/>
      <c r="I34" s="2886"/>
      <c r="J34" s="2887"/>
      <c r="K34" s="1292"/>
      <c r="L34" s="1293"/>
      <c r="M34" s="1293"/>
    </row>
    <row r="35" spans="1:18" ht="18" customHeight="1">
      <c r="A35" s="2698"/>
      <c r="B35" s="2696"/>
      <c r="C35" s="318"/>
      <c r="D35" s="713"/>
      <c r="E35" s="684" t="s">
        <v>948</v>
      </c>
      <c r="F35" s="685">
        <f ca="1">INDIRECT("'数据-取费表'!r"&amp;$G$1)</f>
        <v>72086.12</v>
      </c>
      <c r="G35" s="2290"/>
      <c r="H35" s="1278"/>
      <c r="I35" s="2886"/>
      <c r="J35" s="2887"/>
      <c r="K35" s="1291"/>
      <c r="L35" s="1290"/>
      <c r="M35" s="1290"/>
    </row>
    <row r="36" spans="1:18" ht="18" customHeight="1">
      <c r="A36" s="2697" t="s">
        <v>2393</v>
      </c>
      <c r="B36" s="684" t="s">
        <v>950</v>
      </c>
      <c r="C36" s="313">
        <f ca="1">ROUND(C29*F36,1)</f>
        <v>85.2</v>
      </c>
      <c r="D36" s="2215" t="s">
        <v>980</v>
      </c>
      <c r="E36" s="684" t="s">
        <v>981</v>
      </c>
      <c r="F36" s="714">
        <f ca="1">INDIRECT("'数据-取费表'!Ak"&amp;$G$1)</f>
        <v>1.4999999999999999E-2</v>
      </c>
      <c r="G36" s="2290"/>
      <c r="H36" s="1290"/>
      <c r="I36" s="2886"/>
      <c r="J36" s="2887"/>
      <c r="K36" s="1294"/>
      <c r="L36" s="1290"/>
      <c r="M36" s="1290"/>
    </row>
    <row r="37" spans="1:18" ht="18" customHeight="1">
      <c r="A37" s="2440" t="s">
        <v>2624</v>
      </c>
      <c r="B37" s="684" t="s">
        <v>369</v>
      </c>
      <c r="C37" s="313">
        <f ca="1">ROUND(C13*F37,1)</f>
        <v>10.4</v>
      </c>
      <c r="D37" s="2215" t="s">
        <v>370</v>
      </c>
      <c r="E37" s="684" t="s">
        <v>371</v>
      </c>
      <c r="F37" s="716">
        <f ca="1">INDIRECT("'数据-取费表'!Al"&amp;$G$1)</f>
        <v>2E-3</v>
      </c>
      <c r="G37" s="2290"/>
      <c r="H37" s="1290"/>
      <c r="I37" s="2886"/>
      <c r="J37" s="2887"/>
      <c r="K37" s="1294"/>
      <c r="L37" s="1290"/>
      <c r="M37" s="1290"/>
    </row>
    <row r="38" spans="1:18" ht="18" customHeight="1" thickBot="1">
      <c r="A38" s="2680" t="s">
        <v>2625</v>
      </c>
      <c r="B38" s="2681" t="s">
        <v>368</v>
      </c>
      <c r="C38" s="2682">
        <f ca="1">ROUND(C5*F38,1)</f>
        <v>10.1</v>
      </c>
      <c r="D38" s="2683" t="s">
        <v>372</v>
      </c>
      <c r="E38" s="2681" t="s">
        <v>371</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471</v>
      </c>
      <c r="D39" s="2686" t="s">
        <v>379</v>
      </c>
      <c r="E39" s="2687"/>
      <c r="F39" s="2688"/>
      <c r="G39" s="2290"/>
      <c r="H39" s="1290"/>
      <c r="I39" s="2886"/>
      <c r="J39" s="2887"/>
      <c r="K39" s="1295"/>
      <c r="L39" s="1290"/>
      <c r="M39" s="1290"/>
    </row>
    <row r="40" spans="1:18" ht="18" customHeight="1">
      <c r="A40" s="681" t="s">
        <v>2369</v>
      </c>
      <c r="B40" s="682" t="s">
        <v>380</v>
      </c>
      <c r="C40" s="683">
        <f ca="1">ROUND(C39*(1-((1+F42)/(1+F40))^F41)/(F40-F42),0)</f>
        <v>11417</v>
      </c>
      <c r="D40" s="710" t="s">
        <v>374</v>
      </c>
      <c r="E40" s="684" t="s">
        <v>375</v>
      </c>
      <c r="F40" s="694">
        <f ca="1">INDIRECT("'数据-取费表'!I"&amp;$G$1)</f>
        <v>5.5E-2</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45.03</v>
      </c>
      <c r="G41" s="2290"/>
      <c r="H41" s="1192"/>
      <c r="I41" s="2886"/>
      <c r="J41" s="2887"/>
      <c r="K41" s="1294"/>
      <c r="L41" s="1192"/>
      <c r="M41" s="1192"/>
    </row>
    <row r="42" spans="1:18" ht="18" customHeight="1">
      <c r="A42" s="690"/>
      <c r="B42" s="691"/>
      <c r="C42" s="692"/>
      <c r="D42" s="713"/>
      <c r="E42" s="684" t="s">
        <v>383</v>
      </c>
      <c r="F42" s="694">
        <f ca="1">INDIRECT("'数据-取费表'!v"&amp;$G$1)</f>
        <v>2.5000000000000001E-2</v>
      </c>
      <c r="G42" s="2290"/>
      <c r="H42" s="1192"/>
      <c r="I42" s="2886"/>
      <c r="J42" s="2887"/>
      <c r="K42" s="1294"/>
      <c r="L42" s="1192"/>
      <c r="M42" s="1192"/>
    </row>
    <row r="43" spans="1:18" ht="18" customHeight="1" thickBot="1">
      <c r="A43" s="720" t="s">
        <v>2376</v>
      </c>
      <c r="B43" s="721" t="s">
        <v>384</v>
      </c>
      <c r="C43" s="722">
        <f ca="1">ROUND(C40*10000/F43,0)</f>
        <v>5603</v>
      </c>
      <c r="D43" s="723" t="s">
        <v>385</v>
      </c>
      <c r="E43" s="724" t="s">
        <v>386</v>
      </c>
      <c r="F43" s="725">
        <f ca="1">INDIRECT("'数据-取费表'!k"&amp;$G$1)</f>
        <v>20377.830000000002</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-13966</v>
      </c>
      <c r="D46" s="2728" t="str">
        <f>C2</f>
        <v>万元</v>
      </c>
      <c r="E46" s="1433"/>
      <c r="F46" s="1433"/>
      <c r="I46" s="2580" t="s">
        <v>2435</v>
      </c>
      <c r="J46" s="2581"/>
      <c r="K46" s="2582"/>
      <c r="L46" s="2584">
        <f ca="1">IF(M47="住宅",0,IF(L48&gt;J51,L60,J60))</f>
        <v>47</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3068</v>
      </c>
      <c r="K47" s="2565" t="s">
        <v>2451</v>
      </c>
      <c r="L47" s="2566">
        <f ca="1">INDIRECT("'数据-取费表'!d"&amp;$G$1)</f>
        <v>50</v>
      </c>
      <c r="M47" s="2586" t="str">
        <f>IF(ISNUMBER(FIND("住宅",C1)),"住宅","非住宅")</f>
        <v>非住宅</v>
      </c>
      <c r="O47" s="2589" t="s">
        <v>2463</v>
      </c>
      <c r="P47" s="2599" t="s">
        <v>2481</v>
      </c>
      <c r="Q47" s="2590">
        <f ca="1">C40+J29</f>
        <v>11417</v>
      </c>
      <c r="R47" s="2590" t="s">
        <v>2482</v>
      </c>
    </row>
    <row r="48" spans="1:18" s="1455" customFormat="1" ht="47.25" thickBot="1">
      <c r="A48" s="2713" t="s">
        <v>2630</v>
      </c>
      <c r="B48" s="682" t="s">
        <v>2345</v>
      </c>
      <c r="C48" s="2723">
        <f ca="1">C49+C53+C55</f>
        <v>0</v>
      </c>
      <c r="D48" s="2717"/>
      <c r="E48" s="2718"/>
      <c r="F48" s="2420"/>
      <c r="G48" s="1457"/>
      <c r="H48" s="1458"/>
      <c r="I48" s="2546" t="s">
        <v>2429</v>
      </c>
      <c r="J48" s="2557" t="s">
        <v>2430</v>
      </c>
      <c r="K48" s="2567" t="s">
        <v>2452</v>
      </c>
      <c r="L48" s="2170">
        <f ca="1">INDIRECT("'数据-取费表'!f"&amp;$G$1)</f>
        <v>45.03</v>
      </c>
      <c r="O48" s="2589" t="s">
        <v>2464</v>
      </c>
      <c r="P48" s="2599" t="s">
        <v>2483</v>
      </c>
      <c r="Q48" s="2590">
        <f ca="1">J60</f>
        <v>47</v>
      </c>
      <c r="R48" s="2590" t="s">
        <v>2491</v>
      </c>
    </row>
    <row r="49" spans="1:18" s="1455" customFormat="1" ht="15.75" thickBot="1">
      <c r="A49" s="2433" t="s">
        <v>2631</v>
      </c>
      <c r="B49" s="2716" t="s">
        <v>2633</v>
      </c>
      <c r="C49" s="2725">
        <f ca="1">ROUND(F49*F51*F50*(1-F52)/10000,0)</f>
        <v>0</v>
      </c>
      <c r="D49" s="2535" t="s">
        <v>2346</v>
      </c>
      <c r="E49" s="2538" t="s">
        <v>2339</v>
      </c>
      <c r="F49" s="2541"/>
      <c r="G49" s="1459"/>
      <c r="H49" s="1458"/>
      <c r="I49" s="2546" t="s">
        <v>2449</v>
      </c>
      <c r="J49" s="2558">
        <v>2013</v>
      </c>
      <c r="K49" s="2568" t="s">
        <v>2454</v>
      </c>
      <c r="L49" s="2569"/>
      <c r="O49" s="2591" t="s">
        <v>2465</v>
      </c>
      <c r="P49" s="2599" t="s">
        <v>2484</v>
      </c>
      <c r="Q49" s="2590">
        <f ca="1">C29</f>
        <v>5678</v>
      </c>
      <c r="R49" s="2590" t="s">
        <v>2482</v>
      </c>
    </row>
    <row r="50" spans="1:18" s="1455" customFormat="1" ht="15.75" thickBot="1">
      <c r="A50" s="2434"/>
      <c r="B50" s="2437"/>
      <c r="C50" s="2733"/>
      <c r="D50" s="2407"/>
      <c r="E50" s="2536" t="s">
        <v>2347</v>
      </c>
      <c r="F50" s="2537">
        <f ca="1">F7</f>
        <v>20377.830000000002</v>
      </c>
      <c r="H50" s="1458"/>
      <c r="I50" s="2546" t="s">
        <v>2431</v>
      </c>
      <c r="J50" s="2559">
        <f>SUMPRODUCT((I63:I65=J47)*(J62:L62=J48)*(J63:L65))</f>
        <v>50</v>
      </c>
      <c r="K50" s="2568" t="s">
        <v>2455</v>
      </c>
      <c r="L50" s="2569"/>
      <c r="M50" s="2563"/>
      <c r="O50" s="2591" t="s">
        <v>2466</v>
      </c>
      <c r="P50" s="2599" t="s">
        <v>2492</v>
      </c>
      <c r="Q50" s="2592">
        <f ca="1">J58</f>
        <v>0.4</v>
      </c>
      <c r="R50" s="2590"/>
    </row>
    <row r="51" spans="1:18" s="1455" customFormat="1" ht="15.75" thickBot="1">
      <c r="A51" s="2435"/>
      <c r="B51" s="2437"/>
      <c r="C51" s="2438"/>
      <c r="D51" s="2407"/>
      <c r="E51" s="2439" t="s">
        <v>2348</v>
      </c>
      <c r="F51" s="685">
        <f ca="1">F8</f>
        <v>365</v>
      </c>
      <c r="I51" s="2560" t="s">
        <v>2436</v>
      </c>
      <c r="J51" s="2561">
        <f>IF(J49="",J50,J49+J50-YEAR('数据-取费表'!B2))</f>
        <v>46</v>
      </c>
      <c r="K51" s="2570" t="s">
        <v>2456</v>
      </c>
      <c r="L51" s="2583">
        <f ca="1">ROUND(-PV(INDIRECT("'数据-取费表'!h"&amp;$G$1),L48,(C39-C13*C76),0),0)</f>
        <v>479</v>
      </c>
      <c r="M51" s="2564"/>
      <c r="O51" s="2591" t="s">
        <v>2467</v>
      </c>
      <c r="P51" s="2599" t="s">
        <v>2493</v>
      </c>
      <c r="Q51" s="2592">
        <f>J52</f>
        <v>0.09</v>
      </c>
      <c r="R51" s="2590"/>
    </row>
    <row r="52" spans="1:18" s="1455" customFormat="1" ht="15.75" thickBot="1">
      <c r="A52" s="2435"/>
      <c r="B52" s="2437"/>
      <c r="C52" s="2438"/>
      <c r="D52" s="2407"/>
      <c r="E52" s="2439" t="s">
        <v>2349</v>
      </c>
      <c r="F52" s="2534"/>
      <c r="I52" s="2562" t="s">
        <v>2459</v>
      </c>
      <c r="J52" s="2576">
        <v>0.09</v>
      </c>
      <c r="K52" s="2562" t="s">
        <v>2444</v>
      </c>
      <c r="L52" s="2576"/>
      <c r="M52" s="2399"/>
      <c r="O52" s="2591" t="s">
        <v>2468</v>
      </c>
      <c r="P52" s="2599" t="s">
        <v>2485</v>
      </c>
      <c r="Q52" s="2590">
        <f ca="1">J53</f>
        <v>45.03</v>
      </c>
      <c r="R52" s="2590" t="s">
        <v>2486</v>
      </c>
    </row>
    <row r="53" spans="1:18" s="1455" customFormat="1" ht="43.5" thickBot="1">
      <c r="A53" s="2831" t="s">
        <v>2632</v>
      </c>
      <c r="B53" s="433" t="s">
        <v>2542</v>
      </c>
      <c r="C53" s="698">
        <f ca="1">ROUND(IF(F53="押一",F49*F51*F50/12*F11,IF(F53="押二",F49*F51*F50/12*2*F11,IF(F53="押三",F49*F51*F50/12*3*F11,C54*F11)))/10000,0)</f>
        <v>0</v>
      </c>
      <c r="D53" s="2636" t="s">
        <v>2550</v>
      </c>
      <c r="E53" s="2099" t="s">
        <v>2544</v>
      </c>
      <c r="F53" s="2833"/>
      <c r="I53" s="2572" t="s">
        <v>2461</v>
      </c>
      <c r="J53" s="2573">
        <f ca="1">IF(M47="住宅",J51,MIN(J51,L48))</f>
        <v>45.03</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6"/>
      <c r="O53" s="2589" t="s">
        <v>2469</v>
      </c>
      <c r="P53" s="2599" t="s">
        <v>2487</v>
      </c>
      <c r="Q53" s="2590">
        <f ca="1">Q47+Q48</f>
        <v>11464</v>
      </c>
      <c r="R53" s="2590" t="s">
        <v>2470</v>
      </c>
    </row>
    <row r="54" spans="1:18" s="1455" customFormat="1" ht="16.5" thickBot="1">
      <c r="A54" s="2832"/>
      <c r="B54" s="2626" t="s">
        <v>2709</v>
      </c>
      <c r="C54" s="2417"/>
      <c r="D54" s="2636"/>
      <c r="E54" s="2780"/>
      <c r="F54" s="2542"/>
      <c r="I54" s="2414"/>
      <c r="J54" s="2571"/>
      <c r="K54" s="2571"/>
      <c r="L54" s="2571"/>
      <c r="M54" s="1459"/>
      <c r="O54" s="2593" t="s">
        <v>2494</v>
      </c>
      <c r="P54" s="1296"/>
      <c r="Q54" s="1296"/>
      <c r="R54" s="1296"/>
    </row>
    <row r="55" spans="1:18" s="1455" customFormat="1" ht="15.75" thickBot="1">
      <c r="A55" s="2672" t="s">
        <v>2555</v>
      </c>
      <c r="B55" s="2673" t="s">
        <v>2543</v>
      </c>
      <c r="C55" s="2674"/>
      <c r="D55" s="2636"/>
      <c r="E55" s="2712"/>
      <c r="F55" s="2542"/>
      <c r="I55" s="3325" t="s">
        <v>2437</v>
      </c>
      <c r="J55" s="3324">
        <f ca="1">ROUND(IF(J47="钢混",J57/J50,1-(1-2%)*(J50-J57)/J50),3)</f>
        <v>3.9E-2</v>
      </c>
      <c r="K55" s="2553" t="s">
        <v>2438</v>
      </c>
      <c r="L55" s="2575" t="s">
        <v>3069</v>
      </c>
      <c r="O55" s="2596" t="s">
        <v>2478</v>
      </c>
      <c r="P55" s="2597" t="s">
        <v>2479</v>
      </c>
      <c r="Q55" s="2598" t="s">
        <v>2477</v>
      </c>
      <c r="R55" s="2598" t="s">
        <v>2480</v>
      </c>
    </row>
    <row r="56" spans="1:18" s="1455" customFormat="1" ht="44.25" thickTop="1" thickBot="1">
      <c r="A56" s="2411">
        <v>2</v>
      </c>
      <c r="B56" s="2412" t="s">
        <v>2350</v>
      </c>
      <c r="C56" s="608">
        <f ca="1">C13</f>
        <v>5224</v>
      </c>
      <c r="D56" s="2700"/>
      <c r="E56" s="2413"/>
      <c r="F56" s="2542"/>
      <c r="I56" s="2545" t="s">
        <v>2439</v>
      </c>
      <c r="J56" s="2574" t="s">
        <v>41</v>
      </c>
      <c r="K56" s="2546" t="s">
        <v>2443</v>
      </c>
      <c r="L56" s="2170" t="str">
        <f ca="1">IF(L48&lt;J51,"——",L48-J51)</f>
        <v>——</v>
      </c>
      <c r="O56" s="2589" t="s">
        <v>2463</v>
      </c>
      <c r="P56" s="2599" t="s">
        <v>2481</v>
      </c>
      <c r="Q56" s="2590">
        <f ca="1">C40+J29</f>
        <v>11417</v>
      </c>
      <c r="R56" s="2590" t="s">
        <v>2482</v>
      </c>
    </row>
    <row r="57" spans="1:18" s="1455" customFormat="1" ht="29.25" thickBot="1">
      <c r="A57" s="2543"/>
      <c r="B57" s="2404" t="s">
        <v>2380</v>
      </c>
      <c r="C57" s="614">
        <f ca="1">C29</f>
        <v>5678</v>
      </c>
      <c r="D57" s="2415"/>
      <c r="E57" s="2416"/>
      <c r="F57" s="2544"/>
      <c r="I57" s="2547" t="s">
        <v>2460</v>
      </c>
      <c r="J57" s="2551">
        <f ca="1">IF(OR(M47="住宅",J51&lt;L48,J56="是"),"——",J51-L48)</f>
        <v>0.96999999999999886</v>
      </c>
      <c r="K57" s="2546" t="s">
        <v>2913</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154</v>
      </c>
      <c r="D58" s="2418" t="s">
        <v>2382</v>
      </c>
      <c r="E58" s="2419"/>
      <c r="F58" s="2420"/>
      <c r="I58" s="2547" t="s">
        <v>2440</v>
      </c>
      <c r="J58" s="3326">
        <f ca="1">IF(J55&lt;0.4,0.4,J55)</f>
        <v>0.4</v>
      </c>
      <c r="K58" s="2570" t="s">
        <v>2914</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58.5</v>
      </c>
      <c r="D59" s="2421" t="s">
        <v>2352</v>
      </c>
      <c r="E59" s="2422" t="s">
        <v>2353</v>
      </c>
      <c r="F59" s="708" t="str">
        <f ca="1">IF(项目基本情况!B11="企业","",IF(INDIRECT("'数据-取费表'!c"&amp;$G$1)="住宅",5%,IF(F49*F50*F51/12/(1+'数据-取费表'!C42)&gt;20000,12%,7%)))</f>
        <v/>
      </c>
      <c r="I59" s="2547" t="s">
        <v>2441</v>
      </c>
      <c r="J59" s="2551">
        <f ca="1">IF(OR(M47="住宅",J51&lt;L48,J56="是"),"——",ROUND(C29*J58,0))</f>
        <v>2271</v>
      </c>
      <c r="K59" s="2570" t="s">
        <v>2915</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5.5000000000000007E-2</v>
      </c>
      <c r="I60" s="2548" t="s">
        <v>2442</v>
      </c>
      <c r="J60" s="2552">
        <f ca="1">IF(OR(M47="住宅",J51&lt;L48,J56="是"),"0",ROUND(J59/(1+J52)^J53,0))</f>
        <v>47</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47.7</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10.81</v>
      </c>
      <c r="D62" s="2423" t="s">
        <v>2359</v>
      </c>
      <c r="E62" s="2404" t="s">
        <v>2360</v>
      </c>
      <c r="F62" s="711">
        <f t="shared" si="0"/>
        <v>1.5</v>
      </c>
      <c r="I62" s="2549" t="s">
        <v>2432</v>
      </c>
      <c r="J62" s="2550" t="s">
        <v>2433</v>
      </c>
      <c r="K62" s="2550" t="s">
        <v>2434</v>
      </c>
      <c r="L62" s="2550" t="s">
        <v>2430</v>
      </c>
      <c r="M62" s="3327" t="s">
        <v>3050</v>
      </c>
      <c r="O62" s="2589" t="s">
        <v>2469</v>
      </c>
      <c r="P62" s="2599" t="s">
        <v>2487</v>
      </c>
      <c r="Q62" s="2590">
        <f ca="1">Q56+Q57</f>
        <v>11417</v>
      </c>
      <c r="R62" s="2590" t="s">
        <v>2470</v>
      </c>
    </row>
    <row r="63" spans="1:18" s="1455" customFormat="1" ht="16.5" thickBot="1">
      <c r="A63" s="712"/>
      <c r="B63" s="2410"/>
      <c r="C63" s="318"/>
      <c r="D63" s="2424"/>
      <c r="E63" s="2404" t="s">
        <v>2361</v>
      </c>
      <c r="F63" s="685">
        <f t="shared" ca="1" si="0"/>
        <v>72086.12</v>
      </c>
      <c r="I63" s="2549" t="s">
        <v>2446</v>
      </c>
      <c r="J63" s="3330">
        <v>70</v>
      </c>
      <c r="K63" s="3330">
        <v>50</v>
      </c>
      <c r="L63" s="3330">
        <v>80</v>
      </c>
      <c r="M63" s="3328">
        <v>0.02</v>
      </c>
      <c r="O63" s="2593" t="s">
        <v>2501</v>
      </c>
      <c r="P63" s="1296"/>
      <c r="Q63" s="1296"/>
      <c r="R63" s="1296"/>
    </row>
    <row r="64" spans="1:18" s="1455" customFormat="1" ht="15.75" thickBot="1">
      <c r="A64" s="2440" t="s">
        <v>2393</v>
      </c>
      <c r="B64" s="2404" t="s">
        <v>2362</v>
      </c>
      <c r="C64" s="313">
        <f ca="1">ROUND(C57*F64,1)</f>
        <v>85.2</v>
      </c>
      <c r="D64" s="2422" t="s">
        <v>2363</v>
      </c>
      <c r="E64" s="2404" t="s">
        <v>2356</v>
      </c>
      <c r="F64" s="714">
        <f t="shared" ca="1" si="0"/>
        <v>1.4999999999999999E-2</v>
      </c>
      <c r="I64" s="2549" t="s">
        <v>2447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ROUND(C56*F65,1)</f>
        <v>10.4</v>
      </c>
      <c r="D65" s="2422" t="s">
        <v>2364</v>
      </c>
      <c r="E65" s="2404" t="s">
        <v>2356</v>
      </c>
      <c r="F65" s="716">
        <f t="shared" ca="1" si="0"/>
        <v>2E-3</v>
      </c>
      <c r="I65" s="2549" t="s">
        <v>2448</v>
      </c>
      <c r="J65" s="3330">
        <v>40</v>
      </c>
      <c r="K65" s="3330">
        <v>30</v>
      </c>
      <c r="L65" s="3330">
        <v>50</v>
      </c>
      <c r="M65" s="3328">
        <v>0.02</v>
      </c>
      <c r="O65" s="2589" t="s">
        <v>2463</v>
      </c>
      <c r="P65" s="2599" t="s">
        <v>2481</v>
      </c>
      <c r="Q65" s="2590">
        <f ca="1">C40+J29</f>
        <v>11417</v>
      </c>
      <c r="R65" s="2590" t="s">
        <v>2482</v>
      </c>
    </row>
    <row r="66" spans="1:18" s="1455" customFormat="1" ht="20.25" thickBot="1">
      <c r="A66" s="2440" t="s">
        <v>2388</v>
      </c>
      <c r="B66" s="2404" t="s">
        <v>368</v>
      </c>
      <c r="C66" s="313">
        <f ca="1">ROUND(C48*F66,1)</f>
        <v>0</v>
      </c>
      <c r="D66" s="2422" t="s">
        <v>2365</v>
      </c>
      <c r="E66" s="2404" t="s">
        <v>2356</v>
      </c>
      <c r="F66" s="694">
        <f t="shared" ca="1" si="0"/>
        <v>1.4999999999999999E-2</v>
      </c>
      <c r="O66" s="2589" t="s">
        <v>2464</v>
      </c>
      <c r="P66" s="2599" t="s">
        <v>2488</v>
      </c>
      <c r="Q66" s="2590">
        <f ca="1">L60</f>
        <v>0</v>
      </c>
      <c r="R66" s="2590" t="s">
        <v>2471</v>
      </c>
    </row>
    <row r="67" spans="1:18" s="1455" customFormat="1" ht="23.25" thickBot="1">
      <c r="A67" s="2411" t="s">
        <v>2366</v>
      </c>
      <c r="B67" s="2425" t="s">
        <v>2367</v>
      </c>
      <c r="C67" s="698">
        <f ca="1">C48-C58</f>
        <v>-154</v>
      </c>
      <c r="D67" s="2421" t="s">
        <v>2368</v>
      </c>
      <c r="E67" s="2426"/>
      <c r="F67" s="2427"/>
      <c r="O67" s="2591" t="s">
        <v>2465</v>
      </c>
      <c r="P67" s="2599" t="s">
        <v>2495</v>
      </c>
      <c r="Q67" s="2594">
        <f ca="1">L51</f>
        <v>479</v>
      </c>
      <c r="R67" s="2595" t="s">
        <v>2505</v>
      </c>
    </row>
    <row r="68" spans="1:18" s="1455" customFormat="1" ht="20.25" thickBot="1">
      <c r="A68" s="2401" t="s">
        <v>2369</v>
      </c>
      <c r="B68" s="2402" t="s">
        <v>2370</v>
      </c>
      <c r="C68" s="683">
        <f ca="1">ROUND(C67*(1-((1+F70)/(1+F68))^F69)/(F68-F70),0)</f>
        <v>-2549</v>
      </c>
      <c r="D68" s="2423" t="s">
        <v>2371</v>
      </c>
      <c r="E68" s="2404" t="s">
        <v>2372</v>
      </c>
      <c r="F68" s="694">
        <f ca="1">F40</f>
        <v>5.5E-2</v>
      </c>
      <c r="O68" s="2591" t="s">
        <v>2466</v>
      </c>
      <c r="P68" s="2600" t="s">
        <v>2499</v>
      </c>
      <c r="Q68" s="2590">
        <f ca="1">ROUND(Q69-Q70*Q71,0)</f>
        <v>27</v>
      </c>
      <c r="R68" s="2590" t="s">
        <v>2504</v>
      </c>
    </row>
    <row r="69" spans="1:18" s="1455" customFormat="1" ht="15.75" thickBot="1">
      <c r="A69" s="2405"/>
      <c r="B69" s="2406"/>
      <c r="C69" s="688"/>
      <c r="D69" s="2428" t="s">
        <v>2373</v>
      </c>
      <c r="E69" s="2404" t="s">
        <v>2374</v>
      </c>
      <c r="F69" s="719">
        <f ca="1">F41</f>
        <v>45.03</v>
      </c>
      <c r="O69" s="2591" t="s">
        <v>2474</v>
      </c>
      <c r="P69" s="2600" t="s">
        <v>2489</v>
      </c>
      <c r="Q69" s="2590">
        <f ca="1">C39</f>
        <v>471</v>
      </c>
      <c r="R69" s="2590" t="s">
        <v>2482</v>
      </c>
    </row>
    <row r="70" spans="1:18" s="1455" customFormat="1" ht="15.75" thickBot="1">
      <c r="A70" s="2408"/>
      <c r="B70" s="2409"/>
      <c r="C70" s="692"/>
      <c r="D70" s="2424"/>
      <c r="E70" s="2404" t="s">
        <v>2375</v>
      </c>
      <c r="F70" s="2534"/>
      <c r="O70" s="2591" t="s">
        <v>2475</v>
      </c>
      <c r="P70" s="2600" t="s">
        <v>2490</v>
      </c>
      <c r="Q70" s="2590">
        <f ca="1">C13</f>
        <v>5224</v>
      </c>
      <c r="R70" s="2590" t="s">
        <v>2482</v>
      </c>
    </row>
    <row r="71" spans="1:18" s="1455" customFormat="1" ht="15.75" thickBot="1">
      <c r="A71" s="2429" t="s">
        <v>2376</v>
      </c>
      <c r="B71" s="2430" t="s">
        <v>2377</v>
      </c>
      <c r="C71" s="722">
        <f ca="1">ROUND(C68*10000/F71,0)</f>
        <v>-1251</v>
      </c>
      <c r="D71" s="2431" t="s">
        <v>2378</v>
      </c>
      <c r="E71" s="2432" t="s">
        <v>2379</v>
      </c>
      <c r="F71" s="725">
        <f ca="1">F43</f>
        <v>20377.830000000002</v>
      </c>
      <c r="I71" s="2399"/>
      <c r="K71" s="2399"/>
      <c r="O71" s="2591" t="s">
        <v>2476</v>
      </c>
      <c r="P71" s="2600" t="s">
        <v>2502</v>
      </c>
      <c r="Q71" s="2592">
        <f ca="1">C76</f>
        <v>8.5000000000000006E-2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444</v>
      </c>
      <c r="D75" s="1455"/>
      <c r="E75" s="1455"/>
      <c r="F75" s="1455"/>
      <c r="K75" s="1456"/>
      <c r="L75" s="1455"/>
      <c r="O75" s="2589" t="s">
        <v>2469</v>
      </c>
      <c r="P75" s="2599" t="s">
        <v>2487</v>
      </c>
      <c r="Q75" s="2590">
        <f ca="1">Q65+Q66</f>
        <v>11417</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2710</v>
      </c>
      <c r="C78" s="735"/>
    </row>
    <row r="79" spans="1:18">
      <c r="B79" s="2878" t="s">
        <v>2714</v>
      </c>
      <c r="C79" s="650">
        <f ca="1">1-C80</f>
        <v>5.7000000000000051E-2</v>
      </c>
    </row>
    <row r="80" spans="1:18">
      <c r="B80" s="2878" t="s">
        <v>2713</v>
      </c>
      <c r="C80" s="650">
        <f ca="1">ROUND(C75/C39,3)</f>
        <v>0.94299999999999995</v>
      </c>
    </row>
    <row r="81" spans="2:3">
      <c r="B81" s="646" t="s">
        <v>388</v>
      </c>
      <c r="C81" s="647"/>
    </row>
    <row r="82" spans="2:3">
      <c r="B82" s="2877" t="s">
        <v>2712</v>
      </c>
      <c r="C82" s="651">
        <f ca="1">1-C83</f>
        <v>0.54200000000000004</v>
      </c>
    </row>
    <row r="83" spans="2:3">
      <c r="B83" s="2877" t="s">
        <v>2711</v>
      </c>
      <c r="C83" s="650">
        <f ca="1">ROUND(C13/C40,3)</f>
        <v>0.45800000000000002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2634</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2548</v>
      </c>
      <c r="E5" s="2629"/>
      <c r="F5" s="2630"/>
      <c r="G5" s="2290"/>
      <c r="H5" s="681">
        <v>1</v>
      </c>
      <c r="I5" s="682" t="s">
        <v>2345</v>
      </c>
      <c r="J5" s="2628">
        <f ca="1">J6+J10+J12</f>
        <v>0</v>
      </c>
      <c r="K5" s="2631" t="s">
        <v>2548</v>
      </c>
      <c r="L5" s="2629"/>
      <c r="M5" s="2630"/>
    </row>
    <row r="6" spans="1:37" ht="18" customHeight="1">
      <c r="A6" s="2624" t="s">
        <v>2386</v>
      </c>
      <c r="B6" s="3527" t="s">
        <v>2547</v>
      </c>
      <c r="C6" s="2633">
        <f ca="1">ROUND(F6*F8*F7*(1-F9),0)</f>
        <v>0</v>
      </c>
      <c r="D6" s="2627" t="s">
        <v>2549</v>
      </c>
      <c r="E6" s="684" t="s">
        <v>920</v>
      </c>
      <c r="F6" s="685">
        <f ca="1">INDIRECT("'数据-取费表'!u"&amp;$G$1)</f>
        <v>0</v>
      </c>
      <c r="G6" s="2290"/>
      <c r="H6" s="2624" t="s">
        <v>2386</v>
      </c>
      <c r="I6" s="3527" t="s">
        <v>2547</v>
      </c>
      <c r="J6" s="683">
        <f ca="1">ROUND(M6*M8*M7*(1-M9),0)</f>
        <v>0</v>
      </c>
      <c r="K6" s="2627" t="s">
        <v>2549</v>
      </c>
      <c r="L6" s="684" t="s">
        <v>920</v>
      </c>
      <c r="M6" s="685">
        <f ca="1">INDIRECT("'数据-取费表'!z"&amp;$G$1)</f>
        <v>0</v>
      </c>
    </row>
    <row r="7" spans="1:37" ht="18" customHeight="1">
      <c r="A7" s="2632"/>
      <c r="B7" s="3528"/>
      <c r="C7" s="2634"/>
      <c r="D7" s="2063"/>
      <c r="E7" s="2635" t="s">
        <v>921</v>
      </c>
      <c r="F7" s="685">
        <f ca="1">IF(INDIRECT("'数据-取费表'!ah"&amp;$G$1)="",INDIRECT("'数据-取费表'!k"&amp;$G$1),INDIRECT("'数据-取费表'!ah"&amp;$G$1))</f>
        <v>0</v>
      </c>
      <c r="G7" s="2290"/>
      <c r="H7" s="686"/>
      <c r="I7" s="3528"/>
      <c r="J7" s="688"/>
      <c r="K7" s="689"/>
      <c r="L7" s="684" t="s">
        <v>921</v>
      </c>
      <c r="M7" s="685">
        <f ca="1">F7</f>
        <v>0</v>
      </c>
    </row>
    <row r="8" spans="1:37" ht="18" customHeight="1">
      <c r="A8" s="686"/>
      <c r="B8" s="3528"/>
      <c r="C8" s="688"/>
      <c r="D8" s="689"/>
      <c r="E8" s="684" t="s">
        <v>922</v>
      </c>
      <c r="F8" s="685">
        <f ca="1">INDIRECT("'数据-取费表'!ai"&amp;$G$1)</f>
        <v>0</v>
      </c>
      <c r="G8" s="2290"/>
      <c r="H8" s="686"/>
      <c r="I8" s="3528"/>
      <c r="J8" s="688"/>
      <c r="K8" s="689"/>
      <c r="L8" s="684" t="s">
        <v>922</v>
      </c>
      <c r="M8" s="685">
        <f ca="1">INDIRECT("'数据-取费表'!ai"&amp;$G$1)</f>
        <v>0</v>
      </c>
    </row>
    <row r="9" spans="1:37" ht="18" customHeight="1">
      <c r="A9" s="686"/>
      <c r="B9" s="3529"/>
      <c r="C9" s="688"/>
      <c r="D9" s="689"/>
      <c r="E9" s="684" t="s">
        <v>923</v>
      </c>
      <c r="F9" s="694">
        <f ca="1">INDIRECT("'数据-取费表'!w"&amp;$G$1)</f>
        <v>0</v>
      </c>
      <c r="G9" s="2290"/>
      <c r="H9" s="686"/>
      <c r="I9" s="3529"/>
      <c r="J9" s="688"/>
      <c r="K9" s="689"/>
      <c r="L9" s="695" t="s">
        <v>923</v>
      </c>
      <c r="M9" s="696">
        <f ca="1">INDIRECT("'数据-取费表'!ab"&amp;$G$1)</f>
        <v>0</v>
      </c>
    </row>
    <row r="10" spans="1:37" ht="18" customHeight="1">
      <c r="A10" s="2624" t="s">
        <v>2393</v>
      </c>
      <c r="B10" s="2625" t="s">
        <v>2542</v>
      </c>
      <c r="C10" s="698">
        <f ca="1">ROUND(IF(F10="押一",F6*F8*F7/12*F11,IF(F10="押二",F6*F8*F7/12*2*F11,IF(F10="押三",F6*F8*F7/12*3*F11,C11*F11))),0)</f>
        <v>0</v>
      </c>
      <c r="D10" s="2636" t="s">
        <v>2550</v>
      </c>
      <c r="E10" s="2099" t="s">
        <v>2544</v>
      </c>
      <c r="F10" s="2833"/>
      <c r="G10" s="2290"/>
      <c r="H10" s="2624" t="s">
        <v>2393</v>
      </c>
      <c r="I10" s="2625" t="s">
        <v>2542</v>
      </c>
      <c r="J10" s="683">
        <f ca="1">ROUND(IF(M10="押一",M6*M8*M7/12*M11,IF(M10="押二",M6*M8*M7/12*2*M11,IF(M10="押三",M6*M8*M7/12*3*M11,J11*M11))),0)</f>
        <v>0</v>
      </c>
      <c r="K10" s="2636" t="s">
        <v>2550</v>
      </c>
      <c r="L10" s="2099" t="s">
        <v>2544</v>
      </c>
      <c r="M10" s="2833" t="s">
        <v>2706</v>
      </c>
    </row>
    <row r="11" spans="1:37" ht="18" customHeight="1">
      <c r="A11" s="690"/>
      <c r="B11" s="2626" t="s">
        <v>2552</v>
      </c>
      <c r="C11" s="2417"/>
      <c r="D11" s="689"/>
      <c r="E11" s="2099" t="s">
        <v>2545</v>
      </c>
      <c r="F11" s="696">
        <f ca="1">'数据-取费表'!B39</f>
        <v>1.4999999999999999E-2</v>
      </c>
      <c r="G11" s="2290"/>
      <c r="H11" s="2637"/>
      <c r="I11" s="2626" t="s">
        <v>2707</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2555</v>
      </c>
      <c r="I12" s="2673" t="s">
        <v>2543</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2619</v>
      </c>
      <c r="B15" s="684" t="s">
        <v>361</v>
      </c>
      <c r="C15" s="313">
        <f ca="1">ROUND(C14*F15,0)</f>
        <v>0</v>
      </c>
      <c r="D15" s="704" t="s">
        <v>929</v>
      </c>
      <c r="E15" s="704" t="s">
        <v>366</v>
      </c>
      <c r="F15" s="705">
        <f>'数据-取费表'!B33</f>
        <v>0.05</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2621</v>
      </c>
      <c r="B17" s="684" t="s">
        <v>363</v>
      </c>
      <c r="C17" s="313">
        <f ca="1">ROUND(F17*(F43+INDIRECT("'数据-取费表'!S"&amp;$G$1)),0)</f>
        <v>0</v>
      </c>
      <c r="D17" s="684" t="s">
        <v>933</v>
      </c>
      <c r="E17" s="684" t="s">
        <v>934</v>
      </c>
      <c r="F17" s="315">
        <f>'数据-取费表'!B35</f>
        <v>200</v>
      </c>
      <c r="G17" s="2291"/>
      <c r="H17" s="2440" t="s">
        <v>2386</v>
      </c>
      <c r="I17" s="684" t="s">
        <v>364</v>
      </c>
      <c r="J17" s="313">
        <f ca="1">ROUND(IF(项目基本情况!B11="自然人",J5*M17,J18+J19+J20),0)</f>
        <v>0</v>
      </c>
      <c r="K17" s="2721" t="s">
        <v>935</v>
      </c>
      <c r="L17" s="2722"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0</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2619</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2623</v>
      </c>
      <c r="B20" s="684" t="s">
        <v>368</v>
      </c>
      <c r="C20" s="313">
        <f ca="1">ROUND(C19*F20,0)</f>
        <v>0</v>
      </c>
      <c r="D20" s="709" t="s">
        <v>941</v>
      </c>
      <c r="E20" s="684" t="s">
        <v>366</v>
      </c>
      <c r="F20" s="707">
        <f>'数据-取费表'!B37</f>
        <v>0.02</v>
      </c>
      <c r="G20" s="2291"/>
      <c r="H20" s="2440" t="s">
        <v>2620</v>
      </c>
      <c r="I20" s="496" t="s">
        <v>942</v>
      </c>
      <c r="J20" s="314">
        <f ca="1">ROUND(M20*M21,0)</f>
        <v>0</v>
      </c>
      <c r="K20" s="710" t="s">
        <v>943</v>
      </c>
      <c r="L20" s="684" t="s">
        <v>944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23</v>
      </c>
      <c r="D21" s="709" t="s">
        <v>946</v>
      </c>
      <c r="E21" s="684" t="s">
        <v>947</v>
      </c>
      <c r="F21" s="707">
        <f>'数据-取费表'!B38</f>
        <v>0.02</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2539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2540</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5.2400000000000002E-2</v>
      </c>
      <c r="D28" s="709" t="s">
        <v>971</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5.5000000000000007E-2</v>
      </c>
      <c r="G32" s="2290"/>
      <c r="H32" s="1284"/>
      <c r="I32" s="1285"/>
      <c r="J32" s="1286"/>
      <c r="K32" s="1287"/>
      <c r="L32" s="1288"/>
      <c r="M32" s="1289"/>
    </row>
    <row r="33" spans="1:18" ht="18" customHeight="1">
      <c r="A33" s="2440" t="s">
        <v>2619</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942</v>
      </c>
      <c r="C34" s="314">
        <f ca="1">IF(项目基本情况!B11="自然人","——",ROUND(F34*F35,))</f>
        <v>0</v>
      </c>
      <c r="D34" s="710" t="s">
        <v>943</v>
      </c>
      <c r="E34" s="684" t="s">
        <v>944</v>
      </c>
      <c r="F34" s="711">
        <f>'数据-取费表'!B52</f>
        <v>1.5</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2624</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2625</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2635</v>
      </c>
      <c r="E45" s="1433"/>
      <c r="F45" s="1433"/>
      <c r="O45" s="2593" t="s">
        <v>2500</v>
      </c>
      <c r="P45" s="1296"/>
      <c r="Q45" s="1296"/>
      <c r="R45" s="1296"/>
    </row>
    <row r="46" spans="1:18" s="1455" customFormat="1" ht="21"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2630</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5.75" thickBot="1">
      <c r="A49" s="2433" t="s">
        <v>2631</v>
      </c>
      <c r="B49" s="2716" t="s">
        <v>2633</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3.5" thickBot="1">
      <c r="A53" s="2714" t="s">
        <v>2632</v>
      </c>
      <c r="B53" s="2715" t="s">
        <v>2542</v>
      </c>
      <c r="C53" s="698">
        <f ca="1">ROUND(IF(F53="押一",F49*F51*F50/12*F11,IF(F53="押二",F49*F51*F50/12*2*F11,IF(F53="押三",F49*F51*F50/12*3*F11,C54*F11))),0)</f>
        <v>0</v>
      </c>
      <c r="D53" s="2636" t="s">
        <v>2550</v>
      </c>
      <c r="E53" s="2099" t="s">
        <v>2544</v>
      </c>
      <c r="F53" s="2833"/>
      <c r="I53" s="2572" t="s">
        <v>2461</v>
      </c>
      <c r="J53" s="2573">
        <f ca="1">IF(M47="住宅",J51,MIN(J51,L48))</f>
        <v>0</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6"/>
      <c r="O53" s="2589" t="s">
        <v>2469</v>
      </c>
      <c r="P53" s="2599" t="s">
        <v>2487</v>
      </c>
      <c r="Q53" s="2590" t="e">
        <f ca="1">Q47+Q48</f>
        <v>#DIV/0!</v>
      </c>
      <c r="R53" s="2590" t="s">
        <v>2470</v>
      </c>
    </row>
    <row r="54" spans="1:18" s="1455" customFormat="1" ht="16.5" thickBot="1">
      <c r="A54" s="2433"/>
      <c r="B54" s="2830" t="s">
        <v>2707</v>
      </c>
      <c r="C54" s="2417"/>
      <c r="D54" s="2636"/>
      <c r="E54" s="2780"/>
      <c r="F54" s="2542"/>
      <c r="I54" s="2414"/>
      <c r="J54" s="2571"/>
      <c r="K54" s="2571"/>
      <c r="L54" s="2571"/>
      <c r="M54" s="1459"/>
      <c r="O54" s="2593" t="s">
        <v>2494</v>
      </c>
      <c r="P54" s="1296"/>
      <c r="Q54" s="1296"/>
      <c r="R54" s="1296"/>
    </row>
    <row r="55" spans="1:18" s="1455" customFormat="1" ht="15.75" thickBot="1">
      <c r="A55" s="2672" t="s">
        <v>2555</v>
      </c>
      <c r="B55" s="2673" t="s">
        <v>2543</v>
      </c>
      <c r="C55" s="2674"/>
      <c r="D55" s="2636"/>
      <c r="E55" s="2719"/>
      <c r="F55" s="2542"/>
      <c r="I55" s="3325" t="s">
        <v>2437</v>
      </c>
      <c r="J55" s="3324"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931</v>
      </c>
      <c r="C58" s="698">
        <f ca="1">ROUND(C59+C64+C65+C66,0)</f>
        <v>0</v>
      </c>
      <c r="D58" s="2418" t="s">
        <v>932</v>
      </c>
      <c r="E58" s="2419"/>
      <c r="F58" s="2420"/>
      <c r="I58" s="2547" t="s">
        <v>2440</v>
      </c>
      <c r="J58" s="3326"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0</v>
      </c>
      <c r="D59" s="2421" t="s">
        <v>935</v>
      </c>
      <c r="E59" s="2422" t="s">
        <v>936</v>
      </c>
      <c r="F59" s="708" t="str">
        <f ca="1">IF(项目基本情况!B11="企业","",IF(INDIRECT("'数据-取费表'!c"&amp;$G$1)="住宅",5%,IF(F49*F50*F51/12/(1+'数据-取费表'!C42)&gt;20000,12%,7%)))</f>
        <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5.5000000000000007E-2</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0</v>
      </c>
      <c r="D62" s="2423" t="s">
        <v>943</v>
      </c>
      <c r="E62" s="2404" t="s">
        <v>944</v>
      </c>
      <c r="F62" s="711">
        <f t="shared" si="0"/>
        <v>1.5</v>
      </c>
      <c r="I62" s="2549" t="s">
        <v>2432</v>
      </c>
      <c r="J62" s="2550" t="s">
        <v>2433</v>
      </c>
      <c r="K62" s="2550" t="s">
        <v>2434</v>
      </c>
      <c r="L62" s="2550" t="s">
        <v>2430</v>
      </c>
      <c r="M62" s="3327" t="s">
        <v>3050</v>
      </c>
      <c r="O62" s="2589" t="s">
        <v>2469</v>
      </c>
      <c r="P62" s="2599" t="s">
        <v>2487</v>
      </c>
      <c r="Q62" s="2590" t="e">
        <f ca="1">Q56+Q57</f>
        <v>#DIV/0!</v>
      </c>
      <c r="R62" s="2590" t="s">
        <v>2470</v>
      </c>
    </row>
    <row r="63" spans="1:18" s="1455" customFormat="1" ht="16.5" thickBot="1">
      <c r="A63" s="712"/>
      <c r="B63" s="2410"/>
      <c r="C63" s="318"/>
      <c r="D63" s="2424"/>
      <c r="E63" s="2404" t="s">
        <v>948</v>
      </c>
      <c r="F63" s="685">
        <f t="shared" ca="1" si="0"/>
        <v>0</v>
      </c>
      <c r="I63" s="2549" t="s">
        <v>2446</v>
      </c>
      <c r="J63" s="3330">
        <v>70</v>
      </c>
      <c r="K63" s="3330">
        <v>50</v>
      </c>
      <c r="L63" s="3330">
        <v>80</v>
      </c>
      <c r="M63" s="3328">
        <v>0.02</v>
      </c>
      <c r="O63" s="2593"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49" t="s">
        <v>107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ROUND(C56*F65,0)</f>
        <v>0</v>
      </c>
      <c r="D65" s="2422" t="s">
        <v>370</v>
      </c>
      <c r="E65" s="2404" t="s">
        <v>366</v>
      </c>
      <c r="F65" s="716">
        <f t="shared" ca="1" si="0"/>
        <v>0</v>
      </c>
      <c r="I65" s="2549" t="s">
        <v>2448</v>
      </c>
      <c r="J65" s="3330">
        <v>40</v>
      </c>
      <c r="K65" s="3330">
        <v>30</v>
      </c>
      <c r="L65" s="3330">
        <v>50</v>
      </c>
      <c r="M65" s="3328">
        <v>0.02</v>
      </c>
      <c r="O65" s="2589" t="s">
        <v>2463</v>
      </c>
      <c r="P65" s="2599" t="s">
        <v>2481</v>
      </c>
      <c r="Q65" s="2590" t="e">
        <f ca="1">C40+J29</f>
        <v>#DIV/0!</v>
      </c>
      <c r="R65" s="2590" t="s">
        <v>2482</v>
      </c>
    </row>
    <row r="66" spans="1:18" s="1455" customFormat="1" ht="20.25"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3.25"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20.25"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5.75" thickBot="1">
      <c r="A69" s="2405"/>
      <c r="B69" s="2406"/>
      <c r="C69" s="688"/>
      <c r="D69" s="2428" t="s">
        <v>965</v>
      </c>
      <c r="E69" s="2404" t="s">
        <v>382</v>
      </c>
      <c r="F69" s="719">
        <f ca="1">F41</f>
        <v>0</v>
      </c>
      <c r="O69" s="2591" t="s">
        <v>2474</v>
      </c>
      <c r="P69" s="2600" t="s">
        <v>2489</v>
      </c>
      <c r="Q69" s="2590">
        <f ca="1">C39</f>
        <v>0</v>
      </c>
      <c r="R69" s="2590" t="s">
        <v>2482</v>
      </c>
    </row>
    <row r="70" spans="1:18" s="1455" customFormat="1" ht="15.75" thickBot="1">
      <c r="A70" s="2408"/>
      <c r="B70" s="2409"/>
      <c r="C70" s="692"/>
      <c r="D70" s="2424"/>
      <c r="E70" s="2404" t="s">
        <v>383</v>
      </c>
      <c r="F70" s="2534">
        <f ca="1">F42</f>
        <v>0</v>
      </c>
      <c r="O70" s="2591" t="s">
        <v>2475</v>
      </c>
      <c r="P70" s="2600" t="s">
        <v>2490</v>
      </c>
      <c r="Q70" s="2590">
        <f ca="1">C13</f>
        <v>0</v>
      </c>
      <c r="R70" s="2590" t="s">
        <v>2482</v>
      </c>
    </row>
    <row r="71" spans="1:18" s="1455" customFormat="1" ht="15.75"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2714</v>
      </c>
      <c r="C79" s="650" t="e">
        <f ca="1">1-C80</f>
        <v>#DIV/0!</v>
      </c>
    </row>
    <row r="80" spans="1:18">
      <c r="B80" s="2878" t="s">
        <v>2715</v>
      </c>
      <c r="C80" s="650" t="e">
        <f ca="1">ROUND(C75/C39,3)</f>
        <v>#DIV/0!</v>
      </c>
    </row>
    <row r="81" spans="2:3">
      <c r="B81" s="646" t="s">
        <v>388</v>
      </c>
      <c r="C81" s="647"/>
    </row>
    <row r="82" spans="2:3">
      <c r="B82" s="2877" t="s">
        <v>2712</v>
      </c>
      <c r="C82" s="651" t="e">
        <f ca="1">1-C83</f>
        <v>#DIV/0!</v>
      </c>
    </row>
    <row r="83" spans="2:3">
      <c r="B83" s="2877" t="s">
        <v>2711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2685</v>
      </c>
      <c r="B1" s="2786"/>
      <c r="C1" s="2786"/>
      <c r="D1" s="2786"/>
      <c r="E1" s="2787"/>
    </row>
    <row r="2" spans="1:5" ht="14.25">
      <c r="A2" s="2788" t="s">
        <v>2686</v>
      </c>
      <c r="B2" s="2782">
        <f ca="1">SUMIF(B6:B13,"&lt;&gt;#ref!",B6:B13)</f>
        <v>11464</v>
      </c>
      <c r="C2" s="2783" t="s">
        <v>2683</v>
      </c>
      <c r="D2" s="2784" t="s">
        <v>2688</v>
      </c>
      <c r="E2" s="2792">
        <f>SUM(E6:E13)</f>
        <v>20377.830000000002</v>
      </c>
    </row>
    <row r="3" spans="1:5" ht="14.25">
      <c r="A3" s="2788" t="s">
        <v>2687</v>
      </c>
      <c r="B3" s="2782">
        <f ca="1">ROUND(B2*10000/E2,0)</f>
        <v>5626</v>
      </c>
      <c r="C3" s="2783" t="s">
        <v>2684</v>
      </c>
      <c r="D3" s="2789"/>
      <c r="E3" s="2793"/>
    </row>
    <row r="4" spans="1:5" ht="14.25">
      <c r="A4" s="2796"/>
      <c r="B4" s="2789"/>
      <c r="C4" s="2789"/>
      <c r="D4" s="2789"/>
      <c r="E4" s="2793"/>
    </row>
    <row r="5" spans="1:5">
      <c r="A5" s="2800" t="s">
        <v>2690</v>
      </c>
      <c r="B5" s="3530" t="s">
        <v>2692</v>
      </c>
      <c r="C5" s="3530"/>
      <c r="D5" s="2799"/>
      <c r="E5" s="2801" t="s">
        <v>2691</v>
      </c>
    </row>
    <row r="6" spans="1:5">
      <c r="A6" s="2797" t="str">
        <f>'数据-取费表'!AN6</f>
        <v>收益法</v>
      </c>
      <c r="B6" s="2791">
        <f ca="1">'数据-取费表'!AO6</f>
        <v>11464</v>
      </c>
      <c r="C6" s="2783" t="s">
        <v>2683</v>
      </c>
      <c r="D6" s="2789"/>
      <c r="E6" s="2792">
        <f>IF(A6=0,0,'数据-取费表'!K6+'数据-取费表'!S6)</f>
        <v>20377.830000000002</v>
      </c>
    </row>
    <row r="7" spans="1:5">
      <c r="A7" s="2797">
        <f>'数据-取费表'!AN7</f>
        <v>0</v>
      </c>
      <c r="B7" s="2791" t="e">
        <f ca="1">'数据-取费表'!AO7</f>
        <v>#REF!</v>
      </c>
      <c r="C7" s="2783" t="s">
        <v>2683</v>
      </c>
      <c r="D7" s="2789"/>
      <c r="E7" s="2792">
        <f>IF(A7=0,0,'数据-取费表'!K7+'数据-取费表'!S7)</f>
        <v>0</v>
      </c>
    </row>
    <row r="8" spans="1:5">
      <c r="A8" s="2797">
        <f>'数据-取费表'!AN8</f>
        <v>0</v>
      </c>
      <c r="B8" s="2791" t="e">
        <f ca="1">'数据-取费表'!AO8</f>
        <v>#REF!</v>
      </c>
      <c r="C8" s="2783" t="s">
        <v>2683</v>
      </c>
      <c r="D8" s="2789"/>
      <c r="E8" s="2792">
        <f>IF(A8=0,0,'数据-取费表'!K8+'数据-取费表'!S8)</f>
        <v>0</v>
      </c>
    </row>
    <row r="9" spans="1:5">
      <c r="A9" s="2797">
        <f>'数据-取费表'!AN9</f>
        <v>0</v>
      </c>
      <c r="B9" s="2791" t="e">
        <f ca="1">'数据-取费表'!AO9</f>
        <v>#REF!</v>
      </c>
      <c r="C9" s="2783" t="s">
        <v>2683</v>
      </c>
      <c r="D9" s="2789"/>
      <c r="E9" s="2792">
        <f>IF(A9=0,0,'数据-取费表'!K9+'数据-取费表'!S9)</f>
        <v>0</v>
      </c>
    </row>
    <row r="10" spans="1:5">
      <c r="A10" s="2797">
        <f>'数据-取费表'!AN10</f>
        <v>0</v>
      </c>
      <c r="B10" s="2791" t="e">
        <f ca="1">'数据-取费表'!AO10</f>
        <v>#REF!</v>
      </c>
      <c r="C10" s="2783" t="s">
        <v>2683</v>
      </c>
      <c r="D10" s="2789"/>
      <c r="E10" s="2792">
        <f>IF(A10=0,0,'数据-取费表'!K10+'数据-取费表'!S10)</f>
        <v>0</v>
      </c>
    </row>
    <row r="11" spans="1:5">
      <c r="A11" s="2797">
        <f>'数据-取费表'!AN11</f>
        <v>0</v>
      </c>
      <c r="B11" s="2791" t="e">
        <f ca="1">'数据-取费表'!AO11</f>
        <v>#REF!</v>
      </c>
      <c r="C11" s="2783" t="s">
        <v>2683</v>
      </c>
      <c r="D11" s="2789"/>
      <c r="E11" s="2792">
        <f>IF(A11=0,0,'数据-取费表'!K11+'数据-取费表'!S11)</f>
        <v>0</v>
      </c>
    </row>
    <row r="12" spans="1:5">
      <c r="A12" s="2797">
        <f>'数据-取费表'!AN12</f>
        <v>0</v>
      </c>
      <c r="B12" s="2791" t="e">
        <f ca="1">'数据-取费表'!AO12</f>
        <v>#REF!</v>
      </c>
      <c r="C12" s="2783" t="s">
        <v>2683</v>
      </c>
      <c r="D12" s="2789"/>
      <c r="E12" s="2792">
        <f>IF(A12=0,0,'数据-取费表'!K12+'数据-取费表'!S12)</f>
        <v>0</v>
      </c>
    </row>
    <row r="13" spans="1:5" ht="14.25" thickBot="1">
      <c r="A13" s="2798">
        <f>'数据-取费表'!AN13</f>
        <v>0</v>
      </c>
      <c r="B13" s="2794" t="e">
        <f ca="1">'数据-取费表'!AO13</f>
        <v>#REF!</v>
      </c>
      <c r="C13" s="2802" t="s">
        <v>2683</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47" t="s">
        <v>2559</v>
      </c>
      <c r="B1" s="3548"/>
      <c r="C1" s="3549"/>
      <c r="D1" s="3550">
        <f>SUM(I10,I15,I20,I21,I23)</f>
        <v>0</v>
      </c>
      <c r="E1" s="3550"/>
      <c r="F1" s="3550"/>
      <c r="G1" s="3550"/>
      <c r="H1" s="3550"/>
      <c r="I1" s="3551"/>
    </row>
    <row r="2" spans="1:9">
      <c r="A2" s="3537" t="s">
        <v>2560</v>
      </c>
      <c r="B2" s="3538" t="s">
        <v>2561</v>
      </c>
      <c r="C2" s="3538"/>
      <c r="D2" s="2640" t="s">
        <v>2562</v>
      </c>
      <c r="E2" s="2640" t="s">
        <v>2563</v>
      </c>
      <c r="F2" s="2640" t="s">
        <v>2564</v>
      </c>
      <c r="G2" s="2640" t="s">
        <v>2565</v>
      </c>
      <c r="H2" s="2640" t="s">
        <v>2566</v>
      </c>
      <c r="I2" s="2641" t="s">
        <v>2567</v>
      </c>
    </row>
    <row r="3" spans="1:9">
      <c r="A3" s="3537"/>
      <c r="B3" s="3538" t="s">
        <v>2568</v>
      </c>
      <c r="C3" s="3538"/>
      <c r="D3" s="2642"/>
      <c r="E3" s="2640"/>
      <c r="F3" s="2643"/>
      <c r="G3" s="2643"/>
      <c r="H3" s="2644"/>
      <c r="I3" s="2645">
        <f>ROUND(D3*E3*F3*G3*H3/10000,0)</f>
        <v>0</v>
      </c>
    </row>
    <row r="4" spans="1:9">
      <c r="A4" s="3537"/>
      <c r="B4" s="3538" t="s">
        <v>2569</v>
      </c>
      <c r="C4" s="3538"/>
      <c r="D4" s="2642"/>
      <c r="E4" s="2640"/>
      <c r="F4" s="2643"/>
      <c r="G4" s="2643"/>
      <c r="H4" s="2644"/>
      <c r="I4" s="2645">
        <f t="shared" ref="I4:I9" si="0">ROUND(D4*E4*F4*G4*H4/10000,0)</f>
        <v>0</v>
      </c>
    </row>
    <row r="5" spans="1:9">
      <c r="A5" s="3537"/>
      <c r="B5" s="3538" t="s">
        <v>2570</v>
      </c>
      <c r="C5" s="3538"/>
      <c r="D5" s="2642"/>
      <c r="E5" s="2640"/>
      <c r="F5" s="2643"/>
      <c r="G5" s="2643"/>
      <c r="H5" s="2644"/>
      <c r="I5" s="2645">
        <f t="shared" si="0"/>
        <v>0</v>
      </c>
    </row>
    <row r="6" spans="1:9">
      <c r="A6" s="3537"/>
      <c r="B6" s="3538" t="s">
        <v>2571</v>
      </c>
      <c r="C6" s="3538"/>
      <c r="D6" s="2642"/>
      <c r="E6" s="2640"/>
      <c r="F6" s="2643"/>
      <c r="G6" s="2643"/>
      <c r="H6" s="2644"/>
      <c r="I6" s="2645">
        <f t="shared" si="0"/>
        <v>0</v>
      </c>
    </row>
    <row r="7" spans="1:9">
      <c r="A7" s="3537"/>
      <c r="B7" s="3538" t="s">
        <v>2572</v>
      </c>
      <c r="C7" s="3538"/>
      <c r="D7" s="2642"/>
      <c r="E7" s="2640"/>
      <c r="F7" s="2643"/>
      <c r="G7" s="2643"/>
      <c r="H7" s="2644"/>
      <c r="I7" s="2645">
        <f t="shared" si="0"/>
        <v>0</v>
      </c>
    </row>
    <row r="8" spans="1:9">
      <c r="A8" s="3537"/>
      <c r="B8" s="3538" t="s">
        <v>2573</v>
      </c>
      <c r="C8" s="3538"/>
      <c r="D8" s="2642"/>
      <c r="E8" s="2640"/>
      <c r="F8" s="2643"/>
      <c r="G8" s="2643"/>
      <c r="H8" s="2644"/>
      <c r="I8" s="2645">
        <f t="shared" si="0"/>
        <v>0</v>
      </c>
    </row>
    <row r="9" spans="1:9">
      <c r="A9" s="3537"/>
      <c r="B9" s="3538" t="s">
        <v>2574</v>
      </c>
      <c r="C9" s="3538"/>
      <c r="D9" s="2642"/>
      <c r="E9" s="2640"/>
      <c r="F9" s="2643"/>
      <c r="G9" s="2643"/>
      <c r="H9" s="2644"/>
      <c r="I9" s="2645">
        <f t="shared" si="0"/>
        <v>0</v>
      </c>
    </row>
    <row r="10" spans="1:9">
      <c r="A10" s="3537"/>
      <c r="B10" s="3539" t="s">
        <v>2575</v>
      </c>
      <c r="C10" s="3539"/>
      <c r="D10" s="2646"/>
      <c r="E10" s="2646" t="e">
        <f>ROUND(D1*10000/D10/H9,0)</f>
        <v>#DIV/0!</v>
      </c>
      <c r="F10" s="2647"/>
      <c r="G10" s="2647"/>
      <c r="H10" s="2648"/>
      <c r="I10" s="2649">
        <f>SUM(I3:I9)</f>
        <v>0</v>
      </c>
    </row>
    <row r="11" spans="1:9" ht="14.25">
      <c r="A11" s="3537" t="s">
        <v>2576</v>
      </c>
      <c r="B11" s="3538" t="s">
        <v>2577</v>
      </c>
      <c r="C11" s="3538"/>
      <c r="D11" s="2642" t="s">
        <v>2578</v>
      </c>
      <c r="E11" s="2642" t="s">
        <v>2579</v>
      </c>
      <c r="F11" s="2643" t="s">
        <v>2580</v>
      </c>
      <c r="G11" s="2643" t="s">
        <v>2566</v>
      </c>
      <c r="H11" s="2650" t="s">
        <v>2581</v>
      </c>
      <c r="I11" s="2641" t="s">
        <v>2567</v>
      </c>
    </row>
    <row r="12" spans="1:9">
      <c r="A12" s="3537"/>
      <c r="B12" s="3538" t="s">
        <v>2582</v>
      </c>
      <c r="C12" s="3538"/>
      <c r="D12" s="2642"/>
      <c r="E12" s="2642"/>
      <c r="F12" s="2643"/>
      <c r="G12" s="2644"/>
      <c r="H12" s="2651"/>
      <c r="I12" s="2641">
        <f>ROUND(D12*E12*F12*G12/10000,0)</f>
        <v>0</v>
      </c>
    </row>
    <row r="13" spans="1:9">
      <c r="A13" s="3537"/>
      <c r="B13" s="3538" t="s">
        <v>2583</v>
      </c>
      <c r="C13" s="3538"/>
      <c r="D13" s="2642"/>
      <c r="E13" s="2642"/>
      <c r="F13" s="2643"/>
      <c r="G13" s="2644"/>
      <c r="H13" s="2651"/>
      <c r="I13" s="2641">
        <f>ROUND(D13*E13*F13*G13/10000,0)</f>
        <v>0</v>
      </c>
    </row>
    <row r="14" spans="1:9">
      <c r="A14" s="3537"/>
      <c r="B14" s="3538" t="s">
        <v>2584</v>
      </c>
      <c r="C14" s="3538"/>
      <c r="D14" s="2642"/>
      <c r="E14" s="2642"/>
      <c r="F14" s="2643"/>
      <c r="G14" s="2644"/>
      <c r="H14" s="2651"/>
      <c r="I14" s="2641">
        <f>ROUND(D14*E14*F14*G14/10000,0)</f>
        <v>0</v>
      </c>
    </row>
    <row r="15" spans="1:9">
      <c r="A15" s="3537"/>
      <c r="B15" s="3539" t="s">
        <v>2575</v>
      </c>
      <c r="C15" s="3539"/>
      <c r="D15" s="2646"/>
      <c r="E15" s="2646">
        <f>SUM(E12:E14)</f>
        <v>0</v>
      </c>
      <c r="F15" s="2647"/>
      <c r="G15" s="2644"/>
      <c r="H15" s="2651"/>
      <c r="I15" s="2652">
        <f>SUM(I12:I14)</f>
        <v>0</v>
      </c>
    </row>
    <row r="16" spans="1:9" ht="24">
      <c r="A16" s="3537" t="s">
        <v>2585</v>
      </c>
      <c r="B16" s="3538" t="s">
        <v>2586</v>
      </c>
      <c r="C16" s="3538"/>
      <c r="D16" s="2642" t="s">
        <v>2562</v>
      </c>
      <c r="E16" s="2653" t="s">
        <v>2587</v>
      </c>
      <c r="F16" s="2643" t="s">
        <v>2588</v>
      </c>
      <c r="G16" s="2644" t="s">
        <v>2566</v>
      </c>
      <c r="H16" s="2650" t="s">
        <v>2581</v>
      </c>
      <c r="I16" s="2641" t="s">
        <v>2567</v>
      </c>
    </row>
    <row r="17" spans="1:9" ht="14.25">
      <c r="A17" s="3537"/>
      <c r="B17" s="3538" t="s">
        <v>2589</v>
      </c>
      <c r="C17" s="3538"/>
      <c r="D17" s="2642"/>
      <c r="E17" s="2642"/>
      <c r="F17" s="2643"/>
      <c r="G17" s="2644"/>
      <c r="H17" s="2654"/>
      <c r="I17" s="2655">
        <f>ROUND(D17*E17*F17*G17/10000,0)</f>
        <v>0</v>
      </c>
    </row>
    <row r="18" spans="1:9" ht="14.25">
      <c r="A18" s="3537"/>
      <c r="B18" s="3538" t="s">
        <v>2590</v>
      </c>
      <c r="C18" s="3538"/>
      <c r="D18" s="2642"/>
      <c r="E18" s="2642"/>
      <c r="F18" s="2643"/>
      <c r="G18" s="2644"/>
      <c r="H18" s="2654"/>
      <c r="I18" s="2655">
        <f>ROUND(D18*E18*F18*G18/10000,0)</f>
        <v>0</v>
      </c>
    </row>
    <row r="19" spans="1:9" ht="14.25">
      <c r="A19" s="3537"/>
      <c r="B19" s="3538" t="s">
        <v>2591</v>
      </c>
      <c r="C19" s="3538"/>
      <c r="D19" s="2642"/>
      <c r="E19" s="2642"/>
      <c r="F19" s="2643"/>
      <c r="G19" s="2644"/>
      <c r="H19" s="2654"/>
      <c r="I19" s="2655">
        <f>ROUND(D19*E19*F19*G19/10000,0)</f>
        <v>0</v>
      </c>
    </row>
    <row r="20" spans="1:9">
      <c r="A20" s="3537"/>
      <c r="B20" s="3539" t="s">
        <v>2575</v>
      </c>
      <c r="C20" s="3539"/>
      <c r="D20" s="2646">
        <f>SUM(D17:D19)</f>
        <v>0</v>
      </c>
      <c r="E20" s="2646"/>
      <c r="F20" s="2647"/>
      <c r="G20" s="2644"/>
      <c r="H20" s="2651"/>
      <c r="I20" s="2652">
        <f>SUM(I17:I19)</f>
        <v>0</v>
      </c>
    </row>
    <row r="21" spans="1:9">
      <c r="A21" s="3537" t="s">
        <v>2592</v>
      </c>
      <c r="B21" s="3540"/>
      <c r="C21" s="3540"/>
      <c r="D21" s="3540"/>
      <c r="E21" s="3540"/>
      <c r="F21" s="3540"/>
      <c r="G21" s="3540"/>
      <c r="H21" s="3305">
        <v>0.1</v>
      </c>
      <c r="I21" s="2649">
        <f>ROUND(I10*H21,0)</f>
        <v>0</v>
      </c>
    </row>
    <row r="22" spans="1:9" ht="14.25">
      <c r="A22" s="3541" t="s">
        <v>2593</v>
      </c>
      <c r="B22" s="3542"/>
      <c r="C22" s="3543"/>
      <c r="D22" s="2656" t="s">
        <v>2594</v>
      </c>
      <c r="E22" s="2656" t="s">
        <v>2595</v>
      </c>
      <c r="F22" s="2657" t="s">
        <v>2596</v>
      </c>
      <c r="G22" s="2657" t="s">
        <v>2597</v>
      </c>
      <c r="H22" s="2650" t="s">
        <v>2598</v>
      </c>
      <c r="I22" s="2641" t="s">
        <v>2599</v>
      </c>
    </row>
    <row r="23" spans="1:9" ht="14.25" thickBot="1">
      <c r="A23" s="3544"/>
      <c r="B23" s="3545"/>
      <c r="C23" s="3546"/>
      <c r="D23" s="2658"/>
      <c r="E23" s="2658"/>
      <c r="F23" s="2658"/>
      <c r="G23" s="2659"/>
      <c r="H23" s="2660"/>
      <c r="I23" s="2661">
        <f>ROUND(E23*D23*F23*(1-G23)/10000,0)</f>
        <v>0</v>
      </c>
    </row>
    <row r="26" spans="1:9">
      <c r="A26" s="2662" t="s">
        <v>2600</v>
      </c>
      <c r="B26" s="2662"/>
      <c r="C26" s="2662"/>
      <c r="D26" s="2662"/>
      <c r="E26" s="3534">
        <f>C27-C30-C31-C32</f>
        <v>0</v>
      </c>
      <c r="F26" s="3534"/>
      <c r="G26" s="3534"/>
      <c r="H26" s="3257" t="s">
        <v>2971</v>
      </c>
    </row>
    <row r="27" spans="1:9">
      <c r="A27" s="2663">
        <v>1</v>
      </c>
      <c r="B27" s="2664" t="s">
        <v>2601</v>
      </c>
      <c r="C27" s="2664">
        <f>C28+C29</f>
        <v>0</v>
      </c>
      <c r="D27" s="2664"/>
      <c r="E27" s="3535"/>
      <c r="F27" s="3535"/>
      <c r="G27" s="3535"/>
    </row>
    <row r="28" spans="1:9">
      <c r="A28" s="2665" t="s">
        <v>2602</v>
      </c>
      <c r="B28" s="2664" t="s">
        <v>2603</v>
      </c>
      <c r="C28" s="2664"/>
      <c r="D28" s="2664"/>
      <c r="E28" s="3535"/>
      <c r="F28" s="3535"/>
      <c r="G28" s="3535"/>
    </row>
    <row r="29" spans="1:9">
      <c r="A29" s="2665" t="s">
        <v>2604</v>
      </c>
      <c r="B29" s="2664" t="s">
        <v>2605</v>
      </c>
      <c r="C29" s="2664"/>
      <c r="D29" s="2664"/>
      <c r="E29" s="2664" t="s">
        <v>2606</v>
      </c>
      <c r="F29" s="2664"/>
      <c r="G29" s="2664"/>
    </row>
    <row r="30" spans="1:9">
      <c r="A30" s="2663">
        <v>2</v>
      </c>
      <c r="B30" s="2664" t="s">
        <v>2607</v>
      </c>
      <c r="C30" s="2664">
        <f>C27*D30</f>
        <v>0</v>
      </c>
      <c r="D30" s="2666">
        <v>0.2</v>
      </c>
      <c r="E30" s="2664" t="s">
        <v>2608</v>
      </c>
      <c r="F30" s="2664"/>
      <c r="G30" s="2664"/>
    </row>
    <row r="31" spans="1:9">
      <c r="A31" s="2663">
        <v>3</v>
      </c>
      <c r="B31" s="2664" t="s">
        <v>2609</v>
      </c>
      <c r="C31" s="2664">
        <f>C25*D31</f>
        <v>0</v>
      </c>
      <c r="D31" s="2666">
        <v>0.15</v>
      </c>
      <c r="E31" s="2664" t="s">
        <v>2610</v>
      </c>
      <c r="F31" s="2664"/>
      <c r="G31" s="2664"/>
    </row>
    <row r="32" spans="1:9">
      <c r="A32" s="2663">
        <v>4</v>
      </c>
      <c r="B32" s="2664" t="s">
        <v>2611</v>
      </c>
      <c r="C32" s="2664">
        <f>C27*D32</f>
        <v>0</v>
      </c>
      <c r="D32" s="2666">
        <v>0.05</v>
      </c>
      <c r="E32" s="3536"/>
      <c r="F32" s="3536"/>
      <c r="G32" s="3536"/>
    </row>
    <row r="33" spans="1:7" hidden="1">
      <c r="A33" s="3531" t="s">
        <v>2612</v>
      </c>
      <c r="B33" s="3532"/>
      <c r="C33" s="3532"/>
      <c r="D33" s="3533"/>
      <c r="E33" s="3534"/>
      <c r="F33" s="3534"/>
      <c r="G33" s="3534"/>
    </row>
    <row r="34" spans="1:7" hidden="1">
      <c r="A34" s="2667">
        <v>1</v>
      </c>
      <c r="B34" s="2664" t="s">
        <v>2613</v>
      </c>
      <c r="C34" s="2664"/>
      <c r="D34" s="2664"/>
      <c r="E34" s="3535"/>
      <c r="F34" s="3535"/>
      <c r="G34" s="3535"/>
    </row>
    <row r="35" spans="1:7" hidden="1">
      <c r="A35" s="2667">
        <v>2</v>
      </c>
      <c r="B35" s="2664" t="s">
        <v>2614</v>
      </c>
      <c r="C35" s="2664"/>
      <c r="D35" s="2664"/>
      <c r="E35" s="3535"/>
      <c r="F35" s="3535"/>
      <c r="G35" s="3535"/>
    </row>
    <row r="36" spans="1:7" hidden="1">
      <c r="A36" s="2667">
        <v>3</v>
      </c>
      <c r="B36" s="2664" t="s">
        <v>2615</v>
      </c>
      <c r="C36" s="2664"/>
      <c r="D36" s="2664"/>
      <c r="E36" s="3535"/>
      <c r="F36" s="3535"/>
      <c r="G36" s="3535"/>
    </row>
    <row r="37" spans="1:7" hidden="1">
      <c r="A37" s="2667">
        <v>4</v>
      </c>
      <c r="B37" s="2664" t="s">
        <v>2616</v>
      </c>
      <c r="C37" s="2664"/>
      <c r="D37" s="2664"/>
      <c r="E37" s="3535"/>
      <c r="F37" s="3535"/>
      <c r="G37" s="3535"/>
    </row>
    <row r="38" spans="1:7" hidden="1">
      <c r="A38" s="3531" t="s">
        <v>2617</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2708</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20377.830000000002</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0" t="s">
        <v>991</v>
      </c>
      <c r="D4" s="3571"/>
      <c r="E4" s="3572" t="s">
        <v>992</v>
      </c>
      <c r="F4" s="3573"/>
      <c r="G4" s="3570" t="s">
        <v>993</v>
      </c>
      <c r="H4" s="3571"/>
      <c r="I4" s="3570" t="s">
        <v>994</v>
      </c>
      <c r="J4" s="3571"/>
      <c r="K4" s="145" t="s">
        <v>995</v>
      </c>
      <c r="L4" s="2297"/>
      <c r="M4" s="2298"/>
      <c r="N4" s="2298"/>
      <c r="O4" s="2298"/>
      <c r="P4" s="3574" t="s">
        <v>990</v>
      </c>
      <c r="Q4" s="3575"/>
      <c r="R4" s="3580" t="s">
        <v>992</v>
      </c>
      <c r="S4" s="3581"/>
      <c r="T4" s="3580" t="s">
        <v>993</v>
      </c>
      <c r="U4" s="3581"/>
      <c r="V4" s="3586" t="s">
        <v>994</v>
      </c>
      <c r="W4" s="3586"/>
      <c r="X4" s="1340"/>
      <c r="Y4" s="3580" t="s">
        <v>990</v>
      </c>
      <c r="Z4" s="3581"/>
      <c r="AA4" s="3567" t="s">
        <v>992</v>
      </c>
      <c r="AB4" s="3567" t="s">
        <v>993</v>
      </c>
      <c r="AC4" s="3567" t="s">
        <v>994</v>
      </c>
    </row>
    <row r="5" spans="1:29">
      <c r="A5" s="146"/>
      <c r="B5" s="147"/>
      <c r="C5" s="3589" t="s">
        <v>996</v>
      </c>
      <c r="D5" s="3590"/>
      <c r="E5" s="3596" t="s">
        <v>997</v>
      </c>
      <c r="F5" s="3597"/>
      <c r="G5" s="3589" t="s">
        <v>998</v>
      </c>
      <c r="H5" s="3590"/>
      <c r="I5" s="3589" t="s">
        <v>999</v>
      </c>
      <c r="J5" s="3590"/>
      <c r="K5" s="152"/>
      <c r="L5" s="2297"/>
      <c r="M5" s="2298"/>
      <c r="N5" s="2298"/>
      <c r="O5" s="2298"/>
      <c r="P5" s="3576"/>
      <c r="Q5" s="3577"/>
      <c r="R5" s="3582"/>
      <c r="S5" s="3583"/>
      <c r="T5" s="3582"/>
      <c r="U5" s="3583"/>
      <c r="V5" s="3586"/>
      <c r="W5" s="3586"/>
      <c r="X5" s="1340"/>
      <c r="Y5" s="3582"/>
      <c r="Z5" s="3583"/>
      <c r="AA5" s="3568"/>
      <c r="AB5" s="3568"/>
      <c r="AC5" s="3568"/>
    </row>
    <row r="6" spans="1:29" ht="14.25" thickBot="1">
      <c r="A6" s="148"/>
      <c r="B6" s="149"/>
      <c r="C6" s="3587" t="s">
        <v>1000</v>
      </c>
      <c r="D6" s="3588"/>
      <c r="E6" s="3594" t="s">
        <v>1000</v>
      </c>
      <c r="F6" s="3595"/>
      <c r="G6" s="3587" t="s">
        <v>1000</v>
      </c>
      <c r="H6" s="3588"/>
      <c r="I6" s="3587" t="s">
        <v>1000</v>
      </c>
      <c r="J6" s="3588"/>
      <c r="K6" s="152" t="s">
        <v>1001</v>
      </c>
      <c r="L6" s="2297"/>
      <c r="M6" s="2298"/>
      <c r="N6" s="2298"/>
      <c r="O6" s="2298"/>
      <c r="P6" s="3578"/>
      <c r="Q6" s="3579"/>
      <c r="R6" s="3582"/>
      <c r="S6" s="3583"/>
      <c r="T6" s="3584"/>
      <c r="U6" s="3585"/>
      <c r="V6" s="3586"/>
      <c r="W6" s="3586"/>
      <c r="X6" s="1340"/>
      <c r="Y6" s="3584"/>
      <c r="Z6" s="3585"/>
      <c r="AA6" s="3569"/>
      <c r="AB6" s="3569"/>
      <c r="AC6" s="3569"/>
    </row>
    <row r="7" spans="1:29" s="40" customFormat="1" ht="15" thickBot="1">
      <c r="A7" s="1014" t="s">
        <v>1002</v>
      </c>
      <c r="B7" s="1015"/>
      <c r="C7" s="1016">
        <f>'数据-取费表'!B2</f>
        <v>42926</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91" t="s">
        <v>1002</v>
      </c>
      <c r="Q7" s="3593"/>
      <c r="R7" s="1342" t="s">
        <v>115</v>
      </c>
      <c r="S7" s="1343">
        <f t="shared" ref="S7:S15" si="0">F7</f>
        <v>0</v>
      </c>
      <c r="T7" s="1342" t="s">
        <v>115</v>
      </c>
      <c r="U7" s="1343">
        <f t="shared" ref="U7:U15" si="1">H7</f>
        <v>0</v>
      </c>
      <c r="V7" s="1342" t="s">
        <v>115</v>
      </c>
      <c r="W7" s="1343">
        <f t="shared" ref="W7:W15" si="2">J7</f>
        <v>0</v>
      </c>
      <c r="X7" s="287"/>
      <c r="Y7" s="3591" t="s">
        <v>1002</v>
      </c>
      <c r="Z7" s="3592"/>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91" t="s">
        <v>1003</v>
      </c>
      <c r="Q8" s="3592"/>
      <c r="R8" s="1342" t="s">
        <v>115</v>
      </c>
      <c r="S8" s="1343">
        <f t="shared" si="0"/>
        <v>0</v>
      </c>
      <c r="T8" s="1342" t="s">
        <v>115</v>
      </c>
      <c r="U8" s="1343">
        <f t="shared" si="1"/>
        <v>0</v>
      </c>
      <c r="V8" s="1342" t="s">
        <v>115</v>
      </c>
      <c r="W8" s="1343">
        <f t="shared" si="2"/>
        <v>0</v>
      </c>
      <c r="X8" s="287"/>
      <c r="Y8" s="3591" t="s">
        <v>1003</v>
      </c>
      <c r="Z8" s="3592"/>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66"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66"/>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66"/>
      <c r="Q11" s="7" t="str">
        <f t="shared" si="6"/>
        <v>容积率</v>
      </c>
      <c r="R11" s="1342" t="s">
        <v>104</v>
      </c>
      <c r="S11" s="1343" t="e">
        <f t="shared" si="0"/>
        <v>#N/A</v>
      </c>
      <c r="T11" s="1342" t="s">
        <v>104</v>
      </c>
      <c r="U11" s="1343" t="e">
        <f t="shared" si="1"/>
        <v>#N/A</v>
      </c>
      <c r="V11" s="1342" t="s">
        <v>104</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66"/>
      <c r="Q12" s="7">
        <f t="shared" si="6"/>
        <v>111</v>
      </c>
      <c r="R12" s="1342" t="s">
        <v>104</v>
      </c>
      <c r="S12" s="1343">
        <f t="shared" si="0"/>
        <v>100</v>
      </c>
      <c r="T12" s="1342" t="s">
        <v>104</v>
      </c>
      <c r="U12" s="1343">
        <f t="shared" si="1"/>
        <v>100</v>
      </c>
      <c r="V12" s="1342" t="s">
        <v>104</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66"/>
      <c r="Q13" s="7">
        <f t="shared" si="6"/>
        <v>111</v>
      </c>
      <c r="R13" s="1342" t="s">
        <v>104</v>
      </c>
      <c r="S13" s="1343">
        <f t="shared" si="0"/>
        <v>100</v>
      </c>
      <c r="T13" s="1342" t="s">
        <v>104</v>
      </c>
      <c r="U13" s="1343">
        <f t="shared" si="1"/>
        <v>100</v>
      </c>
      <c r="V13" s="1342" t="s">
        <v>104</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66"/>
      <c r="Q14" s="7">
        <f t="shared" si="6"/>
        <v>111</v>
      </c>
      <c r="R14" s="1342" t="s">
        <v>104</v>
      </c>
      <c r="S14" s="1343">
        <f t="shared" si="0"/>
        <v>100</v>
      </c>
      <c r="T14" s="1342" t="s">
        <v>104</v>
      </c>
      <c r="U14" s="1343">
        <f t="shared" si="1"/>
        <v>100</v>
      </c>
      <c r="V14" s="1342" t="s">
        <v>104</v>
      </c>
      <c r="W14" s="1343">
        <f t="shared" si="2"/>
        <v>100</v>
      </c>
      <c r="X14" s="287"/>
      <c r="Y14" s="337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64" t="s">
        <v>69</v>
      </c>
      <c r="Q15" s="1351" t="str">
        <f t="shared" si="6"/>
        <v>居住社区成熟度</v>
      </c>
      <c r="R15" s="1352" t="s">
        <v>104</v>
      </c>
      <c r="S15" s="1353">
        <f t="shared" si="0"/>
        <v>100</v>
      </c>
      <c r="T15" s="1352" t="s">
        <v>104</v>
      </c>
      <c r="U15" s="1353">
        <f t="shared" si="1"/>
        <v>100</v>
      </c>
      <c r="V15" s="1352" t="s">
        <v>104</v>
      </c>
      <c r="W15" s="1353">
        <f t="shared" si="2"/>
        <v>100</v>
      </c>
      <c r="X15" s="1340"/>
      <c r="Y15" s="355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65"/>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65"/>
      <c r="Q17" s="1351" t="str">
        <f>B17</f>
        <v>交通便捷度</v>
      </c>
      <c r="R17" s="1352" t="s">
        <v>104</v>
      </c>
      <c r="S17" s="1353">
        <f>F17</f>
        <v>100</v>
      </c>
      <c r="T17" s="1352" t="s">
        <v>104</v>
      </c>
      <c r="U17" s="1353">
        <f>H17</f>
        <v>100</v>
      </c>
      <c r="V17" s="1352" t="s">
        <v>104</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65"/>
      <c r="Q18" s="1351"/>
      <c r="R18" s="1352"/>
      <c r="S18" s="1353"/>
      <c r="T18" s="1352"/>
      <c r="U18" s="1353"/>
      <c r="V18" s="1352"/>
      <c r="W18" s="1353"/>
      <c r="X18" s="1340"/>
      <c r="Y18" s="3558"/>
      <c r="Z18" s="1354"/>
      <c r="AA18" s="1355">
        <v>1</v>
      </c>
      <c r="AB18" s="1355">
        <v>1</v>
      </c>
      <c r="AC18" s="1355">
        <v>1</v>
      </c>
    </row>
    <row r="19" spans="1:29" ht="40.5">
      <c r="A19" s="151"/>
      <c r="B19" s="1356" t="s">
        <v>2644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65"/>
      <c r="Q19" s="1351" t="str">
        <f>B19</f>
        <v>公共配套设施</v>
      </c>
      <c r="R19" s="1352" t="s">
        <v>104</v>
      </c>
      <c r="S19" s="1353">
        <f>F19</f>
        <v>100</v>
      </c>
      <c r="T19" s="1352" t="s">
        <v>104</v>
      </c>
      <c r="U19" s="1353">
        <f>H19</f>
        <v>100</v>
      </c>
      <c r="V19" s="1352" t="s">
        <v>104</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65"/>
      <c r="Q20" s="1351"/>
      <c r="R20" s="1352"/>
      <c r="S20" s="1353"/>
      <c r="T20" s="1352"/>
      <c r="U20" s="1353"/>
      <c r="V20" s="1352"/>
      <c r="W20" s="1353"/>
      <c r="X20" s="1340"/>
      <c r="Y20" s="3558"/>
      <c r="Z20" s="1354"/>
      <c r="AA20" s="1355">
        <v>1</v>
      </c>
      <c r="AB20" s="1355">
        <v>1</v>
      </c>
      <c r="AC20" s="1355">
        <v>1</v>
      </c>
    </row>
    <row r="21" spans="1:29" ht="27">
      <c r="A21" s="151"/>
      <c r="B21" s="1412" t="s">
        <v>2655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565"/>
      <c r="Q22" s="2748"/>
      <c r="R22" s="1352"/>
      <c r="S22" s="1353"/>
      <c r="T22" s="1352"/>
      <c r="U22" s="1353"/>
      <c r="V22" s="1352"/>
      <c r="W22" s="1353"/>
      <c r="X22" s="2750"/>
      <c r="Y22" s="3558"/>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65"/>
      <c r="Q23" s="1351" t="str">
        <f>B23</f>
        <v>自然及人文环境</v>
      </c>
      <c r="R23" s="1352" t="s">
        <v>104</v>
      </c>
      <c r="S23" s="1353">
        <f>F23</f>
        <v>100</v>
      </c>
      <c r="T23" s="1352" t="s">
        <v>104</v>
      </c>
      <c r="U23" s="1353">
        <f>H23</f>
        <v>100</v>
      </c>
      <c r="V23" s="1352" t="s">
        <v>104</v>
      </c>
      <c r="W23" s="1353">
        <f>J23</f>
        <v>100</v>
      </c>
      <c r="X23" s="1340"/>
      <c r="Y23" s="355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65"/>
      <c r="Q24" s="1351"/>
      <c r="R24" s="1352"/>
      <c r="S24" s="1353"/>
      <c r="T24" s="1352"/>
      <c r="U24" s="1353"/>
      <c r="V24" s="1352"/>
      <c r="W24" s="1353"/>
      <c r="X24" s="1340"/>
      <c r="Y24" s="3558"/>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6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5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65"/>
      <c r="Q26" s="1351" t="str">
        <f t="shared" si="11"/>
        <v>朝向</v>
      </c>
      <c r="R26" s="1352" t="s">
        <v>104</v>
      </c>
      <c r="S26" s="1353">
        <f t="shared" si="12"/>
        <v>100</v>
      </c>
      <c r="T26" s="1352" t="s">
        <v>104</v>
      </c>
      <c r="U26" s="1353">
        <f t="shared" si="13"/>
        <v>100</v>
      </c>
      <c r="V26" s="1352" t="s">
        <v>104</v>
      </c>
      <c r="W26" s="1353">
        <f t="shared" si="14"/>
        <v>100</v>
      </c>
      <c r="X26" s="1340"/>
      <c r="Y26" s="355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65"/>
      <c r="Q27" s="7">
        <f t="shared" si="11"/>
        <v>111</v>
      </c>
      <c r="R27" s="1342" t="s">
        <v>104</v>
      </c>
      <c r="S27" s="1343">
        <f t="shared" si="12"/>
        <v>100</v>
      </c>
      <c r="T27" s="1342" t="s">
        <v>104</v>
      </c>
      <c r="U27" s="1343">
        <f t="shared" si="13"/>
        <v>100</v>
      </c>
      <c r="V27" s="1342" t="s">
        <v>104</v>
      </c>
      <c r="W27" s="1343">
        <f t="shared" si="14"/>
        <v>100</v>
      </c>
      <c r="X27" s="287"/>
      <c r="Y27" s="355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65"/>
      <c r="Q28" s="1351">
        <f t="shared" si="11"/>
        <v>111</v>
      </c>
      <c r="R28" s="1352" t="s">
        <v>104</v>
      </c>
      <c r="S28" s="1353">
        <f t="shared" si="12"/>
        <v>100</v>
      </c>
      <c r="T28" s="1352" t="s">
        <v>104</v>
      </c>
      <c r="U28" s="1353">
        <f t="shared" si="13"/>
        <v>100</v>
      </c>
      <c r="V28" s="1352" t="s">
        <v>104</v>
      </c>
      <c r="W28" s="1353">
        <f t="shared" si="14"/>
        <v>100</v>
      </c>
      <c r="X28" s="1340"/>
      <c r="Y28" s="355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65"/>
      <c r="Q29" s="1351">
        <f t="shared" si="11"/>
        <v>111</v>
      </c>
      <c r="R29" s="1352" t="s">
        <v>104</v>
      </c>
      <c r="S29" s="1353">
        <f t="shared" si="12"/>
        <v>100</v>
      </c>
      <c r="T29" s="1352" t="s">
        <v>104</v>
      </c>
      <c r="U29" s="1353">
        <f t="shared" si="13"/>
        <v>100</v>
      </c>
      <c r="V29" s="1352" t="s">
        <v>104</v>
      </c>
      <c r="W29" s="1353">
        <f t="shared" si="14"/>
        <v>100</v>
      </c>
      <c r="X29" s="1340"/>
      <c r="Y29" s="355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65"/>
      <c r="Q30" s="1351">
        <f t="shared" si="11"/>
        <v>111</v>
      </c>
      <c r="R30" s="1352" t="s">
        <v>104</v>
      </c>
      <c r="S30" s="1353">
        <f t="shared" si="12"/>
        <v>100</v>
      </c>
      <c r="T30" s="1352" t="s">
        <v>104</v>
      </c>
      <c r="U30" s="1353">
        <f t="shared" si="13"/>
        <v>100</v>
      </c>
      <c r="V30" s="1352" t="s">
        <v>104</v>
      </c>
      <c r="W30" s="1353">
        <f t="shared" si="14"/>
        <v>100</v>
      </c>
      <c r="X30" s="1340"/>
      <c r="Y30" s="355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65"/>
      <c r="Q31" s="1351">
        <f t="shared" si="11"/>
        <v>111</v>
      </c>
      <c r="R31" s="1352" t="s">
        <v>104</v>
      </c>
      <c r="S31" s="1353">
        <f t="shared" si="12"/>
        <v>100</v>
      </c>
      <c r="T31" s="1352" t="s">
        <v>104</v>
      </c>
      <c r="U31" s="1353">
        <f t="shared" si="13"/>
        <v>100</v>
      </c>
      <c r="V31" s="1352" t="s">
        <v>104</v>
      </c>
      <c r="W31" s="1353">
        <f t="shared" si="14"/>
        <v>100</v>
      </c>
      <c r="X31" s="1340"/>
      <c r="Y31" s="3558"/>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59" t="s">
        <v>70</v>
      </c>
      <c r="Q32" s="1351" t="str">
        <f t="shared" si="11"/>
        <v>建筑类型</v>
      </c>
      <c r="R32" s="1352" t="s">
        <v>104</v>
      </c>
      <c r="S32" s="1353">
        <f t="shared" si="12"/>
        <v>100</v>
      </c>
      <c r="T32" s="1352" t="s">
        <v>104</v>
      </c>
      <c r="U32" s="1353">
        <f t="shared" si="13"/>
        <v>100</v>
      </c>
      <c r="V32" s="1352" t="s">
        <v>104</v>
      </c>
      <c r="W32" s="1353">
        <f t="shared" si="14"/>
        <v>100</v>
      </c>
      <c r="X32" s="1340"/>
      <c r="Y32" s="356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60"/>
      <c r="Q33" s="1359" t="str">
        <f t="shared" si="11"/>
        <v>项目建筑规模</v>
      </c>
      <c r="R33" s="1360" t="s">
        <v>104</v>
      </c>
      <c r="S33" s="1361" t="e">
        <f t="shared" si="12"/>
        <v>#N/A</v>
      </c>
      <c r="T33" s="1360" t="s">
        <v>104</v>
      </c>
      <c r="U33" s="1361" t="e">
        <f t="shared" si="13"/>
        <v>#N/A</v>
      </c>
      <c r="V33" s="1360" t="s">
        <v>104</v>
      </c>
      <c r="W33" s="1361" t="e">
        <f t="shared" si="14"/>
        <v>#N/A</v>
      </c>
      <c r="X33" s="1362"/>
      <c r="Y33" s="356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60"/>
      <c r="Q34" s="1351" t="str">
        <f t="shared" si="11"/>
        <v>建筑结构</v>
      </c>
      <c r="R34" s="1352" t="s">
        <v>104</v>
      </c>
      <c r="S34" s="1353">
        <f t="shared" si="12"/>
        <v>100</v>
      </c>
      <c r="T34" s="1352" t="s">
        <v>104</v>
      </c>
      <c r="U34" s="1353">
        <f t="shared" si="13"/>
        <v>100</v>
      </c>
      <c r="V34" s="1352" t="s">
        <v>104</v>
      </c>
      <c r="W34" s="1353">
        <f t="shared" si="14"/>
        <v>100</v>
      </c>
      <c r="X34" s="1340"/>
      <c r="Y34" s="356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60"/>
      <c r="Q35" s="1351" t="str">
        <f t="shared" si="11"/>
        <v>建筑品质</v>
      </c>
      <c r="R35" s="1352" t="s">
        <v>104</v>
      </c>
      <c r="S35" s="1353">
        <f t="shared" si="12"/>
        <v>100</v>
      </c>
      <c r="T35" s="1352" t="s">
        <v>104</v>
      </c>
      <c r="U35" s="1353">
        <f t="shared" si="13"/>
        <v>100</v>
      </c>
      <c r="V35" s="1352" t="s">
        <v>104</v>
      </c>
      <c r="W35" s="1353">
        <f t="shared" si="14"/>
        <v>100</v>
      </c>
      <c r="X35" s="1340"/>
      <c r="Y35" s="356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60"/>
      <c r="Q36" s="1351" t="str">
        <f t="shared" si="11"/>
        <v>公共部分装修</v>
      </c>
      <c r="R36" s="1352" t="s">
        <v>104</v>
      </c>
      <c r="S36" s="1353">
        <f t="shared" si="12"/>
        <v>100</v>
      </c>
      <c r="T36" s="1352" t="s">
        <v>104</v>
      </c>
      <c r="U36" s="1353">
        <f t="shared" si="13"/>
        <v>100</v>
      </c>
      <c r="V36" s="1352" t="s">
        <v>104</v>
      </c>
      <c r="W36" s="1353">
        <f t="shared" si="14"/>
        <v>100</v>
      </c>
      <c r="X36" s="1340"/>
      <c r="Y36" s="356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60"/>
      <c r="Q37" s="7" t="str">
        <f t="shared" si="11"/>
        <v>成新度</v>
      </c>
      <c r="R37" s="1342" t="s">
        <v>104</v>
      </c>
      <c r="S37" s="1343" t="e">
        <f t="shared" si="12"/>
        <v>#N/A</v>
      </c>
      <c r="T37" s="1342" t="s">
        <v>104</v>
      </c>
      <c r="U37" s="1343" t="e">
        <f t="shared" si="13"/>
        <v>#N/A</v>
      </c>
      <c r="V37" s="1342" t="s">
        <v>104</v>
      </c>
      <c r="W37" s="1343" t="e">
        <f t="shared" si="14"/>
        <v>#N/A</v>
      </c>
      <c r="X37" s="287"/>
      <c r="Y37" s="356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60" t="s">
        <v>70</v>
      </c>
      <c r="Q38" s="1351" t="str">
        <f t="shared" si="11"/>
        <v>物业管理</v>
      </c>
      <c r="R38" s="1352" t="s">
        <v>104</v>
      </c>
      <c r="S38" s="1353">
        <f t="shared" si="12"/>
        <v>100</v>
      </c>
      <c r="T38" s="1352" t="s">
        <v>104</v>
      </c>
      <c r="U38" s="1353">
        <f t="shared" si="13"/>
        <v>100</v>
      </c>
      <c r="V38" s="1352" t="s">
        <v>104</v>
      </c>
      <c r="W38" s="1353">
        <f t="shared" si="14"/>
        <v>100</v>
      </c>
      <c r="X38" s="1340"/>
      <c r="Y38" s="3562" t="s">
        <v>70</v>
      </c>
      <c r="Z38" s="1354" t="str">
        <f t="shared" si="18"/>
        <v>物业管理</v>
      </c>
      <c r="AA38" s="1355">
        <f t="shared" si="15"/>
        <v>1</v>
      </c>
      <c r="AB38" s="1355">
        <f t="shared" si="16"/>
        <v>1</v>
      </c>
      <c r="AC38" s="1355">
        <f t="shared" si="17"/>
        <v>1</v>
      </c>
    </row>
    <row r="39" spans="1:29" ht="15">
      <c r="A39" s="161"/>
      <c r="B39" s="12" t="s">
        <v>2656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60"/>
      <c r="Q39" s="1351" t="str">
        <f t="shared" si="11"/>
        <v>市政基础设施</v>
      </c>
      <c r="R39" s="1352" t="s">
        <v>104</v>
      </c>
      <c r="S39" s="1353">
        <f t="shared" si="12"/>
        <v>100</v>
      </c>
      <c r="T39" s="1352" t="s">
        <v>104</v>
      </c>
      <c r="U39" s="1353">
        <f t="shared" si="13"/>
        <v>100</v>
      </c>
      <c r="V39" s="1352" t="s">
        <v>104</v>
      </c>
      <c r="W39" s="1353">
        <f t="shared" si="14"/>
        <v>100</v>
      </c>
      <c r="X39" s="1340"/>
      <c r="Y39" s="356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60"/>
      <c r="Q40" s="1351" t="str">
        <f t="shared" si="11"/>
        <v>房型</v>
      </c>
      <c r="R40" s="1352" t="s">
        <v>104</v>
      </c>
      <c r="S40" s="1353">
        <f t="shared" si="12"/>
        <v>100</v>
      </c>
      <c r="T40" s="1352" t="s">
        <v>104</v>
      </c>
      <c r="U40" s="1353">
        <f t="shared" si="13"/>
        <v>100</v>
      </c>
      <c r="V40" s="1352" t="s">
        <v>104</v>
      </c>
      <c r="W40" s="1353">
        <f t="shared" si="14"/>
        <v>100</v>
      </c>
      <c r="X40" s="1340"/>
      <c r="Y40" s="356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60"/>
      <c r="Q41" s="1359" t="str">
        <f t="shared" si="11"/>
        <v>单套/主力户型建筑面积</v>
      </c>
      <c r="R41" s="1360" t="s">
        <v>104</v>
      </c>
      <c r="S41" s="1361">
        <f t="shared" si="12"/>
        <v>100</v>
      </c>
      <c r="T41" s="1360" t="s">
        <v>104</v>
      </c>
      <c r="U41" s="1361">
        <f t="shared" si="13"/>
        <v>100</v>
      </c>
      <c r="V41" s="1360" t="s">
        <v>104</v>
      </c>
      <c r="W41" s="1361">
        <f t="shared" si="14"/>
        <v>100</v>
      </c>
      <c r="X41" s="1362"/>
      <c r="Y41" s="356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60"/>
      <c r="Q42" s="1351" t="str">
        <f t="shared" si="11"/>
        <v>内部装修</v>
      </c>
      <c r="R42" s="1352" t="s">
        <v>104</v>
      </c>
      <c r="S42" s="1353">
        <f t="shared" si="12"/>
        <v>100</v>
      </c>
      <c r="T42" s="1352" t="s">
        <v>104</v>
      </c>
      <c r="U42" s="1353">
        <f t="shared" si="13"/>
        <v>100</v>
      </c>
      <c r="V42" s="1352" t="s">
        <v>104</v>
      </c>
      <c r="W42" s="1353">
        <f t="shared" si="14"/>
        <v>100</v>
      </c>
      <c r="X42" s="1340"/>
      <c r="Y42" s="3562"/>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60"/>
      <c r="Q43" s="1351" t="str">
        <f t="shared" si="11"/>
        <v>内部装修维护情况</v>
      </c>
      <c r="R43" s="1352" t="s">
        <v>104</v>
      </c>
      <c r="S43" s="1353">
        <f t="shared" si="12"/>
        <v>100</v>
      </c>
      <c r="T43" s="1352" t="s">
        <v>104</v>
      </c>
      <c r="U43" s="1353">
        <f t="shared" si="13"/>
        <v>100</v>
      </c>
      <c r="V43" s="1352" t="s">
        <v>104</v>
      </c>
      <c r="W43" s="1353">
        <f t="shared" si="14"/>
        <v>100</v>
      </c>
      <c r="X43" s="1340"/>
      <c r="Y43" s="356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60"/>
      <c r="Q44" s="7">
        <f t="shared" si="11"/>
        <v>111</v>
      </c>
      <c r="R44" s="1342" t="s">
        <v>104</v>
      </c>
      <c r="S44" s="1343">
        <f t="shared" si="12"/>
        <v>100</v>
      </c>
      <c r="T44" s="1342" t="s">
        <v>104</v>
      </c>
      <c r="U44" s="1343">
        <f t="shared" si="13"/>
        <v>100</v>
      </c>
      <c r="V44" s="1342" t="s">
        <v>104</v>
      </c>
      <c r="W44" s="1343">
        <f t="shared" si="14"/>
        <v>100</v>
      </c>
      <c r="X44" s="287"/>
      <c r="Y44" s="356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60"/>
      <c r="Q45" s="1351">
        <f t="shared" si="11"/>
        <v>111</v>
      </c>
      <c r="R45" s="1352" t="s">
        <v>104</v>
      </c>
      <c r="S45" s="1353">
        <f t="shared" si="12"/>
        <v>100</v>
      </c>
      <c r="T45" s="1352" t="s">
        <v>104</v>
      </c>
      <c r="U45" s="1353">
        <f t="shared" si="13"/>
        <v>100</v>
      </c>
      <c r="V45" s="1352" t="s">
        <v>104</v>
      </c>
      <c r="W45" s="1353">
        <f t="shared" si="14"/>
        <v>100</v>
      </c>
      <c r="X45" s="1340"/>
      <c r="Y45" s="356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61"/>
      <c r="Q46" s="1351">
        <f t="shared" si="11"/>
        <v>111</v>
      </c>
      <c r="R46" s="1352" t="s">
        <v>103</v>
      </c>
      <c r="S46" s="1353">
        <f t="shared" si="12"/>
        <v>100</v>
      </c>
      <c r="T46" s="1352" t="s">
        <v>103</v>
      </c>
      <c r="U46" s="1353">
        <f t="shared" si="13"/>
        <v>100</v>
      </c>
      <c r="V46" s="1352" t="s">
        <v>103</v>
      </c>
      <c r="W46" s="1353">
        <f t="shared" si="14"/>
        <v>100</v>
      </c>
      <c r="X46" s="1340"/>
      <c r="Y46" s="3563"/>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55" t="str">
        <f>A47</f>
        <v>成交单价（元/平方米）</v>
      </c>
      <c r="Q47" s="3555"/>
      <c r="R47" s="3556">
        <f>E47</f>
        <v>0</v>
      </c>
      <c r="S47" s="3556"/>
      <c r="T47" s="3556">
        <f>G47</f>
        <v>0</v>
      </c>
      <c r="U47" s="3556"/>
      <c r="V47" s="3556">
        <f>I47</f>
        <v>0</v>
      </c>
      <c r="W47" s="3556"/>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3029</v>
      </c>
      <c r="B49" s="116"/>
      <c r="C49" s="2847" t="e">
        <f>R49</f>
        <v>#DIV/0!</v>
      </c>
      <c r="D49" s="2848"/>
      <c r="E49" s="2848"/>
      <c r="F49" s="2848"/>
      <c r="G49" s="2848"/>
      <c r="H49" s="2848"/>
      <c r="I49" s="2848"/>
      <c r="J49" s="2848"/>
      <c r="K49" s="1368"/>
      <c r="L49" s="2305"/>
      <c r="M49" s="2306"/>
      <c r="N49" s="2306"/>
      <c r="O49" s="2306"/>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2808</v>
      </c>
      <c r="B58" s="849"/>
      <c r="C58" s="3049" t="str">
        <f>YEAR(C7)&amp;"-"&amp;MONTH(C7)</f>
        <v>2017-7</v>
      </c>
      <c r="D58" s="3048">
        <f>EDATE(C58,-1)</f>
        <v>42887</v>
      </c>
      <c r="E58" s="3048">
        <f>EDATE(D58,-1)</f>
        <v>42856</v>
      </c>
      <c r="F58" s="3048">
        <f t="shared" ref="F58:O58" si="19">EDATE(E58,-1)</f>
        <v>42826</v>
      </c>
      <c r="G58" s="3048">
        <f t="shared" si="19"/>
        <v>42795</v>
      </c>
      <c r="H58" s="3048">
        <f t="shared" si="19"/>
        <v>42767</v>
      </c>
      <c r="I58" s="3048">
        <f t="shared" si="19"/>
        <v>42736</v>
      </c>
      <c r="J58" s="3048">
        <f t="shared" si="19"/>
        <v>42705</v>
      </c>
      <c r="K58" s="3048">
        <f t="shared" si="19"/>
        <v>42675</v>
      </c>
      <c r="L58" s="3048">
        <f t="shared" si="19"/>
        <v>42644</v>
      </c>
      <c r="M58" s="3048">
        <f t="shared" si="19"/>
        <v>42614</v>
      </c>
      <c r="N58" s="3048">
        <f t="shared" si="19"/>
        <v>42583</v>
      </c>
      <c r="O58" s="3048">
        <f t="shared" si="19"/>
        <v>42552</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177" t="s">
        <v>2659</v>
      </c>
      <c r="D82" s="177" t="s">
        <v>2663</v>
      </c>
      <c r="E82" s="177" t="s">
        <v>2660</v>
      </c>
      <c r="F82" s="177" t="s">
        <v>2661</v>
      </c>
      <c r="G82" s="177" t="s">
        <v>2662</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20377.830000000002</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0" t="s">
        <v>54</v>
      </c>
      <c r="D4" s="3571"/>
      <c r="E4" s="3572" t="s">
        <v>55</v>
      </c>
      <c r="F4" s="3573"/>
      <c r="G4" s="3570" t="s">
        <v>56</v>
      </c>
      <c r="H4" s="3571"/>
      <c r="I4" s="3570" t="s">
        <v>57</v>
      </c>
      <c r="J4" s="3571"/>
      <c r="K4" s="187" t="s">
        <v>58</v>
      </c>
      <c r="L4" s="2297"/>
      <c r="M4" s="2298"/>
      <c r="N4" s="2298"/>
      <c r="O4" s="2298"/>
      <c r="P4" s="3574" t="s">
        <v>53</v>
      </c>
      <c r="Q4" s="3575"/>
      <c r="R4" s="3580" t="s">
        <v>55</v>
      </c>
      <c r="S4" s="3581"/>
      <c r="T4" s="3580" t="s">
        <v>56</v>
      </c>
      <c r="U4" s="3581"/>
      <c r="V4" s="3586" t="s">
        <v>57</v>
      </c>
      <c r="W4" s="3586"/>
      <c r="X4" s="1340"/>
      <c r="Y4" s="3580" t="s">
        <v>53</v>
      </c>
      <c r="Z4" s="3581"/>
      <c r="AA4" s="3567" t="s">
        <v>55</v>
      </c>
      <c r="AB4" s="3586" t="s">
        <v>56</v>
      </c>
      <c r="AC4" s="3567" t="s">
        <v>57</v>
      </c>
    </row>
    <row r="5" spans="1:29">
      <c r="A5" s="146"/>
      <c r="B5" s="147"/>
      <c r="C5" s="3589" t="s">
        <v>59</v>
      </c>
      <c r="D5" s="3590"/>
      <c r="E5" s="3596" t="s">
        <v>60</v>
      </c>
      <c r="F5" s="3597"/>
      <c r="G5" s="3589" t="s">
        <v>61</v>
      </c>
      <c r="H5" s="3590"/>
      <c r="I5" s="3589" t="s">
        <v>62</v>
      </c>
      <c r="J5" s="3590"/>
      <c r="K5" s="187"/>
      <c r="L5" s="2297"/>
      <c r="M5" s="2298"/>
      <c r="N5" s="2298"/>
      <c r="O5" s="2298"/>
      <c r="P5" s="3576"/>
      <c r="Q5" s="3577"/>
      <c r="R5" s="3582"/>
      <c r="S5" s="3583"/>
      <c r="T5" s="3582"/>
      <c r="U5" s="3583"/>
      <c r="V5" s="3586"/>
      <c r="W5" s="3586"/>
      <c r="X5" s="1340"/>
      <c r="Y5" s="3582"/>
      <c r="Z5" s="3583"/>
      <c r="AA5" s="3568"/>
      <c r="AB5" s="3586"/>
      <c r="AC5" s="3568"/>
    </row>
    <row r="6" spans="1:29" ht="14.25" thickBot="1">
      <c r="A6" s="148"/>
      <c r="B6" s="149"/>
      <c r="C6" s="3587" t="s">
        <v>63</v>
      </c>
      <c r="D6" s="3588"/>
      <c r="E6" s="3594" t="s">
        <v>63</v>
      </c>
      <c r="F6" s="3595"/>
      <c r="G6" s="3587" t="s">
        <v>63</v>
      </c>
      <c r="H6" s="3588"/>
      <c r="I6" s="3587" t="s">
        <v>63</v>
      </c>
      <c r="J6" s="3588"/>
      <c r="K6" s="187" t="s">
        <v>117</v>
      </c>
      <c r="L6" s="2297"/>
      <c r="M6" s="2298"/>
      <c r="N6" s="2298"/>
      <c r="O6" s="2298"/>
      <c r="P6" s="3578"/>
      <c r="Q6" s="3579"/>
      <c r="R6" s="3582"/>
      <c r="S6" s="3583"/>
      <c r="T6" s="3584"/>
      <c r="U6" s="3585"/>
      <c r="V6" s="3586"/>
      <c r="W6" s="3586"/>
      <c r="X6" s="1340"/>
      <c r="Y6" s="3584"/>
      <c r="Z6" s="3585"/>
      <c r="AA6" s="3569"/>
      <c r="AB6" s="3586"/>
      <c r="AC6" s="3569"/>
    </row>
    <row r="7" spans="1:29" s="40" customFormat="1" ht="15" thickBot="1">
      <c r="A7" s="1014" t="s">
        <v>64</v>
      </c>
      <c r="B7" s="1015"/>
      <c r="C7" s="1016">
        <f>'数据-取费表'!B2</f>
        <v>42926</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91" t="s">
        <v>64</v>
      </c>
      <c r="Q7" s="3593"/>
      <c r="R7" s="1342" t="s">
        <v>65</v>
      </c>
      <c r="S7" s="1343">
        <f t="shared" ref="S7:S15" si="0">F7</f>
        <v>0</v>
      </c>
      <c r="T7" s="1342" t="s">
        <v>65</v>
      </c>
      <c r="U7" s="1343">
        <f t="shared" ref="U7:U15" si="1">H7</f>
        <v>0</v>
      </c>
      <c r="V7" s="1342" t="s">
        <v>65</v>
      </c>
      <c r="W7" s="1343">
        <f t="shared" ref="W7:W15" si="2">J7</f>
        <v>0</v>
      </c>
      <c r="X7" s="287"/>
      <c r="Y7" s="3591" t="s">
        <v>64</v>
      </c>
      <c r="Z7" s="359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91" t="s">
        <v>1025</v>
      </c>
      <c r="Q8" s="3592"/>
      <c r="R8" s="1342" t="s">
        <v>65</v>
      </c>
      <c r="S8" s="1343">
        <f t="shared" si="0"/>
        <v>0</v>
      </c>
      <c r="T8" s="1342" t="s">
        <v>65</v>
      </c>
      <c r="U8" s="1343">
        <f t="shared" si="1"/>
        <v>0</v>
      </c>
      <c r="V8" s="1342" t="s">
        <v>65</v>
      </c>
      <c r="W8" s="1343">
        <f t="shared" si="2"/>
        <v>0</v>
      </c>
      <c r="X8" s="287"/>
      <c r="Y8" s="3591" t="s">
        <v>1025</v>
      </c>
      <c r="Z8" s="3592"/>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66"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66"/>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66"/>
      <c r="Q11" s="7" t="str">
        <f t="shared" si="6"/>
        <v>容积率</v>
      </c>
      <c r="R11" s="1342" t="s">
        <v>65</v>
      </c>
      <c r="S11" s="1343" t="e">
        <f t="shared" si="0"/>
        <v>#N/A</v>
      </c>
      <c r="T11" s="1342" t="s">
        <v>65</v>
      </c>
      <c r="U11" s="1343" t="e">
        <f t="shared" si="1"/>
        <v>#N/A</v>
      </c>
      <c r="V11" s="1342" t="s">
        <v>65</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66"/>
      <c r="Q12" s="7">
        <f t="shared" si="6"/>
        <v>111</v>
      </c>
      <c r="R12" s="1342" t="s">
        <v>65</v>
      </c>
      <c r="S12" s="1343">
        <f t="shared" si="0"/>
        <v>100</v>
      </c>
      <c r="T12" s="1342" t="s">
        <v>65</v>
      </c>
      <c r="U12" s="1343">
        <f t="shared" si="1"/>
        <v>100</v>
      </c>
      <c r="V12" s="1342" t="s">
        <v>65</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66"/>
      <c r="Q13" s="7">
        <f t="shared" si="6"/>
        <v>111</v>
      </c>
      <c r="R13" s="1342" t="s">
        <v>65</v>
      </c>
      <c r="S13" s="1343">
        <f t="shared" si="0"/>
        <v>100</v>
      </c>
      <c r="T13" s="1342" t="s">
        <v>65</v>
      </c>
      <c r="U13" s="1343">
        <f t="shared" si="1"/>
        <v>100</v>
      </c>
      <c r="V13" s="1342" t="s">
        <v>65</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66"/>
      <c r="Q14" s="7">
        <f t="shared" si="6"/>
        <v>111</v>
      </c>
      <c r="R14" s="1342" t="s">
        <v>65</v>
      </c>
      <c r="S14" s="1343">
        <f t="shared" si="0"/>
        <v>100</v>
      </c>
      <c r="T14" s="1342" t="s">
        <v>65</v>
      </c>
      <c r="U14" s="1343">
        <f t="shared" si="1"/>
        <v>100</v>
      </c>
      <c r="V14" s="1342" t="s">
        <v>65</v>
      </c>
      <c r="W14" s="1343">
        <f t="shared" si="2"/>
        <v>100</v>
      </c>
      <c r="X14" s="287"/>
      <c r="Y14" s="3375"/>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64" t="s">
        <v>69</v>
      </c>
      <c r="Q15" s="1351" t="str">
        <f t="shared" si="6"/>
        <v>商业繁华度</v>
      </c>
      <c r="R15" s="1352" t="s">
        <v>65</v>
      </c>
      <c r="S15" s="1353">
        <f t="shared" si="0"/>
        <v>100</v>
      </c>
      <c r="T15" s="1352" t="s">
        <v>65</v>
      </c>
      <c r="U15" s="1353">
        <f t="shared" si="1"/>
        <v>100</v>
      </c>
      <c r="V15" s="1352" t="s">
        <v>65</v>
      </c>
      <c r="W15" s="1353">
        <f t="shared" si="2"/>
        <v>100</v>
      </c>
      <c r="X15" s="1340"/>
      <c r="Y15" s="355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65"/>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65"/>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65"/>
      <c r="Q18" s="1351"/>
      <c r="R18" s="1352"/>
      <c r="S18" s="1353"/>
      <c r="T18" s="1352"/>
      <c r="U18" s="1353"/>
      <c r="V18" s="1352"/>
      <c r="W18" s="1353"/>
      <c r="X18" s="1340"/>
      <c r="Y18" s="3558"/>
      <c r="Z18" s="1354"/>
      <c r="AA18" s="1355">
        <v>1</v>
      </c>
      <c r="AB18" s="1355">
        <v>1</v>
      </c>
      <c r="AC18" s="1355">
        <v>1</v>
      </c>
    </row>
    <row r="19" spans="1:29" ht="40.5">
      <c r="A19" s="151"/>
      <c r="B19" s="1356" t="s">
        <v>2664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65"/>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65"/>
      <c r="Q20" s="1351"/>
      <c r="R20" s="1352"/>
      <c r="S20" s="1353"/>
      <c r="T20" s="1352"/>
      <c r="U20" s="1353"/>
      <c r="V20" s="1352"/>
      <c r="W20" s="1353"/>
      <c r="X20" s="1340"/>
      <c r="Y20" s="3558"/>
      <c r="Z20" s="1354"/>
      <c r="AA20" s="1355">
        <v>1</v>
      </c>
      <c r="AB20" s="1355">
        <v>1</v>
      </c>
      <c r="AC20" s="1355">
        <v>1</v>
      </c>
    </row>
    <row r="21" spans="1:29" ht="27">
      <c r="A21" s="151"/>
      <c r="B21" s="1412" t="s">
        <v>2665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565"/>
      <c r="Q22" s="2748"/>
      <c r="R22" s="1352"/>
      <c r="S22" s="1353"/>
      <c r="T22" s="1352"/>
      <c r="U22" s="1353"/>
      <c r="V22" s="1352"/>
      <c r="W22" s="1353"/>
      <c r="X22" s="2750"/>
      <c r="Y22" s="3558"/>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65"/>
      <c r="Q23" s="1351" t="str">
        <f>B23</f>
        <v>自然及人文环境</v>
      </c>
      <c r="R23" s="1352" t="s">
        <v>65</v>
      </c>
      <c r="S23" s="1353">
        <f>F23</f>
        <v>100</v>
      </c>
      <c r="T23" s="1352" t="s">
        <v>65</v>
      </c>
      <c r="U23" s="1353">
        <f>H23</f>
        <v>100</v>
      </c>
      <c r="V23" s="1352" t="s">
        <v>65</v>
      </c>
      <c r="W23" s="1353">
        <f>J23</f>
        <v>100</v>
      </c>
      <c r="X23" s="1340"/>
      <c r="Y23" s="355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65"/>
      <c r="Q24" s="1351"/>
      <c r="R24" s="1352"/>
      <c r="S24" s="1353"/>
      <c r="T24" s="1352"/>
      <c r="U24" s="1353"/>
      <c r="V24" s="1352"/>
      <c r="W24" s="1353"/>
      <c r="X24" s="1340"/>
      <c r="Y24" s="355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65"/>
      <c r="Q25" s="1351" t="str">
        <f t="shared" ref="Q25:Q46" si="11">B25</f>
        <v>临街状况</v>
      </c>
      <c r="R25" s="1352" t="s">
        <v>65</v>
      </c>
      <c r="S25" s="1353">
        <f>F25</f>
        <v>100</v>
      </c>
      <c r="T25" s="1352" t="s">
        <v>65</v>
      </c>
      <c r="U25" s="1353">
        <f>H25</f>
        <v>100</v>
      </c>
      <c r="V25" s="1352" t="s">
        <v>65</v>
      </c>
      <c r="W25" s="1353">
        <f>J25</f>
        <v>100</v>
      </c>
      <c r="X25" s="1340"/>
      <c r="Y25" s="3558"/>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65"/>
      <c r="Q26" s="1351" t="str">
        <f t="shared" si="11"/>
        <v>平面位置/可视性</v>
      </c>
      <c r="R26" s="1352" t="s">
        <v>65</v>
      </c>
      <c r="S26" s="1353">
        <f>F26</f>
        <v>100</v>
      </c>
      <c r="T26" s="1352" t="s">
        <v>65</v>
      </c>
      <c r="U26" s="1353">
        <f>H26</f>
        <v>100</v>
      </c>
      <c r="V26" s="1352" t="s">
        <v>65</v>
      </c>
      <c r="W26" s="1353">
        <f>J26</f>
        <v>100</v>
      </c>
      <c r="X26" s="1340"/>
      <c r="Y26" s="3558"/>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65"/>
      <c r="Q27" s="7" t="str">
        <f t="shared" si="11"/>
        <v>人流量</v>
      </c>
      <c r="R27" s="1342" t="s">
        <v>65</v>
      </c>
      <c r="S27" s="1343">
        <f>F27</f>
        <v>100</v>
      </c>
      <c r="T27" s="1342" t="s">
        <v>65</v>
      </c>
      <c r="U27" s="1343">
        <f>H27</f>
        <v>100</v>
      </c>
      <c r="V27" s="1342" t="s">
        <v>65</v>
      </c>
      <c r="W27" s="1343">
        <f>J27</f>
        <v>100</v>
      </c>
      <c r="X27" s="287"/>
      <c r="Y27" s="355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6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5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65"/>
      <c r="Q29" s="1351">
        <f t="shared" si="11"/>
        <v>111</v>
      </c>
      <c r="R29" s="1352" t="s">
        <v>65</v>
      </c>
      <c r="S29" s="1353">
        <f t="shared" si="12"/>
        <v>100</v>
      </c>
      <c r="T29" s="1352" t="s">
        <v>65</v>
      </c>
      <c r="U29" s="1353">
        <f t="shared" si="13"/>
        <v>100</v>
      </c>
      <c r="V29" s="1352" t="s">
        <v>65</v>
      </c>
      <c r="W29" s="1353">
        <f t="shared" si="14"/>
        <v>100</v>
      </c>
      <c r="X29" s="1340"/>
      <c r="Y29" s="355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65"/>
      <c r="Q30" s="1351">
        <f t="shared" si="11"/>
        <v>111</v>
      </c>
      <c r="R30" s="1352" t="s">
        <v>65</v>
      </c>
      <c r="S30" s="1353">
        <f t="shared" si="12"/>
        <v>100</v>
      </c>
      <c r="T30" s="1352" t="s">
        <v>65</v>
      </c>
      <c r="U30" s="1353">
        <f t="shared" si="13"/>
        <v>100</v>
      </c>
      <c r="V30" s="1352" t="s">
        <v>65</v>
      </c>
      <c r="W30" s="1353">
        <f t="shared" si="14"/>
        <v>100</v>
      </c>
      <c r="X30" s="1340"/>
      <c r="Y30" s="355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65"/>
      <c r="Q31" s="1351">
        <f t="shared" si="11"/>
        <v>111</v>
      </c>
      <c r="R31" s="1352" t="s">
        <v>65</v>
      </c>
      <c r="S31" s="1353">
        <f t="shared" si="12"/>
        <v>100</v>
      </c>
      <c r="T31" s="1352" t="s">
        <v>65</v>
      </c>
      <c r="U31" s="1353">
        <f t="shared" si="13"/>
        <v>100</v>
      </c>
      <c r="V31" s="1352" t="s">
        <v>65</v>
      </c>
      <c r="W31" s="1353">
        <f t="shared" si="14"/>
        <v>100</v>
      </c>
      <c r="X31" s="1340"/>
      <c r="Y31" s="3558"/>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59" t="s">
        <v>1032</v>
      </c>
      <c r="Q32" s="1351" t="str">
        <f t="shared" si="11"/>
        <v>商业类型</v>
      </c>
      <c r="R32" s="1352" t="s">
        <v>65</v>
      </c>
      <c r="S32" s="1353">
        <f t="shared" si="12"/>
        <v>100</v>
      </c>
      <c r="T32" s="1352" t="s">
        <v>65</v>
      </c>
      <c r="U32" s="1353">
        <f t="shared" si="13"/>
        <v>100</v>
      </c>
      <c r="V32" s="1352" t="s">
        <v>65</v>
      </c>
      <c r="W32" s="1353">
        <f t="shared" si="14"/>
        <v>100</v>
      </c>
      <c r="X32" s="1340"/>
      <c r="Y32" s="3562"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60"/>
      <c r="Q33" s="1359" t="str">
        <f t="shared" si="11"/>
        <v>项目建筑规模</v>
      </c>
      <c r="R33" s="1360" t="s">
        <v>65</v>
      </c>
      <c r="S33" s="1361" t="e">
        <f t="shared" si="12"/>
        <v>#N/A</v>
      </c>
      <c r="T33" s="1360" t="s">
        <v>65</v>
      </c>
      <c r="U33" s="1361" t="e">
        <f t="shared" si="13"/>
        <v>#N/A</v>
      </c>
      <c r="V33" s="1360" t="s">
        <v>65</v>
      </c>
      <c r="W33" s="1361" t="e">
        <f t="shared" si="14"/>
        <v>#N/A</v>
      </c>
      <c r="X33" s="1362"/>
      <c r="Y33" s="356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60"/>
      <c r="Q34" s="1351" t="str">
        <f t="shared" si="11"/>
        <v>建筑结构</v>
      </c>
      <c r="R34" s="1352" t="s">
        <v>65</v>
      </c>
      <c r="S34" s="1353">
        <f t="shared" si="12"/>
        <v>100</v>
      </c>
      <c r="T34" s="1352" t="s">
        <v>65</v>
      </c>
      <c r="U34" s="1353">
        <f t="shared" si="13"/>
        <v>100</v>
      </c>
      <c r="V34" s="1352" t="s">
        <v>65</v>
      </c>
      <c r="W34" s="1353">
        <f t="shared" si="14"/>
        <v>100</v>
      </c>
      <c r="X34" s="1340"/>
      <c r="Y34" s="3562"/>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60"/>
      <c r="Q35" s="1351" t="str">
        <f t="shared" si="11"/>
        <v>公共部分装修</v>
      </c>
      <c r="R35" s="1352" t="s">
        <v>65</v>
      </c>
      <c r="S35" s="1353">
        <f t="shared" si="12"/>
        <v>100</v>
      </c>
      <c r="T35" s="1352" t="s">
        <v>65</v>
      </c>
      <c r="U35" s="1353">
        <f t="shared" si="13"/>
        <v>100</v>
      </c>
      <c r="V35" s="1352" t="s">
        <v>65</v>
      </c>
      <c r="W35" s="1353">
        <f t="shared" si="14"/>
        <v>100</v>
      </c>
      <c r="X35" s="1340"/>
      <c r="Y35" s="3562"/>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60"/>
      <c r="Q36" s="1351" t="str">
        <f t="shared" si="11"/>
        <v>成新度</v>
      </c>
      <c r="R36" s="1352" t="s">
        <v>65</v>
      </c>
      <c r="S36" s="1353" t="e">
        <f t="shared" si="12"/>
        <v>#N/A</v>
      </c>
      <c r="T36" s="1352" t="s">
        <v>65</v>
      </c>
      <c r="U36" s="1353" t="e">
        <f t="shared" si="13"/>
        <v>#N/A</v>
      </c>
      <c r="V36" s="1352" t="s">
        <v>65</v>
      </c>
      <c r="W36" s="1353" t="e">
        <f t="shared" si="14"/>
        <v>#N/A</v>
      </c>
      <c r="X36" s="1340"/>
      <c r="Y36" s="3562"/>
      <c r="Z36" s="1354" t="str">
        <f t="shared" si="15"/>
        <v>成新度</v>
      </c>
      <c r="AA36" s="1355" t="e">
        <f t="shared" si="3"/>
        <v>#N/A</v>
      </c>
      <c r="AB36" s="1355" t="e">
        <f t="shared" si="4"/>
        <v>#N/A</v>
      </c>
      <c r="AC36" s="1355" t="e">
        <f t="shared" si="5"/>
        <v>#N/A</v>
      </c>
    </row>
    <row r="37" spans="1:29" s="40" customFormat="1" ht="15">
      <c r="A37" s="1041"/>
      <c r="B37" s="12" t="s">
        <v>2666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60"/>
      <c r="Q37" s="7" t="str">
        <f t="shared" si="11"/>
        <v>市政基础设施</v>
      </c>
      <c r="R37" s="1342" t="s">
        <v>65</v>
      </c>
      <c r="S37" s="1343">
        <f t="shared" si="12"/>
        <v>100</v>
      </c>
      <c r="T37" s="1342" t="s">
        <v>65</v>
      </c>
      <c r="U37" s="1343">
        <f t="shared" si="13"/>
        <v>100</v>
      </c>
      <c r="V37" s="1342" t="s">
        <v>65</v>
      </c>
      <c r="W37" s="1343">
        <f t="shared" si="14"/>
        <v>100</v>
      </c>
      <c r="X37" s="287"/>
      <c r="Y37" s="356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60" t="s">
        <v>1035</v>
      </c>
      <c r="Q38" s="1351" t="str">
        <f t="shared" si="11"/>
        <v>业态</v>
      </c>
      <c r="R38" s="1352" t="s">
        <v>65</v>
      </c>
      <c r="S38" s="1353">
        <f t="shared" si="12"/>
        <v>100</v>
      </c>
      <c r="T38" s="1352" t="s">
        <v>65</v>
      </c>
      <c r="U38" s="1353">
        <f t="shared" si="13"/>
        <v>100</v>
      </c>
      <c r="V38" s="1352" t="s">
        <v>65</v>
      </c>
      <c r="W38" s="1353">
        <f t="shared" si="14"/>
        <v>100</v>
      </c>
      <c r="X38" s="1340"/>
      <c r="Y38" s="3562"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60"/>
      <c r="Q39" s="1351" t="str">
        <f t="shared" si="11"/>
        <v>层高</v>
      </c>
      <c r="R39" s="1352" t="s">
        <v>65</v>
      </c>
      <c r="S39" s="1353">
        <f t="shared" si="12"/>
        <v>100</v>
      </c>
      <c r="T39" s="1352" t="s">
        <v>65</v>
      </c>
      <c r="U39" s="1353">
        <f t="shared" si="13"/>
        <v>100</v>
      </c>
      <c r="V39" s="1352" t="s">
        <v>65</v>
      </c>
      <c r="W39" s="1353">
        <f t="shared" si="14"/>
        <v>100</v>
      </c>
      <c r="X39" s="1340"/>
      <c r="Y39" s="3562"/>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60"/>
      <c r="Q40" s="1351" t="str">
        <f t="shared" si="11"/>
        <v>单套建筑面积</v>
      </c>
      <c r="R40" s="1352" t="s">
        <v>65</v>
      </c>
      <c r="S40" s="1353">
        <f t="shared" si="12"/>
        <v>100</v>
      </c>
      <c r="T40" s="1352" t="s">
        <v>65</v>
      </c>
      <c r="U40" s="1353">
        <f t="shared" si="13"/>
        <v>100</v>
      </c>
      <c r="V40" s="1352" t="s">
        <v>65</v>
      </c>
      <c r="W40" s="1353">
        <f t="shared" si="14"/>
        <v>100</v>
      </c>
      <c r="X40" s="1340"/>
      <c r="Y40" s="3562"/>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60"/>
      <c r="Q41" s="1359" t="str">
        <f t="shared" si="11"/>
        <v>进深比</v>
      </c>
      <c r="R41" s="1360" t="s">
        <v>65</v>
      </c>
      <c r="S41" s="1361">
        <f t="shared" si="12"/>
        <v>100</v>
      </c>
      <c r="T41" s="1360" t="s">
        <v>65</v>
      </c>
      <c r="U41" s="1361">
        <f t="shared" si="13"/>
        <v>100</v>
      </c>
      <c r="V41" s="1360" t="s">
        <v>65</v>
      </c>
      <c r="W41" s="1361">
        <f t="shared" si="14"/>
        <v>100</v>
      </c>
      <c r="X41" s="1362"/>
      <c r="Y41" s="3562"/>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60"/>
      <c r="Q42" s="1351" t="str">
        <f t="shared" si="11"/>
        <v>内部装修</v>
      </c>
      <c r="R42" s="1352" t="s">
        <v>65</v>
      </c>
      <c r="S42" s="1353">
        <f t="shared" si="12"/>
        <v>100</v>
      </c>
      <c r="T42" s="1352" t="s">
        <v>65</v>
      </c>
      <c r="U42" s="1353">
        <f t="shared" si="13"/>
        <v>100</v>
      </c>
      <c r="V42" s="1352" t="s">
        <v>65</v>
      </c>
      <c r="W42" s="1353">
        <f t="shared" si="14"/>
        <v>100</v>
      </c>
      <c r="X42" s="1340"/>
      <c r="Y42" s="3562"/>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60"/>
      <c r="Q43" s="1351" t="str">
        <f t="shared" si="11"/>
        <v>内部装修维护情况</v>
      </c>
      <c r="R43" s="1352" t="s">
        <v>65</v>
      </c>
      <c r="S43" s="1353">
        <f t="shared" si="12"/>
        <v>100</v>
      </c>
      <c r="T43" s="1352" t="s">
        <v>65</v>
      </c>
      <c r="U43" s="1353">
        <f t="shared" si="13"/>
        <v>100</v>
      </c>
      <c r="V43" s="1352" t="s">
        <v>65</v>
      </c>
      <c r="W43" s="1353">
        <f t="shared" si="14"/>
        <v>100</v>
      </c>
      <c r="X43" s="1340"/>
      <c r="Y43" s="356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60"/>
      <c r="Q44" s="7">
        <f t="shared" si="11"/>
        <v>111</v>
      </c>
      <c r="R44" s="1342" t="s">
        <v>65</v>
      </c>
      <c r="S44" s="1343">
        <f t="shared" si="12"/>
        <v>100</v>
      </c>
      <c r="T44" s="1342" t="s">
        <v>65</v>
      </c>
      <c r="U44" s="1343">
        <f t="shared" si="13"/>
        <v>100</v>
      </c>
      <c r="V44" s="1342" t="s">
        <v>65</v>
      </c>
      <c r="W44" s="1343">
        <f t="shared" si="14"/>
        <v>100</v>
      </c>
      <c r="X44" s="287"/>
      <c r="Y44" s="356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60"/>
      <c r="Q45" s="1351">
        <f t="shared" si="11"/>
        <v>111</v>
      </c>
      <c r="R45" s="1352" t="s">
        <v>65</v>
      </c>
      <c r="S45" s="1353">
        <f t="shared" si="12"/>
        <v>100</v>
      </c>
      <c r="T45" s="1352" t="s">
        <v>65</v>
      </c>
      <c r="U45" s="1353">
        <f t="shared" si="13"/>
        <v>100</v>
      </c>
      <c r="V45" s="1352" t="s">
        <v>65</v>
      </c>
      <c r="W45" s="1353">
        <f t="shared" si="14"/>
        <v>100</v>
      </c>
      <c r="X45" s="1340"/>
      <c r="Y45" s="356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61"/>
      <c r="Q46" s="1351">
        <f t="shared" si="11"/>
        <v>111</v>
      </c>
      <c r="R46" s="1352" t="s">
        <v>65</v>
      </c>
      <c r="S46" s="1353">
        <f t="shared" si="12"/>
        <v>100</v>
      </c>
      <c r="T46" s="1352" t="s">
        <v>65</v>
      </c>
      <c r="U46" s="1353">
        <f t="shared" si="13"/>
        <v>100</v>
      </c>
      <c r="V46" s="1352" t="s">
        <v>65</v>
      </c>
      <c r="W46" s="1353">
        <f t="shared" si="14"/>
        <v>100</v>
      </c>
      <c r="X46" s="1340"/>
      <c r="Y46" s="3563"/>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55" t="str">
        <f>A47</f>
        <v>成交单价（元/平方米）</v>
      </c>
      <c r="Q47" s="3555"/>
      <c r="R47" s="3586">
        <f>E47</f>
        <v>0</v>
      </c>
      <c r="S47" s="3586"/>
      <c r="T47" s="3586">
        <f>G47</f>
        <v>0</v>
      </c>
      <c r="U47" s="3586"/>
      <c r="V47" s="3586">
        <f>I47</f>
        <v>0</v>
      </c>
      <c r="W47" s="3586"/>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3029</v>
      </c>
      <c r="B49" s="116"/>
      <c r="C49" s="2848" t="e">
        <f>R49</f>
        <v>#DIV/0!</v>
      </c>
      <c r="D49" s="2848"/>
      <c r="E49" s="2848"/>
      <c r="F49" s="2848"/>
      <c r="G49" s="2848"/>
      <c r="H49" s="2848"/>
      <c r="I49" s="2848"/>
      <c r="J49" s="2848"/>
      <c r="K49" s="1395"/>
      <c r="L49" s="2305"/>
      <c r="M49" s="2306"/>
      <c r="N49" s="2298"/>
      <c r="O49" s="2306"/>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2804</v>
      </c>
      <c r="B58" s="849"/>
      <c r="C58" s="3047" t="str">
        <f>YEAR(C7)&amp;"-"&amp;MONTH(C7)</f>
        <v>2017-7</v>
      </c>
      <c r="D58" s="3048">
        <f>EDATE(C58,-1)</f>
        <v>42887</v>
      </c>
      <c r="E58" s="3048">
        <f t="shared" ref="E58:N58" si="16">EDATE(D58,-1)</f>
        <v>42856</v>
      </c>
      <c r="F58" s="3048">
        <f t="shared" si="16"/>
        <v>42826</v>
      </c>
      <c r="G58" s="3048">
        <f t="shared" si="16"/>
        <v>42795</v>
      </c>
      <c r="H58" s="3048">
        <f t="shared" si="16"/>
        <v>42767</v>
      </c>
      <c r="I58" s="3048">
        <f t="shared" si="16"/>
        <v>42736</v>
      </c>
      <c r="J58" s="3048">
        <f t="shared" si="16"/>
        <v>42705</v>
      </c>
      <c r="K58" s="3048">
        <f t="shared" si="16"/>
        <v>42675</v>
      </c>
      <c r="L58" s="3048">
        <f t="shared" si="16"/>
        <v>42644</v>
      </c>
      <c r="M58" s="3048">
        <f t="shared" si="16"/>
        <v>42614</v>
      </c>
      <c r="N58" s="3048">
        <f t="shared" si="16"/>
        <v>42583</v>
      </c>
      <c r="O58" s="3048">
        <f>EDATE(N58,-1)</f>
        <v>42552</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2667</v>
      </c>
      <c r="C82" s="213" t="s">
        <v>2668</v>
      </c>
      <c r="D82" s="213" t="s">
        <v>2669</v>
      </c>
      <c r="E82" s="213" t="s">
        <v>2670</v>
      </c>
      <c r="F82" s="213" t="s">
        <v>2671</v>
      </c>
      <c r="G82" s="213" t="s">
        <v>2672</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6" sqref="C126:G13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20377.830000000002</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0" t="s">
        <v>1080</v>
      </c>
      <c r="D4" s="3571"/>
      <c r="E4" s="3572" t="s">
        <v>1081</v>
      </c>
      <c r="F4" s="3573"/>
      <c r="G4" s="3570" t="s">
        <v>1082</v>
      </c>
      <c r="H4" s="3571"/>
      <c r="I4" s="3570" t="s">
        <v>1083</v>
      </c>
      <c r="J4" s="3571"/>
      <c r="K4" s="187" t="s">
        <v>1084</v>
      </c>
      <c r="L4" s="2297"/>
      <c r="M4" s="2298"/>
      <c r="N4" s="2298"/>
      <c r="O4" s="2298"/>
      <c r="P4" s="3604" t="s">
        <v>1079</v>
      </c>
      <c r="Q4" s="3605"/>
      <c r="R4" s="3608" t="s">
        <v>1081</v>
      </c>
      <c r="S4" s="3609"/>
      <c r="T4" s="3608" t="s">
        <v>1082</v>
      </c>
      <c r="U4" s="3609"/>
      <c r="V4" s="3610" t="s">
        <v>1083</v>
      </c>
      <c r="W4" s="3610"/>
      <c r="X4" s="2337"/>
      <c r="Y4" s="3608" t="s">
        <v>1079</v>
      </c>
      <c r="Z4" s="3609"/>
      <c r="AA4" s="3612" t="s">
        <v>1081</v>
      </c>
      <c r="AB4" s="3612" t="s">
        <v>1082</v>
      </c>
      <c r="AC4" s="3601" t="s">
        <v>1083</v>
      </c>
    </row>
    <row r="5" spans="1:29">
      <c r="A5" s="146"/>
      <c r="B5" s="147"/>
      <c r="C5" s="3589" t="s">
        <v>1085</v>
      </c>
      <c r="D5" s="3590"/>
      <c r="E5" s="3596" t="s">
        <v>1086</v>
      </c>
      <c r="F5" s="3597"/>
      <c r="G5" s="3589" t="s">
        <v>1087</v>
      </c>
      <c r="H5" s="3590"/>
      <c r="I5" s="3589" t="s">
        <v>1088</v>
      </c>
      <c r="J5" s="3590"/>
      <c r="K5" s="187"/>
      <c r="L5" s="2297"/>
      <c r="M5" s="2298"/>
      <c r="N5" s="2298"/>
      <c r="O5" s="2298"/>
      <c r="P5" s="3606"/>
      <c r="Q5" s="3577"/>
      <c r="R5" s="3582"/>
      <c r="S5" s="3583"/>
      <c r="T5" s="3582"/>
      <c r="U5" s="3583"/>
      <c r="V5" s="3586"/>
      <c r="W5" s="3586"/>
      <c r="X5" s="2223"/>
      <c r="Y5" s="3582"/>
      <c r="Z5" s="3583"/>
      <c r="AA5" s="3568"/>
      <c r="AB5" s="3568"/>
      <c r="AC5" s="3602"/>
    </row>
    <row r="6" spans="1:29" ht="14.25" thickBot="1">
      <c r="A6" s="148"/>
      <c r="B6" s="149"/>
      <c r="C6" s="3587" t="s">
        <v>1089</v>
      </c>
      <c r="D6" s="3588"/>
      <c r="E6" s="3594" t="s">
        <v>1089</v>
      </c>
      <c r="F6" s="3595"/>
      <c r="G6" s="3587" t="s">
        <v>1089</v>
      </c>
      <c r="H6" s="3588"/>
      <c r="I6" s="3587" t="s">
        <v>1089</v>
      </c>
      <c r="J6" s="3588"/>
      <c r="K6" s="187" t="s">
        <v>1090</v>
      </c>
      <c r="L6" s="2297"/>
      <c r="M6" s="2298"/>
      <c r="N6" s="2298"/>
      <c r="O6" s="2298"/>
      <c r="P6" s="3607"/>
      <c r="Q6" s="3579"/>
      <c r="R6" s="3582"/>
      <c r="S6" s="3583"/>
      <c r="T6" s="3584"/>
      <c r="U6" s="3585"/>
      <c r="V6" s="3586"/>
      <c r="W6" s="3586"/>
      <c r="X6" s="2223"/>
      <c r="Y6" s="3584"/>
      <c r="Z6" s="3585"/>
      <c r="AA6" s="3569"/>
      <c r="AB6" s="3569"/>
      <c r="AC6" s="3603"/>
    </row>
    <row r="7" spans="1:29" s="40" customFormat="1" ht="15" thickBot="1">
      <c r="A7" s="1014" t="s">
        <v>1091</v>
      </c>
      <c r="B7" s="1015"/>
      <c r="C7" s="753">
        <f>'数据-取费表'!B2</f>
        <v>42926</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1" t="s">
        <v>1091</v>
      </c>
      <c r="Q7" s="3593"/>
      <c r="R7" s="1342" t="s">
        <v>65</v>
      </c>
      <c r="S7" s="1343">
        <f t="shared" ref="S7:S15" si="0">F7</f>
        <v>0</v>
      </c>
      <c r="T7" s="1342" t="s">
        <v>65</v>
      </c>
      <c r="U7" s="1343">
        <f t="shared" ref="U7:U15" si="1">H7</f>
        <v>0</v>
      </c>
      <c r="V7" s="1342" t="s">
        <v>65</v>
      </c>
      <c r="W7" s="1343">
        <f t="shared" ref="W7:W15" si="2">J7</f>
        <v>0</v>
      </c>
      <c r="X7" s="287"/>
      <c r="Y7" s="3591" t="s">
        <v>1091</v>
      </c>
      <c r="Z7" s="3592"/>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1" t="s">
        <v>1025</v>
      </c>
      <c r="Q8" s="3592"/>
      <c r="R8" s="1342" t="s">
        <v>65</v>
      </c>
      <c r="S8" s="1343">
        <f t="shared" si="0"/>
        <v>0</v>
      </c>
      <c r="T8" s="1342" t="s">
        <v>65</v>
      </c>
      <c r="U8" s="1343">
        <f t="shared" si="1"/>
        <v>0</v>
      </c>
      <c r="V8" s="1342" t="s">
        <v>65</v>
      </c>
      <c r="W8" s="1343">
        <f t="shared" si="2"/>
        <v>0</v>
      </c>
      <c r="X8" s="287"/>
      <c r="Y8" s="3591" t="s">
        <v>1025</v>
      </c>
      <c r="Z8" s="3592"/>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66" t="s">
        <v>67</v>
      </c>
      <c r="Q9" s="2214" t="str">
        <f t="shared" ref="Q9:Q15" si="6">B9</f>
        <v>用途</v>
      </c>
      <c r="R9" s="1342" t="s">
        <v>65</v>
      </c>
      <c r="S9" s="1343">
        <f t="shared" si="0"/>
        <v>100</v>
      </c>
      <c r="T9" s="1342" t="s">
        <v>65</v>
      </c>
      <c r="U9" s="1343">
        <f t="shared" si="1"/>
        <v>100</v>
      </c>
      <c r="V9" s="1342" t="s">
        <v>65</v>
      </c>
      <c r="W9" s="1343">
        <f t="shared" si="2"/>
        <v>100</v>
      </c>
      <c r="X9" s="287"/>
      <c r="Y9" s="3375"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66"/>
      <c r="Q10" s="2214" t="str">
        <f t="shared" si="6"/>
        <v>土地使用年限（年）</v>
      </c>
      <c r="R10" s="1342" t="s">
        <v>65</v>
      </c>
      <c r="S10" s="1343">
        <f t="shared" si="0"/>
        <v>100</v>
      </c>
      <c r="T10" s="1342" t="s">
        <v>65</v>
      </c>
      <c r="U10" s="1343">
        <f t="shared" si="1"/>
        <v>100</v>
      </c>
      <c r="V10" s="1342" t="s">
        <v>65</v>
      </c>
      <c r="W10" s="1343">
        <f t="shared" si="2"/>
        <v>100</v>
      </c>
      <c r="X10" s="287"/>
      <c r="Y10" s="3375"/>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66"/>
      <c r="Q11" s="2214" t="str">
        <f t="shared" si="6"/>
        <v>容积率</v>
      </c>
      <c r="R11" s="1342" t="s">
        <v>65</v>
      </c>
      <c r="S11" s="1343" t="e">
        <f t="shared" si="0"/>
        <v>#N/A</v>
      </c>
      <c r="T11" s="1342" t="s">
        <v>65</v>
      </c>
      <c r="U11" s="1343" t="e">
        <f t="shared" si="1"/>
        <v>#N/A</v>
      </c>
      <c r="V11" s="1342" t="s">
        <v>65</v>
      </c>
      <c r="W11" s="1343" t="e">
        <f t="shared" si="2"/>
        <v>#N/A</v>
      </c>
      <c r="X11" s="287"/>
      <c r="Y11" s="3375"/>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66"/>
      <c r="Q12" s="2214">
        <f t="shared" si="6"/>
        <v>111</v>
      </c>
      <c r="R12" s="1342" t="s">
        <v>65</v>
      </c>
      <c r="S12" s="1343">
        <f t="shared" si="0"/>
        <v>100</v>
      </c>
      <c r="T12" s="1342" t="s">
        <v>65</v>
      </c>
      <c r="U12" s="1343">
        <f t="shared" si="1"/>
        <v>100</v>
      </c>
      <c r="V12" s="1342" t="s">
        <v>65</v>
      </c>
      <c r="W12" s="1343">
        <f t="shared" si="2"/>
        <v>100</v>
      </c>
      <c r="X12" s="287"/>
      <c r="Y12" s="3375"/>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66"/>
      <c r="Q13" s="2214">
        <f t="shared" si="6"/>
        <v>111</v>
      </c>
      <c r="R13" s="1342" t="s">
        <v>65</v>
      </c>
      <c r="S13" s="1343">
        <f t="shared" si="0"/>
        <v>100</v>
      </c>
      <c r="T13" s="1342" t="s">
        <v>65</v>
      </c>
      <c r="U13" s="1343">
        <f t="shared" si="1"/>
        <v>100</v>
      </c>
      <c r="V13" s="1342" t="s">
        <v>65</v>
      </c>
      <c r="W13" s="1343">
        <f t="shared" si="2"/>
        <v>100</v>
      </c>
      <c r="X13" s="287"/>
      <c r="Y13" s="3375"/>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66"/>
      <c r="Q14" s="2214">
        <f t="shared" si="6"/>
        <v>111</v>
      </c>
      <c r="R14" s="1342" t="s">
        <v>65</v>
      </c>
      <c r="S14" s="1343">
        <f t="shared" si="0"/>
        <v>100</v>
      </c>
      <c r="T14" s="1342" t="s">
        <v>65</v>
      </c>
      <c r="U14" s="1343">
        <f t="shared" si="1"/>
        <v>100</v>
      </c>
      <c r="V14" s="1342" t="s">
        <v>65</v>
      </c>
      <c r="W14" s="1343">
        <f t="shared" si="2"/>
        <v>100</v>
      </c>
      <c r="X14" s="287"/>
      <c r="Y14" s="3375"/>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64" t="s">
        <v>69</v>
      </c>
      <c r="Q15" s="2221" t="str">
        <f t="shared" si="6"/>
        <v>办公集聚程度</v>
      </c>
      <c r="R15" s="1352" t="s">
        <v>65</v>
      </c>
      <c r="S15" s="1353">
        <f t="shared" si="0"/>
        <v>100</v>
      </c>
      <c r="T15" s="1352" t="s">
        <v>65</v>
      </c>
      <c r="U15" s="1353">
        <f t="shared" si="1"/>
        <v>100</v>
      </c>
      <c r="V15" s="1352" t="s">
        <v>65</v>
      </c>
      <c r="W15" s="1353">
        <f t="shared" si="2"/>
        <v>100</v>
      </c>
      <c r="X15" s="2223"/>
      <c r="Y15" s="3557"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65"/>
      <c r="Q16" s="2221"/>
      <c r="R16" s="1352"/>
      <c r="S16" s="1353"/>
      <c r="T16" s="1352"/>
      <c r="U16" s="1353"/>
      <c r="V16" s="1352"/>
      <c r="W16" s="1353"/>
      <c r="X16" s="2223"/>
      <c r="Y16" s="3558"/>
      <c r="Z16" s="2222"/>
      <c r="AA16" s="1355">
        <v>1</v>
      </c>
      <c r="AB16" s="1355">
        <v>1</v>
      </c>
      <c r="AC16" s="2339">
        <v>1</v>
      </c>
    </row>
    <row r="17" spans="1:29" ht="67.5">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65"/>
      <c r="Q17" s="2221" t="str">
        <f>B17</f>
        <v>交通便捷度</v>
      </c>
      <c r="R17" s="1352" t="s">
        <v>65</v>
      </c>
      <c r="S17" s="1353">
        <f>F17</f>
        <v>100</v>
      </c>
      <c r="T17" s="1352" t="s">
        <v>65</v>
      </c>
      <c r="U17" s="1353">
        <f>H17</f>
        <v>100</v>
      </c>
      <c r="V17" s="1352" t="s">
        <v>65</v>
      </c>
      <c r="W17" s="1353">
        <f>J17</f>
        <v>100</v>
      </c>
      <c r="X17" s="2223"/>
      <c r="Y17" s="3558"/>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65"/>
      <c r="Q18" s="2221"/>
      <c r="R18" s="1352"/>
      <c r="S18" s="1353"/>
      <c r="T18" s="1352"/>
      <c r="U18" s="1353"/>
      <c r="V18" s="1352"/>
      <c r="W18" s="1353"/>
      <c r="X18" s="2223"/>
      <c r="Y18" s="3558"/>
      <c r="Z18" s="2222"/>
      <c r="AA18" s="1355">
        <v>1</v>
      </c>
      <c r="AB18" s="1355">
        <v>1</v>
      </c>
      <c r="AC18" s="2339">
        <v>1</v>
      </c>
    </row>
    <row r="19" spans="1:29" ht="40.5">
      <c r="A19" s="151"/>
      <c r="B19" s="1034" t="s">
        <v>2673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65"/>
      <c r="Q19" s="2221" t="str">
        <f>B19</f>
        <v>公共配套设施</v>
      </c>
      <c r="R19" s="1352" t="s">
        <v>65</v>
      </c>
      <c r="S19" s="1353">
        <f>F19</f>
        <v>100</v>
      </c>
      <c r="T19" s="1352" t="s">
        <v>65</v>
      </c>
      <c r="U19" s="1353">
        <f>H19</f>
        <v>100</v>
      </c>
      <c r="V19" s="1352" t="s">
        <v>65</v>
      </c>
      <c r="W19" s="1353">
        <f>J19</f>
        <v>100</v>
      </c>
      <c r="X19" s="2223"/>
      <c r="Y19" s="3558"/>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65"/>
      <c r="Q20" s="2221"/>
      <c r="R20" s="1352"/>
      <c r="S20" s="1353"/>
      <c r="T20" s="1352"/>
      <c r="U20" s="1353"/>
      <c r="V20" s="1352"/>
      <c r="W20" s="1353"/>
      <c r="X20" s="2223"/>
      <c r="Y20" s="3558"/>
      <c r="Z20" s="2222"/>
      <c r="AA20" s="1355">
        <v>1</v>
      </c>
      <c r="AB20" s="1355">
        <v>1</v>
      </c>
      <c r="AC20" s="2339">
        <v>1</v>
      </c>
    </row>
    <row r="21" spans="1:29" ht="27">
      <c r="A21" s="151"/>
      <c r="B21" s="1036" t="s">
        <v>2674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565"/>
      <c r="Q22" s="2748"/>
      <c r="R22" s="1352"/>
      <c r="S22" s="1353"/>
      <c r="T22" s="1352"/>
      <c r="U22" s="1353"/>
      <c r="V22" s="1352"/>
      <c r="W22" s="1353"/>
      <c r="X22" s="2750"/>
      <c r="Y22" s="3558"/>
      <c r="Z22" s="2749"/>
      <c r="AA22" s="1355">
        <v>1</v>
      </c>
      <c r="AB22" s="1355">
        <v>1</v>
      </c>
      <c r="AC22" s="2339">
        <v>1</v>
      </c>
    </row>
    <row r="23" spans="1:29" ht="40.5">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65"/>
      <c r="Q23" s="2221" t="str">
        <f>B23</f>
        <v>环境质量</v>
      </c>
      <c r="R23" s="1352" t="s">
        <v>65</v>
      </c>
      <c r="S23" s="1353">
        <f>F23</f>
        <v>100</v>
      </c>
      <c r="T23" s="1352" t="s">
        <v>65</v>
      </c>
      <c r="U23" s="1353">
        <f>H23</f>
        <v>100</v>
      </c>
      <c r="V23" s="1352" t="s">
        <v>65</v>
      </c>
      <c r="W23" s="1353">
        <f>J23</f>
        <v>100</v>
      </c>
      <c r="X23" s="2223"/>
      <c r="Y23" s="3558"/>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65"/>
      <c r="Q24" s="2221"/>
      <c r="R24" s="1352"/>
      <c r="S24" s="1353"/>
      <c r="T24" s="1352"/>
      <c r="U24" s="1353"/>
      <c r="V24" s="1352"/>
      <c r="W24" s="1353"/>
      <c r="X24" s="2223"/>
      <c r="Y24" s="3558"/>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65"/>
      <c r="Q25" s="2221" t="str">
        <f>B25</f>
        <v>毗邻道路的类型与等级</v>
      </c>
      <c r="R25" s="1352" t="s">
        <v>65</v>
      </c>
      <c r="S25" s="1353">
        <f>F25</f>
        <v>100</v>
      </c>
      <c r="T25" s="1352" t="s">
        <v>65</v>
      </c>
      <c r="U25" s="1353">
        <f>H25</f>
        <v>100</v>
      </c>
      <c r="V25" s="1352" t="s">
        <v>65</v>
      </c>
      <c r="W25" s="1353">
        <f>J25</f>
        <v>100</v>
      </c>
      <c r="X25" s="2223"/>
      <c r="Y25" s="3558"/>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65"/>
      <c r="Q26" s="2221"/>
      <c r="R26" s="1352"/>
      <c r="S26" s="1353"/>
      <c r="T26" s="1352"/>
      <c r="U26" s="1353"/>
      <c r="V26" s="1352"/>
      <c r="W26" s="1353"/>
      <c r="X26" s="2223"/>
      <c r="Y26" s="3558"/>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65"/>
      <c r="Q27" s="2221" t="str">
        <f t="shared" ref="Q27:Q47" si="11">B27</f>
        <v>楼层</v>
      </c>
      <c r="R27" s="1352" t="s">
        <v>65</v>
      </c>
      <c r="S27" s="1353">
        <f>F27</f>
        <v>100</v>
      </c>
      <c r="T27" s="1352" t="s">
        <v>65</v>
      </c>
      <c r="U27" s="1353">
        <f>H27</f>
        <v>100</v>
      </c>
      <c r="V27" s="1352" t="s">
        <v>65</v>
      </c>
      <c r="W27" s="1353">
        <f>J27</f>
        <v>100</v>
      </c>
      <c r="X27" s="2223"/>
      <c r="Y27" s="3558"/>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65"/>
      <c r="Q28" s="2214" t="str">
        <f t="shared" si="11"/>
        <v>朝向</v>
      </c>
      <c r="R28" s="1342" t="s">
        <v>65</v>
      </c>
      <c r="S28" s="1343">
        <f>F28</f>
        <v>100</v>
      </c>
      <c r="T28" s="1342" t="s">
        <v>65</v>
      </c>
      <c r="U28" s="1343">
        <f>H28</f>
        <v>100</v>
      </c>
      <c r="V28" s="1342" t="s">
        <v>65</v>
      </c>
      <c r="W28" s="1343">
        <f>J28</f>
        <v>100</v>
      </c>
      <c r="X28" s="287"/>
      <c r="Y28" s="3558"/>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65"/>
      <c r="Q29" s="2221">
        <f t="shared" si="11"/>
        <v>111</v>
      </c>
      <c r="R29" s="1352" t="s">
        <v>65</v>
      </c>
      <c r="S29" s="1353">
        <f t="shared" ref="S29:S47" si="12">F29</f>
        <v>100</v>
      </c>
      <c r="T29" s="1352" t="s">
        <v>65</v>
      </c>
      <c r="U29" s="1353">
        <f t="shared" ref="U29:U47" si="13">H29</f>
        <v>100</v>
      </c>
      <c r="V29" s="1352" t="s">
        <v>65</v>
      </c>
      <c r="W29" s="1353">
        <f t="shared" ref="W29:W47" si="14">J29</f>
        <v>100</v>
      </c>
      <c r="X29" s="2223"/>
      <c r="Y29" s="3558"/>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65"/>
      <c r="Q30" s="2221">
        <f t="shared" si="11"/>
        <v>111</v>
      </c>
      <c r="R30" s="1352" t="s">
        <v>65</v>
      </c>
      <c r="S30" s="1353">
        <f t="shared" si="12"/>
        <v>100</v>
      </c>
      <c r="T30" s="1352" t="s">
        <v>65</v>
      </c>
      <c r="U30" s="1353">
        <f t="shared" si="13"/>
        <v>100</v>
      </c>
      <c r="V30" s="1352" t="s">
        <v>65</v>
      </c>
      <c r="W30" s="1353">
        <f t="shared" si="14"/>
        <v>100</v>
      </c>
      <c r="X30" s="2223"/>
      <c r="Y30" s="3558"/>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65"/>
      <c r="Q31" s="2221">
        <f t="shared" si="11"/>
        <v>111</v>
      </c>
      <c r="R31" s="1352" t="s">
        <v>65</v>
      </c>
      <c r="S31" s="1353">
        <f t="shared" si="12"/>
        <v>100</v>
      </c>
      <c r="T31" s="1352" t="s">
        <v>65</v>
      </c>
      <c r="U31" s="1353">
        <f t="shared" si="13"/>
        <v>100</v>
      </c>
      <c r="V31" s="1352" t="s">
        <v>65</v>
      </c>
      <c r="W31" s="1353">
        <f t="shared" si="14"/>
        <v>100</v>
      </c>
      <c r="X31" s="2223"/>
      <c r="Y31" s="3558"/>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65"/>
      <c r="Q32" s="2221">
        <f t="shared" si="11"/>
        <v>111</v>
      </c>
      <c r="R32" s="1352" t="s">
        <v>65</v>
      </c>
      <c r="S32" s="1353">
        <f t="shared" si="12"/>
        <v>100</v>
      </c>
      <c r="T32" s="1352" t="s">
        <v>65</v>
      </c>
      <c r="U32" s="1353">
        <f t="shared" si="13"/>
        <v>100</v>
      </c>
      <c r="V32" s="1352" t="s">
        <v>65</v>
      </c>
      <c r="W32" s="1353">
        <f t="shared" si="14"/>
        <v>100</v>
      </c>
      <c r="X32" s="2223"/>
      <c r="Y32" s="3558"/>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59" t="s">
        <v>1097</v>
      </c>
      <c r="Q33" s="2221" t="str">
        <f t="shared" si="11"/>
        <v>建筑类型</v>
      </c>
      <c r="R33" s="1352" t="s">
        <v>65</v>
      </c>
      <c r="S33" s="1353">
        <f t="shared" si="12"/>
        <v>100</v>
      </c>
      <c r="T33" s="1352" t="s">
        <v>65</v>
      </c>
      <c r="U33" s="1353">
        <f t="shared" si="13"/>
        <v>100</v>
      </c>
      <c r="V33" s="1352" t="s">
        <v>65</v>
      </c>
      <c r="W33" s="1353">
        <f t="shared" si="14"/>
        <v>100</v>
      </c>
      <c r="X33" s="2223"/>
      <c r="Y33" s="3562"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60"/>
      <c r="Q34" s="1359" t="str">
        <f t="shared" si="11"/>
        <v>项目建筑规模</v>
      </c>
      <c r="R34" s="1360" t="s">
        <v>65</v>
      </c>
      <c r="S34" s="1361" t="e">
        <f t="shared" si="12"/>
        <v>#N/A</v>
      </c>
      <c r="T34" s="1360" t="s">
        <v>65</v>
      </c>
      <c r="U34" s="1361" t="e">
        <f t="shared" si="13"/>
        <v>#N/A</v>
      </c>
      <c r="V34" s="1360" t="s">
        <v>65</v>
      </c>
      <c r="W34" s="1361" t="e">
        <f t="shared" si="14"/>
        <v>#N/A</v>
      </c>
      <c r="X34" s="1362"/>
      <c r="Y34" s="3562"/>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60"/>
      <c r="Q35" s="2221" t="str">
        <f t="shared" si="11"/>
        <v>建筑结构</v>
      </c>
      <c r="R35" s="1352" t="s">
        <v>65</v>
      </c>
      <c r="S35" s="1353">
        <f t="shared" si="12"/>
        <v>100</v>
      </c>
      <c r="T35" s="1352" t="s">
        <v>65</v>
      </c>
      <c r="U35" s="1353">
        <f t="shared" si="13"/>
        <v>100</v>
      </c>
      <c r="V35" s="1352" t="s">
        <v>65</v>
      </c>
      <c r="W35" s="1353">
        <f t="shared" si="14"/>
        <v>100</v>
      </c>
      <c r="X35" s="2223"/>
      <c r="Y35" s="3562"/>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60"/>
      <c r="Q36" s="2221" t="str">
        <f t="shared" si="11"/>
        <v>公共部分装修</v>
      </c>
      <c r="R36" s="1352" t="s">
        <v>65</v>
      </c>
      <c r="S36" s="1353">
        <f t="shared" si="12"/>
        <v>100</v>
      </c>
      <c r="T36" s="1352" t="s">
        <v>65</v>
      </c>
      <c r="U36" s="1353">
        <f t="shared" si="13"/>
        <v>100</v>
      </c>
      <c r="V36" s="1352" t="s">
        <v>65</v>
      </c>
      <c r="W36" s="1353">
        <f t="shared" si="14"/>
        <v>100</v>
      </c>
      <c r="X36" s="2223"/>
      <c r="Y36" s="3562"/>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60"/>
      <c r="Q37" s="2221" t="str">
        <f t="shared" si="11"/>
        <v>成新度</v>
      </c>
      <c r="R37" s="1352" t="s">
        <v>65</v>
      </c>
      <c r="S37" s="1353" t="e">
        <f t="shared" si="12"/>
        <v>#N/A</v>
      </c>
      <c r="T37" s="1352" t="s">
        <v>65</v>
      </c>
      <c r="U37" s="1353" t="e">
        <f t="shared" si="13"/>
        <v>#N/A</v>
      </c>
      <c r="V37" s="1352" t="s">
        <v>65</v>
      </c>
      <c r="W37" s="1353" t="e">
        <f t="shared" si="14"/>
        <v>#N/A</v>
      </c>
      <c r="X37" s="2223"/>
      <c r="Y37" s="3562"/>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60"/>
      <c r="Q38" s="2214" t="str">
        <f t="shared" si="11"/>
        <v>写字楼等级</v>
      </c>
      <c r="R38" s="1342" t="s">
        <v>65</v>
      </c>
      <c r="S38" s="1343">
        <f t="shared" si="12"/>
        <v>100</v>
      </c>
      <c r="T38" s="1342" t="s">
        <v>65</v>
      </c>
      <c r="U38" s="1343">
        <f t="shared" si="13"/>
        <v>100</v>
      </c>
      <c r="V38" s="1342" t="s">
        <v>65</v>
      </c>
      <c r="W38" s="1343">
        <f t="shared" si="14"/>
        <v>100</v>
      </c>
      <c r="X38" s="287"/>
      <c r="Y38" s="3562"/>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60" t="s">
        <v>70</v>
      </c>
      <c r="Q39" s="2221" t="str">
        <f t="shared" si="11"/>
        <v>物业管理</v>
      </c>
      <c r="R39" s="1352" t="s">
        <v>65</v>
      </c>
      <c r="S39" s="1353">
        <f t="shared" si="12"/>
        <v>100</v>
      </c>
      <c r="T39" s="1352" t="s">
        <v>65</v>
      </c>
      <c r="U39" s="1353">
        <f t="shared" si="13"/>
        <v>100</v>
      </c>
      <c r="V39" s="1352" t="s">
        <v>65</v>
      </c>
      <c r="W39" s="1353">
        <f t="shared" si="14"/>
        <v>100</v>
      </c>
      <c r="X39" s="2223"/>
      <c r="Y39" s="3562" t="s">
        <v>70</v>
      </c>
      <c r="Z39" s="2222" t="str">
        <f t="shared" si="15"/>
        <v>物业管理</v>
      </c>
      <c r="AA39" s="1355">
        <f t="shared" si="3"/>
        <v>1</v>
      </c>
      <c r="AB39" s="1355">
        <f t="shared" si="4"/>
        <v>1</v>
      </c>
      <c r="AC39" s="2339">
        <f t="shared" si="5"/>
        <v>1</v>
      </c>
    </row>
    <row r="40" spans="1:29" ht="15">
      <c r="A40" s="161"/>
      <c r="B40" s="12" t="s">
        <v>2666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60"/>
      <c r="Q40" s="2221" t="str">
        <f t="shared" si="11"/>
        <v>市政基础设施</v>
      </c>
      <c r="R40" s="1352" t="s">
        <v>65</v>
      </c>
      <c r="S40" s="1353">
        <f t="shared" si="12"/>
        <v>100</v>
      </c>
      <c r="T40" s="1352" t="s">
        <v>65</v>
      </c>
      <c r="U40" s="1353">
        <f t="shared" si="13"/>
        <v>100</v>
      </c>
      <c r="V40" s="1352" t="s">
        <v>65</v>
      </c>
      <c r="W40" s="1353">
        <f t="shared" si="14"/>
        <v>100</v>
      </c>
      <c r="X40" s="2223"/>
      <c r="Y40" s="3562"/>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60"/>
      <c r="Q41" s="2221" t="str">
        <f t="shared" si="11"/>
        <v>层高</v>
      </c>
      <c r="R41" s="1352" t="s">
        <v>65</v>
      </c>
      <c r="S41" s="1353">
        <f t="shared" si="12"/>
        <v>100</v>
      </c>
      <c r="T41" s="1352" t="s">
        <v>65</v>
      </c>
      <c r="U41" s="1353">
        <f t="shared" si="13"/>
        <v>100</v>
      </c>
      <c r="V41" s="1352" t="s">
        <v>65</v>
      </c>
      <c r="W41" s="1353">
        <f t="shared" si="14"/>
        <v>100</v>
      </c>
      <c r="X41" s="2223"/>
      <c r="Y41" s="3562"/>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60"/>
      <c r="Q42" s="1359" t="str">
        <f t="shared" si="11"/>
        <v>单套建筑面积</v>
      </c>
      <c r="R42" s="1360" t="s">
        <v>65</v>
      </c>
      <c r="S42" s="1361">
        <f t="shared" si="12"/>
        <v>100</v>
      </c>
      <c r="T42" s="1360" t="s">
        <v>65</v>
      </c>
      <c r="U42" s="1361">
        <f t="shared" si="13"/>
        <v>100</v>
      </c>
      <c r="V42" s="1360" t="s">
        <v>65</v>
      </c>
      <c r="W42" s="1361">
        <f t="shared" si="14"/>
        <v>100</v>
      </c>
      <c r="X42" s="1362"/>
      <c r="Y42" s="3562"/>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60"/>
      <c r="Q43" s="2221" t="str">
        <f t="shared" si="11"/>
        <v>内部装修</v>
      </c>
      <c r="R43" s="1352" t="s">
        <v>65</v>
      </c>
      <c r="S43" s="1353">
        <f t="shared" si="12"/>
        <v>100</v>
      </c>
      <c r="T43" s="1352" t="s">
        <v>65</v>
      </c>
      <c r="U43" s="1353">
        <f t="shared" si="13"/>
        <v>100</v>
      </c>
      <c r="V43" s="1352" t="s">
        <v>65</v>
      </c>
      <c r="W43" s="1353">
        <f t="shared" si="14"/>
        <v>100</v>
      </c>
      <c r="X43" s="2223"/>
      <c r="Y43" s="3562"/>
      <c r="Z43" s="2222" t="str">
        <f t="shared" si="15"/>
        <v>内部装修</v>
      </c>
      <c r="AA43" s="1355">
        <f t="shared" si="3"/>
        <v>1</v>
      </c>
      <c r="AB43" s="1355">
        <f t="shared" si="4"/>
        <v>1</v>
      </c>
      <c r="AC43" s="2339">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60"/>
      <c r="Q44" s="2221" t="str">
        <f t="shared" si="11"/>
        <v>内部装修维护情况</v>
      </c>
      <c r="R44" s="1352" t="s">
        <v>65</v>
      </c>
      <c r="S44" s="1353">
        <f t="shared" si="12"/>
        <v>100</v>
      </c>
      <c r="T44" s="1352" t="s">
        <v>65</v>
      </c>
      <c r="U44" s="1353">
        <f t="shared" si="13"/>
        <v>100</v>
      </c>
      <c r="V44" s="1352" t="s">
        <v>65</v>
      </c>
      <c r="W44" s="1353">
        <f t="shared" si="14"/>
        <v>100</v>
      </c>
      <c r="X44" s="2223"/>
      <c r="Y44" s="3562"/>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60"/>
      <c r="Q45" s="2214">
        <f t="shared" si="11"/>
        <v>111</v>
      </c>
      <c r="R45" s="1342" t="s">
        <v>65</v>
      </c>
      <c r="S45" s="1343">
        <f t="shared" si="12"/>
        <v>100</v>
      </c>
      <c r="T45" s="1342" t="s">
        <v>65</v>
      </c>
      <c r="U45" s="1343">
        <f t="shared" si="13"/>
        <v>100</v>
      </c>
      <c r="V45" s="1342" t="s">
        <v>65</v>
      </c>
      <c r="W45" s="1343">
        <f t="shared" si="14"/>
        <v>100</v>
      </c>
      <c r="X45" s="287"/>
      <c r="Y45" s="3562"/>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60"/>
      <c r="Q46" s="2221">
        <f t="shared" si="11"/>
        <v>111</v>
      </c>
      <c r="R46" s="1352" t="s">
        <v>65</v>
      </c>
      <c r="S46" s="1353">
        <f t="shared" si="12"/>
        <v>100</v>
      </c>
      <c r="T46" s="1352" t="s">
        <v>65</v>
      </c>
      <c r="U46" s="1353">
        <f t="shared" si="13"/>
        <v>100</v>
      </c>
      <c r="V46" s="1352" t="s">
        <v>65</v>
      </c>
      <c r="W46" s="1353">
        <f t="shared" si="14"/>
        <v>100</v>
      </c>
      <c r="X46" s="2223"/>
      <c r="Y46" s="3562"/>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61"/>
      <c r="Q47" s="2221">
        <f t="shared" si="11"/>
        <v>111</v>
      </c>
      <c r="R47" s="1352" t="s">
        <v>65</v>
      </c>
      <c r="S47" s="1353">
        <f t="shared" si="12"/>
        <v>100</v>
      </c>
      <c r="T47" s="1352" t="s">
        <v>65</v>
      </c>
      <c r="U47" s="1353">
        <f t="shared" si="13"/>
        <v>100</v>
      </c>
      <c r="V47" s="1352" t="s">
        <v>65</v>
      </c>
      <c r="W47" s="1353">
        <f t="shared" si="14"/>
        <v>100</v>
      </c>
      <c r="X47" s="2223"/>
      <c r="Y47" s="3563"/>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66" t="str">
        <f>A48</f>
        <v>成交单价（元/平方米）</v>
      </c>
      <c r="Q48" s="3555"/>
      <c r="R48" s="3556">
        <f>E48</f>
        <v>0</v>
      </c>
      <c r="S48" s="3556"/>
      <c r="T48" s="3556">
        <f>G48</f>
        <v>0</v>
      </c>
      <c r="U48" s="3556"/>
      <c r="V48" s="3556">
        <f>I48</f>
        <v>0</v>
      </c>
      <c r="W48" s="3556"/>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66" t="str">
        <f>A49</f>
        <v>比较价值（元/平方米）</v>
      </c>
      <c r="Q49" s="3555"/>
      <c r="R49" s="3556" t="e">
        <f>IF(F1="售价",ROUND(PRODUCT(R48,AA7:AA47),0),ROUND(PRODUCT(R48,AA7:AA47),1))</f>
        <v>#DIV/0!</v>
      </c>
      <c r="S49" s="3556"/>
      <c r="T49" s="3556" t="e">
        <f>IF(F1="售价",ROUND(PRODUCT(T48,AB7:AB47),0),ROUND(PRODUCT(T48,AB7:AB47),1))</f>
        <v>#DIV/0!</v>
      </c>
      <c r="U49" s="3556"/>
      <c r="V49" s="3556" t="e">
        <f>IF(F1="售价",ROUND(PRODUCT(V48,AC7:AC47),0),ROUND(PRODUCT(V48,AC7:AC47),1))</f>
        <v>#DIV/0!</v>
      </c>
      <c r="W49" s="3556"/>
      <c r="X49" s="156"/>
      <c r="Y49" s="156"/>
      <c r="Z49" s="156"/>
      <c r="AA49" s="156"/>
      <c r="AB49" s="156"/>
      <c r="AC49" s="209"/>
    </row>
    <row r="50" spans="1:29" ht="15.75" thickBot="1">
      <c r="A50" s="115" t="s">
        <v>3029</v>
      </c>
      <c r="B50" s="116"/>
      <c r="C50" s="2848" t="e">
        <f>R50</f>
        <v>#DIV/0!</v>
      </c>
      <c r="D50" s="2848"/>
      <c r="E50" s="2848"/>
      <c r="F50" s="2848"/>
      <c r="G50" s="2848"/>
      <c r="H50" s="2848"/>
      <c r="I50" s="2848"/>
      <c r="J50" s="837"/>
      <c r="K50" s="1395"/>
      <c r="L50" s="2305"/>
      <c r="M50" s="2298"/>
      <c r="N50" s="2298"/>
      <c r="O50" s="2298"/>
      <c r="P50" s="3598" t="str">
        <f>A50</f>
        <v>估价对象XX用房的比较价值（楼面单价，元/平方米）</v>
      </c>
      <c r="Q50" s="3599"/>
      <c r="R50" s="3600" t="e">
        <f>IF(F1="售价",ROUND(AVERAGE(R49:V49),0),ROUND(AVERAGE(R49:V49),1))</f>
        <v>#DIV/0!</v>
      </c>
      <c r="S50" s="3600"/>
      <c r="T50" s="3600"/>
      <c r="U50" s="3600"/>
      <c r="V50" s="3600"/>
      <c r="W50" s="3600"/>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2805</v>
      </c>
      <c r="B59" s="849"/>
      <c r="C59" s="3047" t="str">
        <f>YEAR(C7)&amp;"-"&amp;MONTH(C7)</f>
        <v>2017-7</v>
      </c>
      <c r="D59" s="3048">
        <f>EDATE(C59,-1)</f>
        <v>42887</v>
      </c>
      <c r="E59" s="3048">
        <f>EDATE(D59,-1)</f>
        <v>42856</v>
      </c>
      <c r="F59" s="3048">
        <f t="shared" ref="F59:O59" si="16">EDATE(E59,-1)</f>
        <v>42826</v>
      </c>
      <c r="G59" s="3048">
        <f t="shared" si="16"/>
        <v>42795</v>
      </c>
      <c r="H59" s="3048">
        <f t="shared" si="16"/>
        <v>42767</v>
      </c>
      <c r="I59" s="3048">
        <f t="shared" si="16"/>
        <v>42736</v>
      </c>
      <c r="J59" s="3048">
        <f t="shared" si="16"/>
        <v>42705</v>
      </c>
      <c r="K59" s="3048">
        <f t="shared" si="16"/>
        <v>42675</v>
      </c>
      <c r="L59" s="3048">
        <f t="shared" si="16"/>
        <v>42644</v>
      </c>
      <c r="M59" s="3048">
        <f t="shared" si="16"/>
        <v>42614</v>
      </c>
      <c r="N59" s="3048">
        <f t="shared" si="16"/>
        <v>42583</v>
      </c>
      <c r="O59" s="3048">
        <f t="shared" si="16"/>
        <v>42552</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2675</v>
      </c>
      <c r="C83" s="213" t="s">
        <v>2668</v>
      </c>
      <c r="D83" s="213" t="s">
        <v>2669</v>
      </c>
      <c r="E83" s="213" t="s">
        <v>2670</v>
      </c>
      <c r="F83" s="213" t="s">
        <v>2671</v>
      </c>
      <c r="G83" s="213" t="s">
        <v>2672</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2650</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1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20377.830000000002</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0" t="s">
        <v>1118</v>
      </c>
      <c r="D4" s="3571"/>
      <c r="E4" s="3572" t="s">
        <v>1119</v>
      </c>
      <c r="F4" s="3573"/>
      <c r="G4" s="3570" t="s">
        <v>1120</v>
      </c>
      <c r="H4" s="3571"/>
      <c r="I4" s="3570" t="s">
        <v>1121</v>
      </c>
      <c r="J4" s="3571"/>
      <c r="K4" s="187" t="s">
        <v>1122</v>
      </c>
      <c r="L4" s="2297"/>
      <c r="M4" s="2298"/>
      <c r="N4" s="2298"/>
      <c r="O4" s="2298"/>
      <c r="P4" s="3574" t="s">
        <v>1117</v>
      </c>
      <c r="Q4" s="3575"/>
      <c r="R4" s="3580" t="s">
        <v>1119</v>
      </c>
      <c r="S4" s="3581"/>
      <c r="T4" s="3580" t="s">
        <v>1120</v>
      </c>
      <c r="U4" s="3581"/>
      <c r="V4" s="3586" t="s">
        <v>1121</v>
      </c>
      <c r="W4" s="3586"/>
      <c r="X4" s="1340"/>
      <c r="Y4" s="3580" t="s">
        <v>1117</v>
      </c>
      <c r="Z4" s="3581"/>
      <c r="AA4" s="3567" t="s">
        <v>1119</v>
      </c>
      <c r="AB4" s="3568" t="s">
        <v>1120</v>
      </c>
      <c r="AC4" s="3567" t="s">
        <v>1121</v>
      </c>
    </row>
    <row r="5" spans="1:29">
      <c r="A5" s="146"/>
      <c r="B5" s="147"/>
      <c r="C5" s="3589" t="s">
        <v>1123</v>
      </c>
      <c r="D5" s="3590"/>
      <c r="E5" s="3596" t="s">
        <v>1124</v>
      </c>
      <c r="F5" s="3597"/>
      <c r="G5" s="3589" t="s">
        <v>1125</v>
      </c>
      <c r="H5" s="3590"/>
      <c r="I5" s="3589" t="s">
        <v>1126</v>
      </c>
      <c r="J5" s="3590"/>
      <c r="K5" s="187"/>
      <c r="L5" s="2297"/>
      <c r="M5" s="2298"/>
      <c r="N5" s="2298"/>
      <c r="O5" s="2298"/>
      <c r="P5" s="3576"/>
      <c r="Q5" s="3577"/>
      <c r="R5" s="3582"/>
      <c r="S5" s="3583"/>
      <c r="T5" s="3582"/>
      <c r="U5" s="3583"/>
      <c r="V5" s="3586"/>
      <c r="W5" s="3586"/>
      <c r="X5" s="1340"/>
      <c r="Y5" s="3582"/>
      <c r="Z5" s="3583"/>
      <c r="AA5" s="3568"/>
      <c r="AB5" s="3568"/>
      <c r="AC5" s="3568"/>
    </row>
    <row r="6" spans="1:29" ht="14.25" thickBot="1">
      <c r="A6" s="148"/>
      <c r="B6" s="149"/>
      <c r="C6" s="3587" t="s">
        <v>1127</v>
      </c>
      <c r="D6" s="3588"/>
      <c r="E6" s="3594" t="s">
        <v>1127</v>
      </c>
      <c r="F6" s="3595"/>
      <c r="G6" s="3587" t="s">
        <v>1127</v>
      </c>
      <c r="H6" s="3588"/>
      <c r="I6" s="3587" t="s">
        <v>1127</v>
      </c>
      <c r="J6" s="3588"/>
      <c r="K6" s="187" t="s">
        <v>1128</v>
      </c>
      <c r="L6" s="2297"/>
      <c r="M6" s="2298"/>
      <c r="N6" s="2298"/>
      <c r="O6" s="2298"/>
      <c r="P6" s="3578"/>
      <c r="Q6" s="3579"/>
      <c r="R6" s="3582"/>
      <c r="S6" s="3583"/>
      <c r="T6" s="3584"/>
      <c r="U6" s="3585"/>
      <c r="V6" s="3586"/>
      <c r="W6" s="3586"/>
      <c r="X6" s="1340"/>
      <c r="Y6" s="3584"/>
      <c r="Z6" s="3585"/>
      <c r="AA6" s="3569"/>
      <c r="AB6" s="3569"/>
      <c r="AC6" s="3569"/>
    </row>
    <row r="7" spans="1:29" s="40" customFormat="1" ht="15" thickBot="1">
      <c r="A7" s="1014" t="s">
        <v>1129</v>
      </c>
      <c r="B7" s="1015"/>
      <c r="C7" s="753">
        <f>'数据-取费表'!B2</f>
        <v>42926</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91" t="s">
        <v>1129</v>
      </c>
      <c r="Q7" s="3593"/>
      <c r="R7" s="1342" t="s">
        <v>65</v>
      </c>
      <c r="S7" s="1343">
        <f t="shared" ref="S7:S15" si="0">F7</f>
        <v>0</v>
      </c>
      <c r="T7" s="1342" t="s">
        <v>65</v>
      </c>
      <c r="U7" s="1343">
        <f t="shared" ref="U7:U15" si="1">H7</f>
        <v>0</v>
      </c>
      <c r="V7" s="1342" t="s">
        <v>65</v>
      </c>
      <c r="W7" s="1343">
        <f t="shared" ref="W7:W15" si="2">J7</f>
        <v>0</v>
      </c>
      <c r="X7" s="287"/>
      <c r="Y7" s="3591" t="s">
        <v>1129</v>
      </c>
      <c r="Z7" s="3592"/>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91" t="s">
        <v>1025</v>
      </c>
      <c r="Q8" s="3592"/>
      <c r="R8" s="1342" t="s">
        <v>65</v>
      </c>
      <c r="S8" s="1343">
        <f t="shared" si="0"/>
        <v>0</v>
      </c>
      <c r="T8" s="1342" t="s">
        <v>65</v>
      </c>
      <c r="U8" s="1343">
        <f t="shared" si="1"/>
        <v>0</v>
      </c>
      <c r="V8" s="1342" t="s">
        <v>65</v>
      </c>
      <c r="W8" s="1343">
        <f t="shared" si="2"/>
        <v>0</v>
      </c>
      <c r="X8" s="287"/>
      <c r="Y8" s="3591" t="s">
        <v>1025</v>
      </c>
      <c r="Z8" s="3592"/>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55"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55"/>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55"/>
      <c r="Q11" s="7" t="str">
        <f t="shared" si="6"/>
        <v>容积率</v>
      </c>
      <c r="R11" s="1342" t="s">
        <v>65</v>
      </c>
      <c r="S11" s="1343" t="e">
        <f t="shared" si="0"/>
        <v>#N/A</v>
      </c>
      <c r="T11" s="1342" t="s">
        <v>65</v>
      </c>
      <c r="U11" s="1343" t="e">
        <f t="shared" si="1"/>
        <v>#N/A</v>
      </c>
      <c r="V11" s="1342" t="s">
        <v>65</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55"/>
      <c r="Q12" s="7">
        <f t="shared" si="6"/>
        <v>111</v>
      </c>
      <c r="R12" s="1342" t="s">
        <v>65</v>
      </c>
      <c r="S12" s="1343">
        <f t="shared" si="0"/>
        <v>100</v>
      </c>
      <c r="T12" s="1342" t="s">
        <v>65</v>
      </c>
      <c r="U12" s="1343">
        <f t="shared" si="1"/>
        <v>100</v>
      </c>
      <c r="V12" s="1342" t="s">
        <v>65</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55"/>
      <c r="Q13" s="7">
        <f t="shared" si="6"/>
        <v>111</v>
      </c>
      <c r="R13" s="1342" t="s">
        <v>65</v>
      </c>
      <c r="S13" s="1343">
        <f t="shared" si="0"/>
        <v>100</v>
      </c>
      <c r="T13" s="1342" t="s">
        <v>65</v>
      </c>
      <c r="U13" s="1343">
        <f t="shared" si="1"/>
        <v>100</v>
      </c>
      <c r="V13" s="1342" t="s">
        <v>65</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55"/>
      <c r="Q14" s="7">
        <f t="shared" si="6"/>
        <v>111</v>
      </c>
      <c r="R14" s="1342" t="s">
        <v>65</v>
      </c>
      <c r="S14" s="1343">
        <f t="shared" si="0"/>
        <v>100</v>
      </c>
      <c r="T14" s="1342" t="s">
        <v>65</v>
      </c>
      <c r="U14" s="1343">
        <f t="shared" si="1"/>
        <v>100</v>
      </c>
      <c r="V14" s="1342" t="s">
        <v>65</v>
      </c>
      <c r="W14" s="1343">
        <f t="shared" si="2"/>
        <v>100</v>
      </c>
      <c r="X14" s="287"/>
      <c r="Y14" s="3375"/>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57" t="s">
        <v>69</v>
      </c>
      <c r="Q15" s="1351" t="str">
        <f t="shared" si="6"/>
        <v>产业集聚程度</v>
      </c>
      <c r="R15" s="1352" t="s">
        <v>65</v>
      </c>
      <c r="S15" s="1353">
        <f t="shared" si="0"/>
        <v>100</v>
      </c>
      <c r="T15" s="1352" t="s">
        <v>65</v>
      </c>
      <c r="U15" s="1353">
        <f t="shared" si="1"/>
        <v>100</v>
      </c>
      <c r="V15" s="1352" t="s">
        <v>65</v>
      </c>
      <c r="W15" s="1353">
        <f t="shared" si="2"/>
        <v>100</v>
      </c>
      <c r="X15" s="1340"/>
      <c r="Y15" s="355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58"/>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58"/>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58"/>
      <c r="Q18" s="1351"/>
      <c r="R18" s="1352"/>
      <c r="S18" s="1353"/>
      <c r="T18" s="1352"/>
      <c r="U18" s="1353"/>
      <c r="V18" s="1352"/>
      <c r="W18" s="1353"/>
      <c r="X18" s="1340"/>
      <c r="Y18" s="3558"/>
      <c r="Z18" s="1354"/>
      <c r="AA18" s="1355">
        <v>1</v>
      </c>
      <c r="AB18" s="1355">
        <v>1</v>
      </c>
      <c r="AC18" s="1355">
        <v>1</v>
      </c>
    </row>
    <row r="19" spans="1:29" ht="40.5">
      <c r="A19" s="151"/>
      <c r="B19" s="1356" t="s">
        <v>2673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58"/>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58"/>
      <c r="Q20" s="1351"/>
      <c r="R20" s="1352"/>
      <c r="S20" s="1353"/>
      <c r="T20" s="1352"/>
      <c r="U20" s="1353"/>
      <c r="V20" s="1352"/>
      <c r="W20" s="1353"/>
      <c r="X20" s="1340"/>
      <c r="Y20" s="3558"/>
      <c r="Z20" s="1354"/>
      <c r="AA20" s="1355">
        <v>1</v>
      </c>
      <c r="AB20" s="1355">
        <v>1</v>
      </c>
      <c r="AC20" s="1355">
        <v>1</v>
      </c>
    </row>
    <row r="21" spans="1:29" ht="27">
      <c r="A21" s="151"/>
      <c r="B21" s="1412" t="s">
        <v>2676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58"/>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58"/>
      <c r="Q22" s="2748"/>
      <c r="R22" s="1352"/>
      <c r="S22" s="1353"/>
      <c r="T22" s="1352"/>
      <c r="U22" s="1353"/>
      <c r="V22" s="1352"/>
      <c r="W22" s="1353"/>
      <c r="X22" s="2750"/>
      <c r="Y22" s="3558"/>
      <c r="Z22" s="2749"/>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58"/>
      <c r="Q23" s="1351" t="str">
        <f>B23</f>
        <v>环境质量</v>
      </c>
      <c r="R23" s="1352" t="s">
        <v>65</v>
      </c>
      <c r="S23" s="1353">
        <f>F23</f>
        <v>100</v>
      </c>
      <c r="T23" s="1352" t="s">
        <v>65</v>
      </c>
      <c r="U23" s="1353">
        <f>H23</f>
        <v>100</v>
      </c>
      <c r="V23" s="1352" t="s">
        <v>65</v>
      </c>
      <c r="W23" s="1353">
        <f>J23</f>
        <v>100</v>
      </c>
      <c r="X23" s="1340"/>
      <c r="Y23" s="355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58"/>
      <c r="Q24" s="1351"/>
      <c r="R24" s="1352"/>
      <c r="S24" s="1353"/>
      <c r="T24" s="1352"/>
      <c r="U24" s="1353"/>
      <c r="V24" s="1352"/>
      <c r="W24" s="1353"/>
      <c r="X24" s="1340"/>
      <c r="Y24" s="355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58"/>
      <c r="Q25" s="1351">
        <f>B25</f>
        <v>111</v>
      </c>
      <c r="R25" s="1352" t="s">
        <v>65</v>
      </c>
      <c r="S25" s="1353">
        <f>F25</f>
        <v>100</v>
      </c>
      <c r="T25" s="1352" t="s">
        <v>65</v>
      </c>
      <c r="U25" s="1353">
        <f>H25</f>
        <v>100</v>
      </c>
      <c r="V25" s="1352" t="s">
        <v>65</v>
      </c>
      <c r="W25" s="1353">
        <f>J25</f>
        <v>100</v>
      </c>
      <c r="X25" s="1340"/>
      <c r="Y25" s="355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58"/>
      <c r="Q26" s="1351">
        <f t="shared" ref="Q26:Q40" si="11">B26</f>
        <v>111</v>
      </c>
      <c r="R26" s="1352" t="s">
        <v>65</v>
      </c>
      <c r="S26" s="1353">
        <f>F26</f>
        <v>100</v>
      </c>
      <c r="T26" s="1352" t="s">
        <v>65</v>
      </c>
      <c r="U26" s="1353">
        <f>H26</f>
        <v>100</v>
      </c>
      <c r="V26" s="1352" t="s">
        <v>65</v>
      </c>
      <c r="W26" s="1353">
        <f>J26</f>
        <v>100</v>
      </c>
      <c r="X26" s="1340"/>
      <c r="Y26" s="355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58"/>
      <c r="Q27" s="7">
        <f t="shared" si="11"/>
        <v>111</v>
      </c>
      <c r="R27" s="1342" t="s">
        <v>65</v>
      </c>
      <c r="S27" s="1343">
        <f>F27</f>
        <v>100</v>
      </c>
      <c r="T27" s="1342" t="s">
        <v>65</v>
      </c>
      <c r="U27" s="1343">
        <f>H27</f>
        <v>100</v>
      </c>
      <c r="V27" s="1342" t="s">
        <v>65</v>
      </c>
      <c r="W27" s="1343">
        <f>J27</f>
        <v>100</v>
      </c>
      <c r="X27" s="287"/>
      <c r="Y27" s="355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58"/>
      <c r="Q28" s="1351">
        <f t="shared" si="11"/>
        <v>111</v>
      </c>
      <c r="R28" s="1352" t="s">
        <v>65</v>
      </c>
      <c r="S28" s="1353">
        <f t="shared" ref="S28:S40" si="12">F28</f>
        <v>100</v>
      </c>
      <c r="T28" s="1352" t="s">
        <v>65</v>
      </c>
      <c r="U28" s="1353">
        <f t="shared" ref="U28:U40" si="13">H28</f>
        <v>100</v>
      </c>
      <c r="V28" s="1352" t="s">
        <v>65</v>
      </c>
      <c r="W28" s="1353">
        <f t="shared" ref="W28:W40" si="14">J28</f>
        <v>100</v>
      </c>
      <c r="X28" s="1340"/>
      <c r="Y28" s="355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13" t="s">
        <v>1131</v>
      </c>
      <c r="Q29" s="1351" t="str">
        <f t="shared" si="11"/>
        <v>建筑类型</v>
      </c>
      <c r="R29" s="1352" t="s">
        <v>65</v>
      </c>
      <c r="S29" s="1353">
        <f t="shared" si="12"/>
        <v>100</v>
      </c>
      <c r="T29" s="1352" t="s">
        <v>65</v>
      </c>
      <c r="U29" s="1353">
        <f t="shared" si="13"/>
        <v>100</v>
      </c>
      <c r="V29" s="1352" t="s">
        <v>65</v>
      </c>
      <c r="W29" s="1353">
        <f t="shared" si="14"/>
        <v>100</v>
      </c>
      <c r="X29" s="1340"/>
      <c r="Y29" s="3562"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62"/>
      <c r="Q30" s="1359" t="str">
        <f t="shared" si="11"/>
        <v>项目建筑规模</v>
      </c>
      <c r="R30" s="1360" t="s">
        <v>65</v>
      </c>
      <c r="S30" s="1361" t="e">
        <f t="shared" si="12"/>
        <v>#N/A</v>
      </c>
      <c r="T30" s="1360" t="s">
        <v>65</v>
      </c>
      <c r="U30" s="1361" t="e">
        <f t="shared" si="13"/>
        <v>#N/A</v>
      </c>
      <c r="V30" s="1360" t="s">
        <v>65</v>
      </c>
      <c r="W30" s="1361" t="e">
        <f t="shared" si="14"/>
        <v>#N/A</v>
      </c>
      <c r="X30" s="1362"/>
      <c r="Y30" s="356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62"/>
      <c r="Q31" s="1351" t="str">
        <f t="shared" si="11"/>
        <v>建筑结构</v>
      </c>
      <c r="R31" s="1352" t="s">
        <v>65</v>
      </c>
      <c r="S31" s="1353">
        <f t="shared" si="12"/>
        <v>100</v>
      </c>
      <c r="T31" s="1352" t="s">
        <v>65</v>
      </c>
      <c r="U31" s="1353">
        <f t="shared" si="13"/>
        <v>100</v>
      </c>
      <c r="V31" s="1352" t="s">
        <v>65</v>
      </c>
      <c r="W31" s="1353">
        <f t="shared" si="14"/>
        <v>100</v>
      </c>
      <c r="X31" s="1340"/>
      <c r="Y31" s="3562"/>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62"/>
      <c r="Q32" s="1351" t="str">
        <f t="shared" si="11"/>
        <v>公共部分装修</v>
      </c>
      <c r="R32" s="1352" t="s">
        <v>65</v>
      </c>
      <c r="S32" s="1353">
        <f t="shared" si="12"/>
        <v>100</v>
      </c>
      <c r="T32" s="1352" t="s">
        <v>65</v>
      </c>
      <c r="U32" s="1353">
        <f t="shared" si="13"/>
        <v>100</v>
      </c>
      <c r="V32" s="1352" t="s">
        <v>65</v>
      </c>
      <c r="W32" s="1353">
        <f t="shared" si="14"/>
        <v>100</v>
      </c>
      <c r="X32" s="1340"/>
      <c r="Y32" s="3562"/>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62"/>
      <c r="Q33" s="1351" t="str">
        <f t="shared" si="11"/>
        <v>成新度</v>
      </c>
      <c r="R33" s="1352" t="s">
        <v>65</v>
      </c>
      <c r="S33" s="1353" t="e">
        <f t="shared" si="12"/>
        <v>#N/A</v>
      </c>
      <c r="T33" s="1352" t="s">
        <v>65</v>
      </c>
      <c r="U33" s="1353" t="e">
        <f t="shared" si="13"/>
        <v>#N/A</v>
      </c>
      <c r="V33" s="1352" t="s">
        <v>65</v>
      </c>
      <c r="W33" s="1353" t="e">
        <f t="shared" si="14"/>
        <v>#N/A</v>
      </c>
      <c r="X33" s="1340"/>
      <c r="Y33" s="3562"/>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62"/>
      <c r="Q34" s="7" t="str">
        <f t="shared" si="11"/>
        <v>物业管理</v>
      </c>
      <c r="R34" s="1342" t="s">
        <v>65</v>
      </c>
      <c r="S34" s="1343">
        <f t="shared" si="12"/>
        <v>100</v>
      </c>
      <c r="T34" s="1342" t="s">
        <v>65</v>
      </c>
      <c r="U34" s="1343">
        <f t="shared" si="13"/>
        <v>100</v>
      </c>
      <c r="V34" s="1342" t="s">
        <v>65</v>
      </c>
      <c r="W34" s="1343">
        <f t="shared" si="14"/>
        <v>100</v>
      </c>
      <c r="X34" s="287"/>
      <c r="Y34" s="3562"/>
      <c r="Z34" s="288" t="str">
        <f t="shared" si="15"/>
        <v>物业管理</v>
      </c>
      <c r="AA34" s="1344">
        <f t="shared" si="3"/>
        <v>1</v>
      </c>
      <c r="AB34" s="1344">
        <f t="shared" si="4"/>
        <v>1</v>
      </c>
      <c r="AC34" s="1344">
        <f t="shared" si="5"/>
        <v>1</v>
      </c>
    </row>
    <row r="35" spans="1:29" ht="15">
      <c r="A35" s="161"/>
      <c r="B35" s="12" t="s">
        <v>2666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62" t="s">
        <v>70</v>
      </c>
      <c r="Q35" s="1351" t="str">
        <f t="shared" si="11"/>
        <v>市政基础设施</v>
      </c>
      <c r="R35" s="1352" t="s">
        <v>65</v>
      </c>
      <c r="S35" s="1353">
        <f t="shared" si="12"/>
        <v>100</v>
      </c>
      <c r="T35" s="1352" t="s">
        <v>65</v>
      </c>
      <c r="U35" s="1353">
        <f t="shared" si="13"/>
        <v>100</v>
      </c>
      <c r="V35" s="1352" t="s">
        <v>65</v>
      </c>
      <c r="W35" s="1353">
        <f t="shared" si="14"/>
        <v>100</v>
      </c>
      <c r="X35" s="1340"/>
      <c r="Y35" s="356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62"/>
      <c r="Q36" s="1351" t="str">
        <f t="shared" si="11"/>
        <v>内部装修</v>
      </c>
      <c r="R36" s="1352" t="s">
        <v>65</v>
      </c>
      <c r="S36" s="1353">
        <f t="shared" si="12"/>
        <v>100</v>
      </c>
      <c r="T36" s="1352" t="s">
        <v>65</v>
      </c>
      <c r="U36" s="1353">
        <f t="shared" si="13"/>
        <v>100</v>
      </c>
      <c r="V36" s="1352" t="s">
        <v>65</v>
      </c>
      <c r="W36" s="1353">
        <f t="shared" si="14"/>
        <v>100</v>
      </c>
      <c r="X36" s="1340"/>
      <c r="Y36" s="3562"/>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62"/>
      <c r="Q37" s="1351" t="str">
        <f t="shared" si="11"/>
        <v>内部装修状况</v>
      </c>
      <c r="R37" s="1352" t="s">
        <v>65</v>
      </c>
      <c r="S37" s="1353">
        <f t="shared" si="12"/>
        <v>100</v>
      </c>
      <c r="T37" s="1352" t="s">
        <v>65</v>
      </c>
      <c r="U37" s="1353">
        <f t="shared" si="13"/>
        <v>100</v>
      </c>
      <c r="V37" s="1352" t="s">
        <v>65</v>
      </c>
      <c r="W37" s="1353">
        <f t="shared" si="14"/>
        <v>100</v>
      </c>
      <c r="X37" s="1340"/>
      <c r="Y37" s="356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62"/>
      <c r="Q38" s="1359">
        <f t="shared" si="11"/>
        <v>111</v>
      </c>
      <c r="R38" s="1360" t="s">
        <v>65</v>
      </c>
      <c r="S38" s="1361">
        <f t="shared" si="12"/>
        <v>100</v>
      </c>
      <c r="T38" s="1360" t="s">
        <v>65</v>
      </c>
      <c r="U38" s="1361">
        <f t="shared" si="13"/>
        <v>100</v>
      </c>
      <c r="V38" s="1360" t="s">
        <v>65</v>
      </c>
      <c r="W38" s="1361">
        <f t="shared" si="14"/>
        <v>100</v>
      </c>
      <c r="X38" s="1362"/>
      <c r="Y38" s="356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62"/>
      <c r="Q39" s="1351">
        <f t="shared" si="11"/>
        <v>111</v>
      </c>
      <c r="R39" s="1352" t="s">
        <v>65</v>
      </c>
      <c r="S39" s="1353">
        <f t="shared" si="12"/>
        <v>100</v>
      </c>
      <c r="T39" s="1352" t="s">
        <v>65</v>
      </c>
      <c r="U39" s="1353">
        <f t="shared" si="13"/>
        <v>100</v>
      </c>
      <c r="V39" s="1352" t="s">
        <v>65</v>
      </c>
      <c r="W39" s="1353">
        <f t="shared" si="14"/>
        <v>100</v>
      </c>
      <c r="X39" s="1340"/>
      <c r="Y39" s="356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63"/>
      <c r="Q40" s="1351">
        <f t="shared" si="11"/>
        <v>111</v>
      </c>
      <c r="R40" s="1352" t="s">
        <v>65</v>
      </c>
      <c r="S40" s="1353">
        <f t="shared" si="12"/>
        <v>100</v>
      </c>
      <c r="T40" s="1352" t="s">
        <v>65</v>
      </c>
      <c r="U40" s="1353">
        <f t="shared" si="13"/>
        <v>100</v>
      </c>
      <c r="V40" s="1352" t="s">
        <v>65</v>
      </c>
      <c r="W40" s="1353">
        <f t="shared" si="14"/>
        <v>100</v>
      </c>
      <c r="X40" s="1340"/>
      <c r="Y40" s="3563"/>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55" t="str">
        <f>A41</f>
        <v>成交单价（元/平方米）</v>
      </c>
      <c r="Q41" s="3555"/>
      <c r="R41" s="3556">
        <f>E41</f>
        <v>0</v>
      </c>
      <c r="S41" s="3556"/>
      <c r="T41" s="3556">
        <f>G41</f>
        <v>0</v>
      </c>
      <c r="U41" s="3556"/>
      <c r="V41" s="3556">
        <f>I41</f>
        <v>0</v>
      </c>
      <c r="W41" s="3556"/>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55" t="str">
        <f>A42</f>
        <v>比较价值（元/平方米）</v>
      </c>
      <c r="Q42" s="3555"/>
      <c r="R42" s="3556" t="e">
        <f>IF(F1="售价",ROUND(PRODUCT(R41,AA7:AA40),0),ROUND(PRODUCT(R41,AA7:AA40),1))</f>
        <v>#DIV/0!</v>
      </c>
      <c r="S42" s="3556"/>
      <c r="T42" s="3556" t="e">
        <f>IF(F1="售价",ROUND(PRODUCT(T41,AB7:AB40),0),ROUND(PRODUCT(T41,AB7:AB40),1))</f>
        <v>#DIV/0!</v>
      </c>
      <c r="U42" s="3556"/>
      <c r="V42" s="3556" t="e">
        <f>IF(F1="售价",ROUND(PRODUCT(V41,AC7:AC40),0),ROUND(PRODUCT(V41,AC7:AC40),1))</f>
        <v>#DIV/0!</v>
      </c>
      <c r="W42" s="3556"/>
      <c r="X42" s="1365"/>
      <c r="Y42" s="1365"/>
      <c r="Z42" s="1365"/>
      <c r="AA42" s="1365"/>
      <c r="AB42" s="1365"/>
      <c r="AC42" s="1365"/>
    </row>
    <row r="43" spans="1:29" ht="15.75" thickBot="1">
      <c r="A43" s="115" t="s">
        <v>3029</v>
      </c>
      <c r="B43" s="116"/>
      <c r="C43" s="2848" t="e">
        <f>R43</f>
        <v>#DIV/0!</v>
      </c>
      <c r="D43" s="2848"/>
      <c r="E43" s="2848"/>
      <c r="F43" s="2848"/>
      <c r="G43" s="2848"/>
      <c r="H43" s="2848"/>
      <c r="I43" s="2848"/>
      <c r="J43" s="2848"/>
      <c r="K43" s="1395"/>
      <c r="L43" s="2305"/>
      <c r="M43" s="2306"/>
      <c r="N43" s="2306"/>
      <c r="O43" s="2306"/>
      <c r="P43" s="3552" t="str">
        <f>A43</f>
        <v>估价对象XX用房的比较价值（楼面单价，元/平方米）</v>
      </c>
      <c r="Q43" s="3553"/>
      <c r="R43" s="3554" t="e">
        <f>IF(F1="售价",ROUND(AVERAGE(R42:V42),0),ROUND(AVERAGE(R42:V42),1))</f>
        <v>#DIV/0!</v>
      </c>
      <c r="S43" s="3554"/>
      <c r="T43" s="3554"/>
      <c r="U43" s="3554"/>
      <c r="V43" s="3554"/>
      <c r="W43" s="3554"/>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2805</v>
      </c>
      <c r="B52" s="849"/>
      <c r="C52" s="3047" t="str">
        <f>YEAR(C7)&amp;"-"&amp;MONTH(C7)</f>
        <v>2017-7</v>
      </c>
      <c r="D52" s="3048">
        <f>EDATE(C52,-1)</f>
        <v>42887</v>
      </c>
      <c r="E52" s="3048">
        <f t="shared" ref="E52:O52" si="16">EDATE(D52,-1)</f>
        <v>42856</v>
      </c>
      <c r="F52" s="3048">
        <f t="shared" si="16"/>
        <v>42826</v>
      </c>
      <c r="G52" s="3048">
        <f t="shared" si="16"/>
        <v>42795</v>
      </c>
      <c r="H52" s="3048">
        <f t="shared" si="16"/>
        <v>42767</v>
      </c>
      <c r="I52" s="3048">
        <f t="shared" si="16"/>
        <v>42736</v>
      </c>
      <c r="J52" s="3048">
        <f t="shared" si="16"/>
        <v>42705</v>
      </c>
      <c r="K52" s="3048">
        <f t="shared" si="16"/>
        <v>42675</v>
      </c>
      <c r="L52" s="3048">
        <f t="shared" si="16"/>
        <v>42644</v>
      </c>
      <c r="M52" s="3048">
        <f t="shared" si="16"/>
        <v>42614</v>
      </c>
      <c r="N52" s="3048">
        <f t="shared" si="16"/>
        <v>42583</v>
      </c>
      <c r="O52" s="3048">
        <f t="shared" si="16"/>
        <v>42552</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2648</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2676</v>
      </c>
      <c r="C76" s="213" t="s">
        <v>2668</v>
      </c>
      <c r="D76" s="213" t="s">
        <v>2669</v>
      </c>
      <c r="E76" s="213" t="s">
        <v>2670</v>
      </c>
      <c r="F76" s="213" t="s">
        <v>2671</v>
      </c>
      <c r="G76" s="213" t="s">
        <v>2672</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37.5">
      <c r="A4" s="1949" t="str">
        <f>"受贵公司委托，我公司对"&amp;项目基本情况!S1&amp;"进行了预评估。"</f>
        <v>受贵公司委托，我公司对北京市延庆县永宁镇迎晖路22号院2号等6幢楼房地产抵押价值进行了预评估。</v>
      </c>
    </row>
    <row r="5" spans="1:1" ht="18.75">
      <c r="A5" s="1950" t="s">
        <v>2018</v>
      </c>
    </row>
    <row r="6" spans="1:1" ht="18.75">
      <c r="A6" s="3058" t="s">
        <v>2882</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永宁镇迎晖路22号院2号等6幢楼房地产，为金果园老农（北京）食品股份有限公司所有。根据《国有土地使用证》[]，估价对象（分摊）出让国有建设用地使用权面积为72086.12平方米。根据《房屋所有权证》[]、《测绘报告》[]，估价对象建筑面积为20377.83平方米。</v>
      </c>
    </row>
    <row r="8" spans="1:1" ht="56.25">
      <c r="A8" s="1993" t="s">
        <v>2875</v>
      </c>
    </row>
    <row r="9" spans="1:1" ht="18.75">
      <c r="A9" s="3058" t="s">
        <v>2883</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永宁镇迎晖路22号院2号等6幢楼房地产,为金果园老农（北京）食品股份有限公司开发建设的工业项目，该项目尚在开发建设中。根据《国有土地使用证》[]，估价对象（分摊）出让国有建设用地使用权面积为72086.12平方米。根据《房屋所有权证》[]、《测绘报告》[]，估价对象规划建筑面积为20377.83平方米。</v>
      </c>
    </row>
    <row r="11" spans="1:1" ht="75">
      <c r="A11" s="1993" t="s">
        <v>2917</v>
      </c>
    </row>
    <row r="12" spans="1:1" ht="18.75">
      <c r="A12" s="1950" t="s">
        <v>2019</v>
      </c>
    </row>
    <row r="13" spans="1:1" ht="38.25" customHeight="1">
      <c r="A13" s="1951" t="str">
        <f>IF(项目基本情况!B8="抵押",IF(项目基本情况!B5=项目基本情况!B6,定义!C51,定义!B51),定义!D51)</f>
        <v>拟使用北京市延庆县永宁镇迎晖路22号院2号等6幢楼房地产作为抵押担保物，向办理贷款手续。特委托北京康正宏基房地产评估有限公司对上述抵押物进行评估。本次评估为确定房地产抵押贷款额度提供参考依据而评估房地产抵押价值。</v>
      </c>
    </row>
    <row r="14" spans="1:1" ht="18.75">
      <c r="A14" s="1952" t="s">
        <v>2020</v>
      </c>
    </row>
    <row r="15" spans="1:1" ht="18.75">
      <c r="A15" s="1953" t="str">
        <f>TEXT(项目基本情况!D3,"yyyy年m月d日;;")&amp;IF(项目基本情况!D3=项目基本情况!B3,"（评估专业人员实地查勘之日）","")</f>
        <v>2017年7月10日（评估专业人员实地查勘之日）</v>
      </c>
    </row>
    <row r="16" spans="1:1" ht="18.75">
      <c r="A16" s="1952" t="s">
        <v>2022</v>
      </c>
    </row>
    <row r="17" spans="1:1" ht="75">
      <c r="A17" s="1949" t="s">
        <v>2876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10日，估价对象规划用途为工业，土地取得方式为出让，出让国有建设用地使用权剩余土地使用年限为45.03，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45.03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50"/>
      <c r="M4" s="2351"/>
      <c r="N4" s="2351"/>
      <c r="O4" s="2351"/>
      <c r="P4" s="3630" t="s">
        <v>456</v>
      </c>
      <c r="Q4" s="3631"/>
      <c r="R4" s="3636" t="s">
        <v>452</v>
      </c>
      <c r="S4" s="3637"/>
      <c r="T4" s="3636" t="s">
        <v>453</v>
      </c>
      <c r="U4" s="3637"/>
      <c r="V4" s="3642" t="s">
        <v>454</v>
      </c>
      <c r="W4" s="3642"/>
      <c r="X4" s="2835"/>
      <c r="Y4" s="3636" t="s">
        <v>456</v>
      </c>
      <c r="Z4" s="3637"/>
      <c r="AA4" s="3623" t="s">
        <v>452</v>
      </c>
      <c r="AB4" s="3624" t="s">
        <v>453</v>
      </c>
      <c r="AC4" s="3623" t="s">
        <v>454</v>
      </c>
    </row>
    <row r="5" spans="1:29" ht="15">
      <c r="A5" s="747"/>
      <c r="B5" s="748"/>
      <c r="C5" s="3645" t="s">
        <v>3030</v>
      </c>
      <c r="D5" s="3646"/>
      <c r="E5" s="3652" t="s">
        <v>3031</v>
      </c>
      <c r="F5" s="3653"/>
      <c r="G5" s="3645" t="s">
        <v>3032</v>
      </c>
      <c r="H5" s="3646"/>
      <c r="I5" s="3645" t="s">
        <v>3033</v>
      </c>
      <c r="J5" s="3646"/>
      <c r="K5" s="953"/>
      <c r="L5" s="2350"/>
      <c r="M5" s="2351"/>
      <c r="N5" s="2351"/>
      <c r="O5" s="2351"/>
      <c r="P5" s="3632"/>
      <c r="Q5" s="3633"/>
      <c r="R5" s="3638"/>
      <c r="S5" s="3639"/>
      <c r="T5" s="3638"/>
      <c r="U5" s="3639"/>
      <c r="V5" s="3642"/>
      <c r="W5" s="3642"/>
      <c r="X5" s="2835"/>
      <c r="Y5" s="3638"/>
      <c r="Z5" s="3639"/>
      <c r="AA5" s="3624"/>
      <c r="AB5" s="3624"/>
      <c r="AC5" s="3624"/>
    </row>
    <row r="6" spans="1:29" ht="15.75" thickBot="1">
      <c r="A6" s="749"/>
      <c r="B6" s="750"/>
      <c r="C6" s="3643" t="s">
        <v>3034</v>
      </c>
      <c r="D6" s="3644"/>
      <c r="E6" s="3650" t="s">
        <v>3034</v>
      </c>
      <c r="F6" s="3651"/>
      <c r="G6" s="3643" t="s">
        <v>3034</v>
      </c>
      <c r="H6" s="3644"/>
      <c r="I6" s="3643" t="s">
        <v>3034</v>
      </c>
      <c r="J6" s="3644"/>
      <c r="K6" s="953" t="s">
        <v>398</v>
      </c>
      <c r="L6" s="2350"/>
      <c r="M6" s="2351"/>
      <c r="N6" s="2351"/>
      <c r="O6" s="2351"/>
      <c r="P6" s="3634"/>
      <c r="Q6" s="3635"/>
      <c r="R6" s="3638"/>
      <c r="S6" s="3639"/>
      <c r="T6" s="3640"/>
      <c r="U6" s="3641"/>
      <c r="V6" s="3642"/>
      <c r="W6" s="3642"/>
      <c r="X6" s="2835"/>
      <c r="Y6" s="3640"/>
      <c r="Z6" s="3641"/>
      <c r="AA6" s="3625"/>
      <c r="AB6" s="3625"/>
      <c r="AC6" s="3625"/>
    </row>
    <row r="7" spans="1:29" s="407" customFormat="1" ht="15.75" thickBot="1">
      <c r="A7" s="751" t="s">
        <v>399</v>
      </c>
      <c r="B7" s="752"/>
      <c r="C7" s="753">
        <f>'数据-取费表'!B2</f>
        <v>42926</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14" t="s">
        <v>403</v>
      </c>
      <c r="Q9" s="2834" t="str">
        <f t="shared" ref="Q9:Q14" si="6">B9</f>
        <v>用途</v>
      </c>
      <c r="R9" s="1319" t="s">
        <v>65</v>
      </c>
      <c r="S9" s="1320">
        <f t="shared" si="0"/>
        <v>100</v>
      </c>
      <c r="T9" s="1319" t="s">
        <v>65</v>
      </c>
      <c r="U9" s="1320">
        <f t="shared" si="1"/>
        <v>100</v>
      </c>
      <c r="V9" s="1319" t="s">
        <v>65</v>
      </c>
      <c r="W9" s="1320">
        <f t="shared" si="2"/>
        <v>100</v>
      </c>
      <c r="X9" s="1321"/>
      <c r="Y9" s="3424"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14"/>
      <c r="Q10" s="2834" t="str">
        <f t="shared" si="6"/>
        <v>土地使用年限（年）</v>
      </c>
      <c r="R10" s="1319" t="s">
        <v>65</v>
      </c>
      <c r="S10" s="1320">
        <f t="shared" si="0"/>
        <v>100</v>
      </c>
      <c r="T10" s="1319" t="s">
        <v>65</v>
      </c>
      <c r="U10" s="1320">
        <f t="shared" si="1"/>
        <v>100</v>
      </c>
      <c r="V10" s="1319" t="s">
        <v>65</v>
      </c>
      <c r="W10" s="1320">
        <f t="shared" si="2"/>
        <v>100</v>
      </c>
      <c r="X10" s="1321"/>
      <c r="Y10" s="342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14"/>
      <c r="Q11" s="2834">
        <f t="shared" si="6"/>
        <v>111</v>
      </c>
      <c r="R11" s="1319" t="s">
        <v>65</v>
      </c>
      <c r="S11" s="1320">
        <f t="shared" si="0"/>
        <v>100</v>
      </c>
      <c r="T11" s="1319" t="s">
        <v>65</v>
      </c>
      <c r="U11" s="1320">
        <f t="shared" si="1"/>
        <v>100</v>
      </c>
      <c r="V11" s="1319" t="s">
        <v>65</v>
      </c>
      <c r="W11" s="1320">
        <f t="shared" si="2"/>
        <v>100</v>
      </c>
      <c r="X11" s="1321"/>
      <c r="Y11" s="342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14"/>
      <c r="Q12" s="2834">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14"/>
      <c r="Q13" s="2834">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81">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19" t="s">
        <v>408</v>
      </c>
      <c r="Q14" s="2836" t="str">
        <f t="shared" si="6"/>
        <v>交通便捷度</v>
      </c>
      <c r="R14" s="1324" t="s">
        <v>65</v>
      </c>
      <c r="S14" s="1325">
        <f t="shared" si="0"/>
        <v>100</v>
      </c>
      <c r="T14" s="1324" t="s">
        <v>65</v>
      </c>
      <c r="U14" s="1325">
        <f t="shared" si="1"/>
        <v>100</v>
      </c>
      <c r="V14" s="1324" t="s">
        <v>65</v>
      </c>
      <c r="W14" s="1325">
        <f t="shared" si="2"/>
        <v>100</v>
      </c>
      <c r="X14" s="2835"/>
      <c r="Y14" s="3619"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20"/>
      <c r="Q15" s="2836"/>
      <c r="R15" s="1324"/>
      <c r="S15" s="1325"/>
      <c r="T15" s="1324"/>
      <c r="U15" s="1325"/>
      <c r="V15" s="1324"/>
      <c r="W15" s="1325"/>
      <c r="X15" s="2835"/>
      <c r="Y15" s="3620"/>
      <c r="Z15" s="2837"/>
      <c r="AA15" s="1327">
        <v>1</v>
      </c>
      <c r="AB15" s="1327">
        <v>1</v>
      </c>
      <c r="AC15" s="1327">
        <v>1</v>
      </c>
    </row>
    <row r="16" spans="1:29" ht="40.5">
      <c r="A16" s="747"/>
      <c r="B16" s="1034" t="s">
        <v>2677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20"/>
      <c r="Q16" s="2836" t="str">
        <f>B16</f>
        <v>公共配套设施</v>
      </c>
      <c r="R16" s="1324" t="s">
        <v>65</v>
      </c>
      <c r="S16" s="1325">
        <f>F16</f>
        <v>100</v>
      </c>
      <c r="T16" s="1324" t="s">
        <v>65</v>
      </c>
      <c r="U16" s="1325">
        <f>H16</f>
        <v>100</v>
      </c>
      <c r="V16" s="1324" t="s">
        <v>65</v>
      </c>
      <c r="W16" s="1325">
        <f>J16</f>
        <v>100</v>
      </c>
      <c r="X16" s="2835"/>
      <c r="Y16" s="3620"/>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20"/>
      <c r="Q17" s="2836"/>
      <c r="R17" s="1324"/>
      <c r="S17" s="1325"/>
      <c r="T17" s="1324"/>
      <c r="U17" s="1325"/>
      <c r="V17" s="1324"/>
      <c r="W17" s="1325"/>
      <c r="X17" s="2835"/>
      <c r="Y17" s="3620"/>
      <c r="Z17" s="2837"/>
      <c r="AA17" s="1327">
        <v>1</v>
      </c>
      <c r="AB17" s="1327">
        <v>1</v>
      </c>
      <c r="AC17" s="1327">
        <v>1</v>
      </c>
    </row>
    <row r="18" spans="1:29" ht="27">
      <c r="A18" s="747"/>
      <c r="B18" s="1036" t="s">
        <v>2676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20"/>
      <c r="Q18" s="2836" t="str">
        <f>B18</f>
        <v>基础设施水平</v>
      </c>
      <c r="R18" s="1324" t="s">
        <v>65</v>
      </c>
      <c r="S18" s="1325">
        <f>F18</f>
        <v>100</v>
      </c>
      <c r="T18" s="1324" t="s">
        <v>65</v>
      </c>
      <c r="U18" s="1325">
        <f>H18</f>
        <v>100</v>
      </c>
      <c r="V18" s="1324" t="s">
        <v>65</v>
      </c>
      <c r="W18" s="1325">
        <f>J18</f>
        <v>100</v>
      </c>
      <c r="X18" s="2835"/>
      <c r="Y18" s="3620"/>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20"/>
      <c r="Q19" s="2836"/>
      <c r="R19" s="1324"/>
      <c r="S19" s="1325"/>
      <c r="T19" s="1324"/>
      <c r="U19" s="1325"/>
      <c r="V19" s="1324"/>
      <c r="W19" s="1325"/>
      <c r="X19" s="2835"/>
      <c r="Y19" s="3620"/>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20"/>
      <c r="Q20" s="2836" t="str">
        <f>B20</f>
        <v>自然及人文环境</v>
      </c>
      <c r="R20" s="1324" t="s">
        <v>65</v>
      </c>
      <c r="S20" s="1325">
        <f>F20</f>
        <v>100</v>
      </c>
      <c r="T20" s="1324" t="s">
        <v>65</v>
      </c>
      <c r="U20" s="1325">
        <f>H20</f>
        <v>100</v>
      </c>
      <c r="V20" s="1324" t="s">
        <v>65</v>
      </c>
      <c r="W20" s="1325">
        <f>J20</f>
        <v>100</v>
      </c>
      <c r="X20" s="2835"/>
      <c r="Y20" s="3620"/>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20"/>
      <c r="Q21" s="2836"/>
      <c r="R21" s="1324"/>
      <c r="S21" s="1325"/>
      <c r="T21" s="1324"/>
      <c r="U21" s="1325"/>
      <c r="V21" s="1324"/>
      <c r="W21" s="1325"/>
      <c r="X21" s="2835"/>
      <c r="Y21" s="3620"/>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20"/>
      <c r="Q22" s="2836" t="str">
        <f>B22</f>
        <v>楼层</v>
      </c>
      <c r="R22" s="1324" t="s">
        <v>65</v>
      </c>
      <c r="S22" s="1325">
        <f>F22</f>
        <v>100</v>
      </c>
      <c r="T22" s="1324" t="s">
        <v>65</v>
      </c>
      <c r="U22" s="1325">
        <f>H22</f>
        <v>100</v>
      </c>
      <c r="V22" s="1324" t="s">
        <v>65</v>
      </c>
      <c r="W22" s="1325">
        <f>J22</f>
        <v>100</v>
      </c>
      <c r="X22" s="2835"/>
      <c r="Y22" s="3620"/>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20"/>
      <c r="Q23" s="2836">
        <f>B23</f>
        <v>111</v>
      </c>
      <c r="R23" s="1324" t="s">
        <v>65</v>
      </c>
      <c r="S23" s="1325">
        <f>F23</f>
        <v>100</v>
      </c>
      <c r="T23" s="1324" t="s">
        <v>65</v>
      </c>
      <c r="U23" s="1325">
        <f>H23</f>
        <v>100</v>
      </c>
      <c r="V23" s="1324" t="s">
        <v>65</v>
      </c>
      <c r="W23" s="1325">
        <f>J23</f>
        <v>100</v>
      </c>
      <c r="X23" s="2835"/>
      <c r="Y23" s="3620"/>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20"/>
      <c r="Q24" s="2836">
        <f t="shared" ref="Q24:Q36" si="11">B24</f>
        <v>111</v>
      </c>
      <c r="R24" s="1324" t="s">
        <v>65</v>
      </c>
      <c r="S24" s="1325">
        <f>F24</f>
        <v>100</v>
      </c>
      <c r="T24" s="1324" t="s">
        <v>65</v>
      </c>
      <c r="U24" s="1325">
        <f>H24</f>
        <v>100</v>
      </c>
      <c r="V24" s="1324" t="s">
        <v>65</v>
      </c>
      <c r="W24" s="1325">
        <f>J24</f>
        <v>100</v>
      </c>
      <c r="X24" s="2835"/>
      <c r="Y24" s="3620"/>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20"/>
      <c r="Q25" s="2834">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21"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22"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22"/>
      <c r="Q27" s="1328" t="str">
        <f t="shared" si="11"/>
        <v>项目停车位配比</v>
      </c>
      <c r="R27" s="1329" t="s">
        <v>65</v>
      </c>
      <c r="S27" s="1330">
        <f t="shared" si="12"/>
        <v>100</v>
      </c>
      <c r="T27" s="1329" t="s">
        <v>65</v>
      </c>
      <c r="U27" s="1330">
        <f t="shared" si="13"/>
        <v>100</v>
      </c>
      <c r="V27" s="1329" t="s">
        <v>65</v>
      </c>
      <c r="W27" s="1330">
        <f t="shared" si="14"/>
        <v>100</v>
      </c>
      <c r="X27" s="1331"/>
      <c r="Y27" s="3622"/>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22"/>
      <c r="Q28" s="2836" t="str">
        <f t="shared" si="11"/>
        <v>公共部分装修</v>
      </c>
      <c r="R28" s="1324" t="s">
        <v>65</v>
      </c>
      <c r="S28" s="1325">
        <f t="shared" si="12"/>
        <v>100</v>
      </c>
      <c r="T28" s="1324" t="s">
        <v>65</v>
      </c>
      <c r="U28" s="1325">
        <f t="shared" si="13"/>
        <v>100</v>
      </c>
      <c r="V28" s="1324" t="s">
        <v>65</v>
      </c>
      <c r="W28" s="1325">
        <f t="shared" si="14"/>
        <v>100</v>
      </c>
      <c r="X28" s="2835"/>
      <c r="Y28" s="3622"/>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22"/>
      <c r="Q29" s="2836" t="str">
        <f t="shared" si="11"/>
        <v>成新率</v>
      </c>
      <c r="R29" s="1324" t="s">
        <v>65</v>
      </c>
      <c r="S29" s="1325" t="e">
        <f t="shared" si="12"/>
        <v>#N/A</v>
      </c>
      <c r="T29" s="1324" t="s">
        <v>65</v>
      </c>
      <c r="U29" s="1325" t="e">
        <f t="shared" si="13"/>
        <v>#N/A</v>
      </c>
      <c r="V29" s="1324" t="s">
        <v>65</v>
      </c>
      <c r="W29" s="1325" t="e">
        <f t="shared" si="14"/>
        <v>#N/A</v>
      </c>
      <c r="X29" s="2835"/>
      <c r="Y29" s="3622"/>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22"/>
      <c r="Q30" s="2836" t="str">
        <f t="shared" si="11"/>
        <v>物业等级</v>
      </c>
      <c r="R30" s="1324" t="s">
        <v>65</v>
      </c>
      <c r="S30" s="1325">
        <f t="shared" si="12"/>
        <v>100</v>
      </c>
      <c r="T30" s="1324" t="s">
        <v>65</v>
      </c>
      <c r="U30" s="1325">
        <f t="shared" si="13"/>
        <v>100</v>
      </c>
      <c r="V30" s="1324" t="s">
        <v>65</v>
      </c>
      <c r="W30" s="1325">
        <f t="shared" si="14"/>
        <v>100</v>
      </c>
      <c r="X30" s="2835"/>
      <c r="Y30" s="3622"/>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22"/>
      <c r="Q31" s="2834" t="str">
        <f t="shared" si="11"/>
        <v>停车位面积</v>
      </c>
      <c r="R31" s="1319" t="s">
        <v>65</v>
      </c>
      <c r="S31" s="1320" t="e">
        <f t="shared" si="12"/>
        <v>#N/A</v>
      </c>
      <c r="T31" s="1319" t="s">
        <v>65</v>
      </c>
      <c r="U31" s="1320" t="e">
        <f t="shared" si="13"/>
        <v>#N/A</v>
      </c>
      <c r="V31" s="1319" t="s">
        <v>65</v>
      </c>
      <c r="W31" s="1320" t="e">
        <f t="shared" si="14"/>
        <v>#N/A</v>
      </c>
      <c r="X31" s="1321"/>
      <c r="Y31" s="3622"/>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22" t="s">
        <v>410</v>
      </c>
      <c r="Q32" s="2836" t="str">
        <f t="shared" si="11"/>
        <v>车位类型</v>
      </c>
      <c r="R32" s="1324" t="s">
        <v>65</v>
      </c>
      <c r="S32" s="1325">
        <f t="shared" si="12"/>
        <v>100</v>
      </c>
      <c r="T32" s="1324" t="s">
        <v>65</v>
      </c>
      <c r="U32" s="1325">
        <f t="shared" si="13"/>
        <v>100</v>
      </c>
      <c r="V32" s="1324" t="s">
        <v>65</v>
      </c>
      <c r="W32" s="1325">
        <f t="shared" si="14"/>
        <v>100</v>
      </c>
      <c r="X32" s="2835"/>
      <c r="Y32" s="3622"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22"/>
      <c r="Q33" s="2836" t="str">
        <f t="shared" si="11"/>
        <v>是否直接入户</v>
      </c>
      <c r="R33" s="1324" t="s">
        <v>65</v>
      </c>
      <c r="S33" s="1325">
        <f t="shared" si="12"/>
        <v>100</v>
      </c>
      <c r="T33" s="1324" t="s">
        <v>65</v>
      </c>
      <c r="U33" s="1325">
        <f t="shared" si="13"/>
        <v>100</v>
      </c>
      <c r="V33" s="1324" t="s">
        <v>65</v>
      </c>
      <c r="W33" s="1325">
        <f t="shared" si="14"/>
        <v>100</v>
      </c>
      <c r="X33" s="2835"/>
      <c r="Y33" s="3622"/>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22"/>
      <c r="Q34" s="2836">
        <f t="shared" si="11"/>
        <v>111</v>
      </c>
      <c r="R34" s="1324" t="s">
        <v>65</v>
      </c>
      <c r="S34" s="1325">
        <f t="shared" si="12"/>
        <v>100</v>
      </c>
      <c r="T34" s="1324" t="s">
        <v>65</v>
      </c>
      <c r="U34" s="1325">
        <f t="shared" si="13"/>
        <v>100</v>
      </c>
      <c r="V34" s="1324" t="s">
        <v>65</v>
      </c>
      <c r="W34" s="1325">
        <f t="shared" si="14"/>
        <v>100</v>
      </c>
      <c r="X34" s="2835"/>
      <c r="Y34" s="3622"/>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22"/>
      <c r="Q35" s="1328">
        <f t="shared" si="11"/>
        <v>111</v>
      </c>
      <c r="R35" s="1329" t="s">
        <v>65</v>
      </c>
      <c r="S35" s="1330">
        <f t="shared" si="12"/>
        <v>100</v>
      </c>
      <c r="T35" s="1329" t="s">
        <v>65</v>
      </c>
      <c r="U35" s="1330">
        <f t="shared" si="13"/>
        <v>100</v>
      </c>
      <c r="V35" s="1329" t="s">
        <v>65</v>
      </c>
      <c r="W35" s="1330">
        <f t="shared" si="14"/>
        <v>100</v>
      </c>
      <c r="X35" s="1331"/>
      <c r="Y35" s="362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22"/>
      <c r="Q36" s="2836">
        <f t="shared" si="11"/>
        <v>111</v>
      </c>
      <c r="R36" s="1324" t="s">
        <v>65</v>
      </c>
      <c r="S36" s="1325">
        <f t="shared" si="12"/>
        <v>100</v>
      </c>
      <c r="T36" s="1324" t="s">
        <v>65</v>
      </c>
      <c r="U36" s="1325">
        <f t="shared" si="13"/>
        <v>100</v>
      </c>
      <c r="V36" s="1324" t="s">
        <v>65</v>
      </c>
      <c r="W36" s="1325">
        <f t="shared" si="14"/>
        <v>100</v>
      </c>
      <c r="X36" s="2835"/>
      <c r="Y36" s="3622"/>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614" t="str">
        <f>A37</f>
        <v>成交单价</v>
      </c>
      <c r="Q37" s="3614"/>
      <c r="R37" s="3615">
        <f>E37</f>
        <v>0</v>
      </c>
      <c r="S37" s="3615"/>
      <c r="T37" s="3615">
        <f>G37</f>
        <v>0</v>
      </c>
      <c r="U37" s="3615"/>
      <c r="V37" s="3615">
        <f>I37</f>
        <v>0</v>
      </c>
      <c r="W37" s="3615"/>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14" t="str">
        <f>A38</f>
        <v>比较价值（元/平方米）</v>
      </c>
      <c r="Q38" s="3614"/>
      <c r="R38" s="3615" t="e">
        <f>IF(F1="售价",ROUND(PRODUCT(R37,AA7:AA36),0),ROUND(PRODUCT(R37,AA7:AA36),1))</f>
        <v>#DIV/0!</v>
      </c>
      <c r="S38" s="3615"/>
      <c r="T38" s="3615" t="e">
        <f>IF(F1="售价",ROUND(PRODUCT(T37,AB7:AB36),0),ROUND(PRODUCT(T37,AB7:AB36),1))</f>
        <v>#DIV/0!</v>
      </c>
      <c r="U38" s="3615"/>
      <c r="V38" s="3615" t="e">
        <f>IF(F1="售价",ROUND(PRODUCT(V37,AC7:AC36),0),ROUND(PRODUCT(V37,AC7:AC36),1))</f>
        <v>#DIV/0!</v>
      </c>
      <c r="W38" s="3615"/>
      <c r="X38" s="1307"/>
      <c r="Y38" s="1307"/>
      <c r="Z38" s="1307"/>
      <c r="AA38" s="1307"/>
      <c r="AB38" s="1307"/>
      <c r="AC38" s="1307"/>
    </row>
    <row r="39" spans="1:29" ht="15.75" thickBot="1">
      <c r="A39" s="835" t="s">
        <v>3035</v>
      </c>
      <c r="B39" s="836"/>
      <c r="C39" s="2848" t="e">
        <f>R39</f>
        <v>#DIV/0!</v>
      </c>
      <c r="D39" s="2848"/>
      <c r="E39" s="2848"/>
      <c r="F39" s="2848"/>
      <c r="G39" s="2848"/>
      <c r="H39" s="2848"/>
      <c r="I39" s="2848"/>
      <c r="J39" s="2848"/>
      <c r="K39" s="964"/>
      <c r="L39" s="2363"/>
      <c r="M39" s="2364"/>
      <c r="N39" s="2364"/>
      <c r="O39" s="2364"/>
      <c r="P39" s="3616" t="str">
        <f>A39</f>
        <v>估价对象XX用房的比较价值（楼面单价，元/平方米）</v>
      </c>
      <c r="Q39" s="3617"/>
      <c r="R39" s="3618" t="e">
        <f>IF(F1="售价",ROUND(AVERAGE(R38:V38),0),ROUND(AVERAGE(R38:V38),1))</f>
        <v>#DIV/0!</v>
      </c>
      <c r="S39" s="3618"/>
      <c r="T39" s="3618"/>
      <c r="U39" s="3618"/>
      <c r="V39" s="3618"/>
      <c r="W39" s="3618"/>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2805</v>
      </c>
      <c r="B48" s="849"/>
      <c r="C48" s="3047" t="str">
        <f>YEAR(C7)&amp;"-"&amp;MONTH(C7)</f>
        <v>2017-7</v>
      </c>
      <c r="D48" s="3048">
        <f>EDATE(C48,-1)</f>
        <v>42887</v>
      </c>
      <c r="E48" s="3048">
        <f t="shared" ref="E48:O48" si="16">EDATE(D48,-1)</f>
        <v>42856</v>
      </c>
      <c r="F48" s="3048">
        <f t="shared" si="16"/>
        <v>42826</v>
      </c>
      <c r="G48" s="3048">
        <f t="shared" si="16"/>
        <v>42795</v>
      </c>
      <c r="H48" s="3048">
        <f t="shared" si="16"/>
        <v>42767</v>
      </c>
      <c r="I48" s="3048">
        <f t="shared" si="16"/>
        <v>42736</v>
      </c>
      <c r="J48" s="3048">
        <f t="shared" si="16"/>
        <v>42705</v>
      </c>
      <c r="K48" s="3048">
        <f t="shared" si="16"/>
        <v>42675</v>
      </c>
      <c r="L48" s="3048">
        <f t="shared" si="16"/>
        <v>42644</v>
      </c>
      <c r="M48" s="3048">
        <f t="shared" si="16"/>
        <v>42614</v>
      </c>
      <c r="N48" s="3048">
        <f t="shared" si="16"/>
        <v>42583</v>
      </c>
      <c r="O48" s="3048">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2648</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2678</v>
      </c>
      <c r="C67" s="213" t="s">
        <v>2668</v>
      </c>
      <c r="D67" s="213" t="s">
        <v>2669</v>
      </c>
      <c r="E67" s="213" t="s">
        <v>2670</v>
      </c>
      <c r="F67" s="213" t="s">
        <v>2671</v>
      </c>
      <c r="G67" s="213" t="s">
        <v>2672</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50"/>
      <c r="M4" s="2351"/>
      <c r="N4" s="2351"/>
      <c r="O4" s="2351"/>
      <c r="P4" s="3630" t="s">
        <v>456</v>
      </c>
      <c r="Q4" s="3631"/>
      <c r="R4" s="3636" t="s">
        <v>452</v>
      </c>
      <c r="S4" s="3637"/>
      <c r="T4" s="3636" t="s">
        <v>453</v>
      </c>
      <c r="U4" s="3637"/>
      <c r="V4" s="3642" t="s">
        <v>454</v>
      </c>
      <c r="W4" s="3642"/>
      <c r="X4" s="1318"/>
      <c r="Y4" s="3636" t="s">
        <v>456</v>
      </c>
      <c r="Z4" s="3637"/>
      <c r="AA4" s="3623" t="s">
        <v>452</v>
      </c>
      <c r="AB4" s="3624" t="s">
        <v>453</v>
      </c>
      <c r="AC4" s="3623" t="s">
        <v>454</v>
      </c>
    </row>
    <row r="5" spans="1:29" ht="15">
      <c r="A5" s="747"/>
      <c r="B5" s="748"/>
      <c r="C5" s="3589" t="s">
        <v>1134</v>
      </c>
      <c r="D5" s="3590"/>
      <c r="E5" s="3596" t="s">
        <v>1135</v>
      </c>
      <c r="F5" s="3597"/>
      <c r="G5" s="3589" t="s">
        <v>61</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29" ht="15.75" thickBot="1">
      <c r="A6" s="749"/>
      <c r="B6" s="750"/>
      <c r="C6" s="3587" t="s">
        <v>1137</v>
      </c>
      <c r="D6" s="3588"/>
      <c r="E6" s="3594" t="s">
        <v>1137</v>
      </c>
      <c r="F6" s="3595"/>
      <c r="G6" s="3587" t="s">
        <v>1137</v>
      </c>
      <c r="H6" s="3588"/>
      <c r="I6" s="3587" t="s">
        <v>1137</v>
      </c>
      <c r="J6" s="3588"/>
      <c r="K6" s="953" t="s">
        <v>398</v>
      </c>
      <c r="L6" s="2350"/>
      <c r="M6" s="2351"/>
      <c r="N6" s="2351"/>
      <c r="O6" s="2351"/>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42926</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14" t="s">
        <v>403</v>
      </c>
      <c r="Q9" s="296" t="str">
        <f t="shared" ref="Q9:Q14" si="6">B9</f>
        <v>用途</v>
      </c>
      <c r="R9" s="1319" t="s">
        <v>65</v>
      </c>
      <c r="S9" s="1320">
        <f t="shared" si="0"/>
        <v>100</v>
      </c>
      <c r="T9" s="1319" t="s">
        <v>65</v>
      </c>
      <c r="U9" s="1320">
        <f t="shared" si="1"/>
        <v>100</v>
      </c>
      <c r="V9" s="1319" t="s">
        <v>65</v>
      </c>
      <c r="W9" s="1320">
        <f t="shared" si="2"/>
        <v>100</v>
      </c>
      <c r="X9" s="1321"/>
      <c r="Y9" s="3424"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14"/>
      <c r="Q10" s="296" t="str">
        <f t="shared" si="6"/>
        <v>土地使用年限（年）</v>
      </c>
      <c r="R10" s="1319" t="s">
        <v>65</v>
      </c>
      <c r="S10" s="1320">
        <f t="shared" si="0"/>
        <v>100</v>
      </c>
      <c r="T10" s="1319" t="s">
        <v>65</v>
      </c>
      <c r="U10" s="1320">
        <f t="shared" si="1"/>
        <v>100</v>
      </c>
      <c r="V10" s="1319" t="s">
        <v>65</v>
      </c>
      <c r="W10" s="1320">
        <f t="shared" si="2"/>
        <v>100</v>
      </c>
      <c r="X10" s="1321"/>
      <c r="Y10" s="342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14"/>
      <c r="Q11" s="296">
        <f t="shared" si="6"/>
        <v>111</v>
      </c>
      <c r="R11" s="1319" t="s">
        <v>65</v>
      </c>
      <c r="S11" s="1320">
        <f t="shared" si="0"/>
        <v>100</v>
      </c>
      <c r="T11" s="1319" t="s">
        <v>65</v>
      </c>
      <c r="U11" s="1320">
        <f t="shared" si="1"/>
        <v>100</v>
      </c>
      <c r="V11" s="1319" t="s">
        <v>65</v>
      </c>
      <c r="W11" s="1320">
        <f t="shared" si="2"/>
        <v>100</v>
      </c>
      <c r="X11" s="1321"/>
      <c r="Y11" s="342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14"/>
      <c r="Q12" s="296">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81">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19" t="s">
        <v>408</v>
      </c>
      <c r="Q14" s="1323" t="str">
        <f t="shared" si="6"/>
        <v>交通便捷度</v>
      </c>
      <c r="R14" s="1324" t="s">
        <v>65</v>
      </c>
      <c r="S14" s="1325">
        <f t="shared" si="0"/>
        <v>100</v>
      </c>
      <c r="T14" s="1324" t="s">
        <v>65</v>
      </c>
      <c r="U14" s="1325">
        <f t="shared" si="1"/>
        <v>100</v>
      </c>
      <c r="V14" s="1324" t="s">
        <v>65</v>
      </c>
      <c r="W14" s="1325">
        <f t="shared" si="2"/>
        <v>100</v>
      </c>
      <c r="X14" s="1318"/>
      <c r="Y14" s="3619"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20"/>
      <c r="Q15" s="1323"/>
      <c r="R15" s="1324"/>
      <c r="S15" s="1325"/>
      <c r="T15" s="1324"/>
      <c r="U15" s="1325"/>
      <c r="V15" s="1324"/>
      <c r="W15" s="1325"/>
      <c r="X15" s="1318"/>
      <c r="Y15" s="3620"/>
      <c r="Z15" s="1326"/>
      <c r="AA15" s="1327">
        <v>1</v>
      </c>
      <c r="AB15" s="1327">
        <v>1</v>
      </c>
      <c r="AC15" s="1327">
        <v>1</v>
      </c>
    </row>
    <row r="16" spans="1:29" ht="40.5">
      <c r="A16" s="771"/>
      <c r="B16" s="1356" t="s">
        <v>2677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20"/>
      <c r="Q16" s="1323" t="str">
        <f>B16</f>
        <v>公共配套设施</v>
      </c>
      <c r="R16" s="1324" t="s">
        <v>65</v>
      </c>
      <c r="S16" s="1325">
        <f>F16</f>
        <v>100</v>
      </c>
      <c r="T16" s="1324" t="s">
        <v>65</v>
      </c>
      <c r="U16" s="1325">
        <f>H16</f>
        <v>100</v>
      </c>
      <c r="V16" s="1324" t="s">
        <v>65</v>
      </c>
      <c r="W16" s="1325">
        <f>J16</f>
        <v>100</v>
      </c>
      <c r="X16" s="1318"/>
      <c r="Y16" s="362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20"/>
      <c r="Q17" s="1323"/>
      <c r="R17" s="1324"/>
      <c r="S17" s="1325"/>
      <c r="T17" s="1324"/>
      <c r="U17" s="1325"/>
      <c r="V17" s="1324"/>
      <c r="W17" s="1325"/>
      <c r="X17" s="1318"/>
      <c r="Y17" s="3620"/>
      <c r="Z17" s="1326"/>
      <c r="AA17" s="1327">
        <v>1</v>
      </c>
      <c r="AB17" s="1327">
        <v>1</v>
      </c>
      <c r="AC17" s="1327">
        <v>1</v>
      </c>
    </row>
    <row r="18" spans="1:29" ht="27">
      <c r="A18" s="771"/>
      <c r="B18" s="1412" t="s">
        <v>2679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20"/>
      <c r="Q18" s="2751" t="str">
        <f>B18</f>
        <v>基础设施水平</v>
      </c>
      <c r="R18" s="1324" t="s">
        <v>65</v>
      </c>
      <c r="S18" s="1325">
        <f>F18</f>
        <v>100</v>
      </c>
      <c r="T18" s="1324" t="s">
        <v>65</v>
      </c>
      <c r="U18" s="1325">
        <f>H18</f>
        <v>100</v>
      </c>
      <c r="V18" s="1324" t="s">
        <v>65</v>
      </c>
      <c r="W18" s="1325">
        <f>J18</f>
        <v>100</v>
      </c>
      <c r="X18" s="2753"/>
      <c r="Y18" s="3620"/>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20"/>
      <c r="Q19" s="2751"/>
      <c r="R19" s="1324"/>
      <c r="S19" s="1325"/>
      <c r="T19" s="1324"/>
      <c r="U19" s="1325"/>
      <c r="V19" s="1324"/>
      <c r="W19" s="1325"/>
      <c r="X19" s="2753"/>
      <c r="Y19" s="3620"/>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20"/>
      <c r="Q20" s="1323" t="str">
        <f>B20</f>
        <v>自然及人文环境</v>
      </c>
      <c r="R20" s="1324" t="s">
        <v>65</v>
      </c>
      <c r="S20" s="1325">
        <f>F20</f>
        <v>100</v>
      </c>
      <c r="T20" s="1324" t="s">
        <v>65</v>
      </c>
      <c r="U20" s="1325">
        <f>H20</f>
        <v>100</v>
      </c>
      <c r="V20" s="1324" t="s">
        <v>65</v>
      </c>
      <c r="W20" s="1325">
        <f>J20</f>
        <v>100</v>
      </c>
      <c r="X20" s="1318"/>
      <c r="Y20" s="362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20"/>
      <c r="Q21" s="1323"/>
      <c r="R21" s="1324"/>
      <c r="S21" s="1325"/>
      <c r="T21" s="1324"/>
      <c r="U21" s="1325"/>
      <c r="V21" s="1324"/>
      <c r="W21" s="1325"/>
      <c r="X21" s="1318"/>
      <c r="Y21" s="3620"/>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20"/>
      <c r="Q22" s="1323" t="str">
        <f>B22</f>
        <v>楼层</v>
      </c>
      <c r="R22" s="1324" t="s">
        <v>65</v>
      </c>
      <c r="S22" s="1325">
        <f>F22</f>
        <v>100</v>
      </c>
      <c r="T22" s="1324" t="s">
        <v>65</v>
      </c>
      <c r="U22" s="1325">
        <f>H22</f>
        <v>100</v>
      </c>
      <c r="V22" s="1324" t="s">
        <v>65</v>
      </c>
      <c r="W22" s="1325">
        <f>J22</f>
        <v>100</v>
      </c>
      <c r="X22" s="1318"/>
      <c r="Y22" s="362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20"/>
      <c r="Q23" s="1323">
        <f>B23</f>
        <v>111</v>
      </c>
      <c r="R23" s="1324" t="s">
        <v>65</v>
      </c>
      <c r="S23" s="1325">
        <f>F23</f>
        <v>100</v>
      </c>
      <c r="T23" s="1324" t="s">
        <v>65</v>
      </c>
      <c r="U23" s="1325">
        <f>H23</f>
        <v>100</v>
      </c>
      <c r="V23" s="1324" t="s">
        <v>65</v>
      </c>
      <c r="W23" s="1325">
        <f>J23</f>
        <v>100</v>
      </c>
      <c r="X23" s="1318"/>
      <c r="Y23" s="362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20"/>
      <c r="Q24" s="1323">
        <f t="shared" ref="Q24:Q34" si="11">B24</f>
        <v>111</v>
      </c>
      <c r="R24" s="1324" t="s">
        <v>65</v>
      </c>
      <c r="S24" s="1325">
        <f>F24</f>
        <v>100</v>
      </c>
      <c r="T24" s="1324" t="s">
        <v>65</v>
      </c>
      <c r="U24" s="1325">
        <f>H24</f>
        <v>100</v>
      </c>
      <c r="V24" s="1324" t="s">
        <v>65</v>
      </c>
      <c r="W24" s="1325">
        <f>J24</f>
        <v>100</v>
      </c>
      <c r="X24" s="1318"/>
      <c r="Y24" s="362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20"/>
      <c r="Q25" s="296">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21"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22"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22"/>
      <c r="Q27" s="1328" t="str">
        <f t="shared" si="11"/>
        <v>成新率</v>
      </c>
      <c r="R27" s="1329" t="s">
        <v>65</v>
      </c>
      <c r="S27" s="1330" t="e">
        <f t="shared" si="12"/>
        <v>#N/A</v>
      </c>
      <c r="T27" s="1329" t="s">
        <v>65</v>
      </c>
      <c r="U27" s="1330" t="e">
        <f t="shared" si="13"/>
        <v>#N/A</v>
      </c>
      <c r="V27" s="1329" t="s">
        <v>65</v>
      </c>
      <c r="W27" s="1330" t="e">
        <f t="shared" si="14"/>
        <v>#N/A</v>
      </c>
      <c r="X27" s="1331"/>
      <c r="Y27" s="3622"/>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22"/>
      <c r="Q28" s="1323" t="str">
        <f t="shared" si="11"/>
        <v>物业等级</v>
      </c>
      <c r="R28" s="1324" t="s">
        <v>65</v>
      </c>
      <c r="S28" s="1325">
        <f t="shared" si="12"/>
        <v>100</v>
      </c>
      <c r="T28" s="1324" t="s">
        <v>65</v>
      </c>
      <c r="U28" s="1325">
        <f t="shared" si="13"/>
        <v>100</v>
      </c>
      <c r="V28" s="1324" t="s">
        <v>65</v>
      </c>
      <c r="W28" s="1325">
        <f t="shared" si="14"/>
        <v>100</v>
      </c>
      <c r="X28" s="1318"/>
      <c r="Y28" s="3622"/>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22"/>
      <c r="Q29" s="1323" t="str">
        <f t="shared" si="11"/>
        <v>有无电梯</v>
      </c>
      <c r="R29" s="1324" t="s">
        <v>65</v>
      </c>
      <c r="S29" s="1325">
        <f t="shared" si="12"/>
        <v>100</v>
      </c>
      <c r="T29" s="1324" t="s">
        <v>65</v>
      </c>
      <c r="U29" s="1325">
        <f t="shared" si="13"/>
        <v>100</v>
      </c>
      <c r="V29" s="1324" t="s">
        <v>65</v>
      </c>
      <c r="W29" s="1325">
        <f t="shared" si="14"/>
        <v>100</v>
      </c>
      <c r="X29" s="1318"/>
      <c r="Y29" s="3622"/>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22"/>
      <c r="Q30" s="1323" t="str">
        <f t="shared" si="11"/>
        <v>建筑面积</v>
      </c>
      <c r="R30" s="1324" t="s">
        <v>65</v>
      </c>
      <c r="S30" s="1325" t="e">
        <f t="shared" si="12"/>
        <v>#N/A</v>
      </c>
      <c r="T30" s="1324" t="s">
        <v>65</v>
      </c>
      <c r="U30" s="1325" t="e">
        <f t="shared" si="13"/>
        <v>#N/A</v>
      </c>
      <c r="V30" s="1324" t="s">
        <v>65</v>
      </c>
      <c r="W30" s="1325" t="e">
        <f t="shared" si="14"/>
        <v>#N/A</v>
      </c>
      <c r="X30" s="1318"/>
      <c r="Y30" s="3622"/>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22"/>
      <c r="Q31" s="296" t="str">
        <f t="shared" si="11"/>
        <v>是否封闭</v>
      </c>
      <c r="R31" s="1319" t="s">
        <v>65</v>
      </c>
      <c r="S31" s="1320">
        <f t="shared" si="12"/>
        <v>100</v>
      </c>
      <c r="T31" s="1319" t="s">
        <v>65</v>
      </c>
      <c r="U31" s="1320">
        <f t="shared" si="13"/>
        <v>100</v>
      </c>
      <c r="V31" s="1319" t="s">
        <v>65</v>
      </c>
      <c r="W31" s="1320">
        <f t="shared" si="14"/>
        <v>100</v>
      </c>
      <c r="X31" s="1321"/>
      <c r="Y31" s="362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22" t="s">
        <v>410</v>
      </c>
      <c r="Q32" s="1323">
        <f t="shared" si="11"/>
        <v>111</v>
      </c>
      <c r="R32" s="1324" t="s">
        <v>65</v>
      </c>
      <c r="S32" s="1325">
        <f t="shared" si="12"/>
        <v>100</v>
      </c>
      <c r="T32" s="1324" t="s">
        <v>65</v>
      </c>
      <c r="U32" s="1325">
        <f t="shared" si="13"/>
        <v>100</v>
      </c>
      <c r="V32" s="1324" t="s">
        <v>65</v>
      </c>
      <c r="W32" s="1325">
        <f t="shared" si="14"/>
        <v>100</v>
      </c>
      <c r="X32" s="1318"/>
      <c r="Y32" s="3622"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22"/>
      <c r="Q33" s="1323">
        <f t="shared" si="11"/>
        <v>111</v>
      </c>
      <c r="R33" s="1324" t="s">
        <v>65</v>
      </c>
      <c r="S33" s="1325">
        <f t="shared" si="12"/>
        <v>100</v>
      </c>
      <c r="T33" s="1324" t="s">
        <v>65</v>
      </c>
      <c r="U33" s="1325">
        <f t="shared" si="13"/>
        <v>100</v>
      </c>
      <c r="V33" s="1324" t="s">
        <v>65</v>
      </c>
      <c r="W33" s="1325">
        <f t="shared" si="14"/>
        <v>100</v>
      </c>
      <c r="X33" s="1318"/>
      <c r="Y33" s="362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22"/>
      <c r="Q34" s="1323">
        <f t="shared" si="11"/>
        <v>111</v>
      </c>
      <c r="R34" s="1324" t="s">
        <v>65</v>
      </c>
      <c r="S34" s="1325">
        <f t="shared" si="12"/>
        <v>100</v>
      </c>
      <c r="T34" s="1324" t="s">
        <v>65</v>
      </c>
      <c r="U34" s="1325">
        <f t="shared" si="13"/>
        <v>100</v>
      </c>
      <c r="V34" s="1324" t="s">
        <v>65</v>
      </c>
      <c r="W34" s="1325">
        <f t="shared" si="14"/>
        <v>100</v>
      </c>
      <c r="X34" s="1318"/>
      <c r="Y34" s="3622"/>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14" t="str">
        <f>A35</f>
        <v>成交单价（元/平方米）</v>
      </c>
      <c r="Q35" s="3614"/>
      <c r="R35" s="3615">
        <f>E35</f>
        <v>0</v>
      </c>
      <c r="S35" s="3615"/>
      <c r="T35" s="3615">
        <f>G35</f>
        <v>0</v>
      </c>
      <c r="U35" s="3615"/>
      <c r="V35" s="3615">
        <f>I35</f>
        <v>0</v>
      </c>
      <c r="W35" s="3615"/>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307"/>
      <c r="Y36" s="1307"/>
      <c r="Z36" s="1307"/>
      <c r="AA36" s="1307"/>
      <c r="AB36" s="1307"/>
      <c r="AC36" s="1307"/>
    </row>
    <row r="37" spans="1:29" ht="15.75" thickBot="1">
      <c r="A37" s="115" t="s">
        <v>3029</v>
      </c>
      <c r="B37" s="836"/>
      <c r="C37" s="2848" t="e">
        <f>R37</f>
        <v>#DIV/0!</v>
      </c>
      <c r="D37" s="2848"/>
      <c r="E37" s="2848"/>
      <c r="F37" s="2848"/>
      <c r="G37" s="2848"/>
      <c r="H37" s="2848"/>
      <c r="I37" s="2848"/>
      <c r="J37" s="2848"/>
      <c r="K37" s="1402"/>
      <c r="L37" s="2363"/>
      <c r="M37" s="2364"/>
      <c r="N37" s="2364"/>
      <c r="O37" s="2364"/>
      <c r="P37" s="3616" t="str">
        <f>A37</f>
        <v>估价对象XX用房的比较价值（楼面单价，元/平方米）</v>
      </c>
      <c r="Q37" s="3617"/>
      <c r="R37" s="3618" t="e">
        <f>IF(F1="售价",ROUND(AVERAGE(R36:V36),0),ROUND(AVERAGE(R36:V36),1))</f>
        <v>#DIV/0!</v>
      </c>
      <c r="S37" s="3618"/>
      <c r="T37" s="3618"/>
      <c r="U37" s="3618"/>
      <c r="V37" s="3618"/>
      <c r="W37" s="3618"/>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2017-7</v>
      </c>
      <c r="D46" s="3048">
        <f>EDATE(C46,-1)</f>
        <v>42887</v>
      </c>
      <c r="E46" s="3048">
        <f t="shared" ref="E46:O46" si="16">EDATE(D46,-1)</f>
        <v>42856</v>
      </c>
      <c r="F46" s="3048">
        <f t="shared" si="16"/>
        <v>42826</v>
      </c>
      <c r="G46" s="3048">
        <f t="shared" si="16"/>
        <v>42795</v>
      </c>
      <c r="H46" s="3048">
        <f t="shared" si="16"/>
        <v>42767</v>
      </c>
      <c r="I46" s="3048">
        <f t="shared" si="16"/>
        <v>42736</v>
      </c>
      <c r="J46" s="3048">
        <f t="shared" si="16"/>
        <v>42705</v>
      </c>
      <c r="K46" s="3048">
        <f t="shared" si="16"/>
        <v>42675</v>
      </c>
      <c r="L46" s="3048">
        <f t="shared" si="16"/>
        <v>42644</v>
      </c>
      <c r="M46" s="3048">
        <f t="shared" si="16"/>
        <v>42614</v>
      </c>
      <c r="N46" s="3048">
        <f t="shared" si="16"/>
        <v>42583</v>
      </c>
      <c r="O46" s="3048">
        <f t="shared" si="16"/>
        <v>42552</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2678</v>
      </c>
      <c r="C65" s="213" t="s">
        <v>2668</v>
      </c>
      <c r="D65" s="213" t="s">
        <v>2669</v>
      </c>
      <c r="E65" s="213" t="s">
        <v>2670</v>
      </c>
      <c r="F65" s="213" t="s">
        <v>2671</v>
      </c>
      <c r="G65" s="213" t="s">
        <v>2672</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2899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26" t="s">
        <v>392</v>
      </c>
      <c r="D4" s="3627"/>
      <c r="E4" s="3628" t="s">
        <v>393</v>
      </c>
      <c r="F4" s="3629"/>
      <c r="G4" s="3626" t="s">
        <v>394</v>
      </c>
      <c r="H4" s="3627"/>
      <c r="I4" s="3626" t="s">
        <v>395</v>
      </c>
      <c r="J4" s="3627"/>
      <c r="K4" s="953" t="s">
        <v>396</v>
      </c>
      <c r="L4" s="2350"/>
      <c r="M4" s="2351"/>
      <c r="N4" s="2351"/>
      <c r="O4" s="2351"/>
      <c r="P4" s="3630" t="s">
        <v>397</v>
      </c>
      <c r="Q4" s="3631"/>
      <c r="R4" s="3636" t="s">
        <v>393</v>
      </c>
      <c r="S4" s="3637"/>
      <c r="T4" s="3636" t="s">
        <v>394</v>
      </c>
      <c r="U4" s="3637"/>
      <c r="V4" s="3642" t="s">
        <v>395</v>
      </c>
      <c r="W4" s="3642"/>
      <c r="X4" s="1318"/>
      <c r="Y4" s="3636" t="s">
        <v>397</v>
      </c>
      <c r="Z4" s="3637"/>
      <c r="AA4" s="3623" t="s">
        <v>393</v>
      </c>
      <c r="AB4" s="3624" t="s">
        <v>394</v>
      </c>
      <c r="AC4" s="3623" t="s">
        <v>395</v>
      </c>
    </row>
    <row r="5" spans="1:30" ht="15">
      <c r="A5" s="747"/>
      <c r="B5" s="748"/>
      <c r="C5" s="3589" t="s">
        <v>1134</v>
      </c>
      <c r="D5" s="3590"/>
      <c r="E5" s="3596" t="s">
        <v>1135</v>
      </c>
      <c r="F5" s="3597"/>
      <c r="G5" s="3589" t="s">
        <v>1138</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30" ht="15.75" thickBot="1">
      <c r="A6" s="749"/>
      <c r="B6" s="750"/>
      <c r="C6" s="3587" t="s">
        <v>1137</v>
      </c>
      <c r="D6" s="3588"/>
      <c r="E6" s="3594" t="s">
        <v>1137</v>
      </c>
      <c r="F6" s="3595"/>
      <c r="G6" s="3587" t="s">
        <v>1137</v>
      </c>
      <c r="H6" s="3588"/>
      <c r="I6" s="3587" t="s">
        <v>1137</v>
      </c>
      <c r="J6" s="3588"/>
      <c r="K6" s="953" t="s">
        <v>398</v>
      </c>
      <c r="L6" s="2350"/>
      <c r="M6" s="2351"/>
      <c r="N6" s="2351"/>
      <c r="O6" s="2351"/>
      <c r="P6" s="3634"/>
      <c r="Q6" s="3635"/>
      <c r="R6" s="3638"/>
      <c r="S6" s="3639"/>
      <c r="T6" s="3640"/>
      <c r="U6" s="3641"/>
      <c r="V6" s="3642"/>
      <c r="W6" s="3642"/>
      <c r="X6" s="1318"/>
      <c r="Y6" s="3640"/>
      <c r="Z6" s="3641"/>
      <c r="AA6" s="3625"/>
      <c r="AB6" s="3625"/>
      <c r="AC6" s="3625"/>
    </row>
    <row r="7" spans="1:30" s="407" customFormat="1" ht="15.75" thickBot="1">
      <c r="A7" s="751" t="s">
        <v>399</v>
      </c>
      <c r="B7" s="752"/>
      <c r="C7" s="753">
        <f>'数据-取费表'!B2</f>
        <v>42926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14" t="s">
        <v>403</v>
      </c>
      <c r="Q9" s="296" t="str">
        <f t="shared" ref="Q9:Q15" si="6">B9</f>
        <v>用途</v>
      </c>
      <c r="R9" s="1319" t="s">
        <v>65</v>
      </c>
      <c r="S9" s="1320">
        <f t="shared" si="0"/>
        <v>100</v>
      </c>
      <c r="T9" s="1319" t="s">
        <v>65</v>
      </c>
      <c r="U9" s="1320">
        <f t="shared" si="1"/>
        <v>100</v>
      </c>
      <c r="V9" s="1319" t="s">
        <v>65</v>
      </c>
      <c r="W9" s="1320">
        <f t="shared" si="2"/>
        <v>100</v>
      </c>
      <c r="X9" s="1321"/>
      <c r="Y9" s="3424"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103</v>
      </c>
      <c r="G10" s="806"/>
      <c r="H10" s="426">
        <f>ROUND(100/'数据-取费表'!G16,0)</f>
        <v>103</v>
      </c>
      <c r="I10" s="806"/>
      <c r="J10" s="426">
        <f>ROUND(100/'数据-取费表'!G16,0)</f>
        <v>103</v>
      </c>
      <c r="K10" s="1081"/>
      <c r="L10" s="2355"/>
      <c r="M10" s="2356"/>
      <c r="N10" s="2356"/>
      <c r="O10" s="2357"/>
      <c r="P10" s="3614"/>
      <c r="Q10" s="296" t="str">
        <f t="shared" si="6"/>
        <v>土地使用年限（年）</v>
      </c>
      <c r="R10" s="1319" t="s">
        <v>65</v>
      </c>
      <c r="S10" s="1320">
        <f t="shared" si="0"/>
        <v>103</v>
      </c>
      <c r="T10" s="1319" t="s">
        <v>65</v>
      </c>
      <c r="U10" s="1320">
        <f t="shared" si="1"/>
        <v>103</v>
      </c>
      <c r="V10" s="1319" t="s">
        <v>65</v>
      </c>
      <c r="W10" s="1320">
        <f t="shared" si="2"/>
        <v>103</v>
      </c>
      <c r="X10" s="1321"/>
      <c r="Y10" s="3424"/>
      <c r="Z10" s="344" t="str">
        <f t="shared" si="7"/>
        <v>土地使用年限（年）</v>
      </c>
      <c r="AA10" s="1322">
        <f t="shared" si="3"/>
        <v>0.970873786407767</v>
      </c>
      <c r="AB10" s="1322">
        <f t="shared" si="4"/>
        <v>0.970873786407767</v>
      </c>
      <c r="AC10" s="1322">
        <f t="shared" si="5"/>
        <v>0.970873786407767</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14"/>
      <c r="Q11" s="296" t="str">
        <f t="shared" si="6"/>
        <v>容积率</v>
      </c>
      <c r="R11" s="1319" t="s">
        <v>65</v>
      </c>
      <c r="S11" s="1320" t="e">
        <f t="shared" si="0"/>
        <v>#N/A</v>
      </c>
      <c r="T11" s="1319" t="s">
        <v>65</v>
      </c>
      <c r="U11" s="1320" t="e">
        <f t="shared" si="1"/>
        <v>#N/A</v>
      </c>
      <c r="V11" s="1319" t="s">
        <v>65</v>
      </c>
      <c r="W11" s="1320" t="e">
        <f t="shared" si="2"/>
        <v>#N/A</v>
      </c>
      <c r="X11" s="1321"/>
      <c r="Y11" s="342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14"/>
      <c r="Q12" s="296" t="str">
        <f t="shared" si="6"/>
        <v>配建</v>
      </c>
      <c r="R12" s="1319" t="s">
        <v>65</v>
      </c>
      <c r="S12" s="1320">
        <f t="shared" si="0"/>
        <v>100</v>
      </c>
      <c r="T12" s="1319" t="s">
        <v>65</v>
      </c>
      <c r="U12" s="1320">
        <f t="shared" si="1"/>
        <v>100</v>
      </c>
      <c r="V12" s="1319" t="s">
        <v>65</v>
      </c>
      <c r="W12" s="1320">
        <f t="shared" si="2"/>
        <v>100</v>
      </c>
      <c r="X12" s="1321"/>
      <c r="Y12" s="342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14"/>
      <c r="Q14" s="296">
        <f t="shared" si="6"/>
        <v>111</v>
      </c>
      <c r="R14" s="1319" t="s">
        <v>65</v>
      </c>
      <c r="S14" s="1320">
        <f t="shared" si="0"/>
        <v>100</v>
      </c>
      <c r="T14" s="1319" t="s">
        <v>65</v>
      </c>
      <c r="U14" s="1320">
        <f t="shared" si="1"/>
        <v>100</v>
      </c>
      <c r="V14" s="1319" t="s">
        <v>65</v>
      </c>
      <c r="W14" s="1320">
        <f t="shared" si="2"/>
        <v>100</v>
      </c>
      <c r="X14" s="1321"/>
      <c r="Y14" s="3424"/>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19" t="s">
        <v>408</v>
      </c>
      <c r="Q15" s="1323" t="str">
        <f t="shared" si="6"/>
        <v>居住社区成熟度</v>
      </c>
      <c r="R15" s="1324" t="s">
        <v>65</v>
      </c>
      <c r="S15" s="1325">
        <f t="shared" si="0"/>
        <v>100</v>
      </c>
      <c r="T15" s="1324" t="s">
        <v>65</v>
      </c>
      <c r="U15" s="1325">
        <f t="shared" si="1"/>
        <v>100</v>
      </c>
      <c r="V15" s="1324" t="s">
        <v>65</v>
      </c>
      <c r="W15" s="1325">
        <f t="shared" si="2"/>
        <v>100</v>
      </c>
      <c r="X15" s="1318"/>
      <c r="Y15" s="3619"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20"/>
      <c r="Q16" s="1323"/>
      <c r="R16" s="1324"/>
      <c r="S16" s="1325"/>
      <c r="T16" s="1324"/>
      <c r="U16" s="1325"/>
      <c r="V16" s="1324"/>
      <c r="W16" s="1325"/>
      <c r="X16" s="1318"/>
      <c r="Y16" s="3620"/>
      <c r="Z16" s="1326"/>
      <c r="AA16" s="1327">
        <v>1</v>
      </c>
      <c r="AB16" s="1327">
        <v>1</v>
      </c>
      <c r="AC16" s="1327">
        <v>1</v>
      </c>
    </row>
    <row r="17" spans="1:29" ht="67.5">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20"/>
      <c r="Q17" s="1323" t="str">
        <f>B17</f>
        <v>商业繁华度</v>
      </c>
      <c r="R17" s="1324" t="s">
        <v>65</v>
      </c>
      <c r="S17" s="1325">
        <f>F17</f>
        <v>100</v>
      </c>
      <c r="T17" s="1324" t="s">
        <v>65</v>
      </c>
      <c r="U17" s="1325">
        <f>H17</f>
        <v>100</v>
      </c>
      <c r="V17" s="1324" t="s">
        <v>65</v>
      </c>
      <c r="W17" s="1325">
        <f>J17</f>
        <v>100</v>
      </c>
      <c r="X17" s="1318"/>
      <c r="Y17" s="362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20"/>
      <c r="Q18" s="1323"/>
      <c r="R18" s="1324"/>
      <c r="S18" s="1325"/>
      <c r="T18" s="1324"/>
      <c r="U18" s="1325"/>
      <c r="V18" s="1324"/>
      <c r="W18" s="1325"/>
      <c r="X18" s="1318"/>
      <c r="Y18" s="3620"/>
      <c r="Z18" s="1326"/>
      <c r="AA18" s="1327">
        <v>1</v>
      </c>
      <c r="AB18" s="1327">
        <v>1</v>
      </c>
      <c r="AC18" s="1327">
        <v>1</v>
      </c>
    </row>
    <row r="19" spans="1:29" ht="67.5">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20"/>
      <c r="Q19" s="1323" t="str">
        <f>B19</f>
        <v>办公集聚程度</v>
      </c>
      <c r="R19" s="1324" t="s">
        <v>65</v>
      </c>
      <c r="S19" s="1325">
        <f>F19</f>
        <v>100</v>
      </c>
      <c r="T19" s="1324" t="s">
        <v>65</v>
      </c>
      <c r="U19" s="1325">
        <f>H19</f>
        <v>100</v>
      </c>
      <c r="V19" s="1324" t="s">
        <v>65</v>
      </c>
      <c r="W19" s="1325">
        <f>J19</f>
        <v>100</v>
      </c>
      <c r="X19" s="1318"/>
      <c r="Y19" s="362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20"/>
      <c r="Q20" s="1323"/>
      <c r="R20" s="1324"/>
      <c r="S20" s="1325"/>
      <c r="T20" s="1324"/>
      <c r="U20" s="1325"/>
      <c r="V20" s="1324"/>
      <c r="W20" s="1325"/>
      <c r="X20" s="1318"/>
      <c r="Y20" s="3620"/>
      <c r="Z20" s="1326"/>
      <c r="AA20" s="1327">
        <v>1</v>
      </c>
      <c r="AB20" s="1327">
        <v>1</v>
      </c>
      <c r="AC20" s="1327">
        <v>1</v>
      </c>
    </row>
    <row r="21" spans="1:29" ht="81">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20"/>
      <c r="Q21" s="1323" t="str">
        <f>B21</f>
        <v>交通便捷度</v>
      </c>
      <c r="R21" s="1324" t="s">
        <v>65</v>
      </c>
      <c r="S21" s="1325">
        <f>F21</f>
        <v>100</v>
      </c>
      <c r="T21" s="1324" t="s">
        <v>65</v>
      </c>
      <c r="U21" s="1325">
        <f>H21</f>
        <v>100</v>
      </c>
      <c r="V21" s="1324" t="s">
        <v>65</v>
      </c>
      <c r="W21" s="1325">
        <f>J21</f>
        <v>100</v>
      </c>
      <c r="X21" s="1318"/>
      <c r="Y21" s="3620"/>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20"/>
      <c r="Q22" s="1323"/>
      <c r="R22" s="1324"/>
      <c r="S22" s="1325"/>
      <c r="T22" s="1324"/>
      <c r="U22" s="1325"/>
      <c r="V22" s="1324"/>
      <c r="W22" s="1325"/>
      <c r="X22" s="1318"/>
      <c r="Y22" s="3620"/>
      <c r="Z22" s="1326"/>
      <c r="AA22" s="1327">
        <v>1</v>
      </c>
      <c r="AB22" s="1327">
        <v>1</v>
      </c>
      <c r="AC22" s="1327">
        <v>1</v>
      </c>
    </row>
    <row r="23" spans="1:29" ht="15">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20"/>
      <c r="Q23" s="1323" t="str">
        <f t="shared" ref="Q23:Q37" si="8">B23</f>
        <v>区域土地利用方向</v>
      </c>
      <c r="R23" s="1324" t="s">
        <v>65</v>
      </c>
      <c r="S23" s="1325">
        <f>F23</f>
        <v>100</v>
      </c>
      <c r="T23" s="1324" t="s">
        <v>65</v>
      </c>
      <c r="U23" s="1325">
        <f>H23</f>
        <v>100</v>
      </c>
      <c r="V23" s="1324" t="s">
        <v>65</v>
      </c>
      <c r="W23" s="1325">
        <f>J23</f>
        <v>100</v>
      </c>
      <c r="X23" s="1318"/>
      <c r="Y23" s="362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20"/>
      <c r="Q24" s="1470"/>
      <c r="R24" s="1324"/>
      <c r="S24" s="1325"/>
      <c r="T24" s="1324"/>
      <c r="U24" s="1325"/>
      <c r="V24" s="1324"/>
      <c r="W24" s="1325"/>
      <c r="X24" s="1469"/>
      <c r="Y24" s="3620"/>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20"/>
      <c r="Q25" s="1323" t="str">
        <f t="shared" si="8"/>
        <v>自然及人文环境状况</v>
      </c>
      <c r="R25" s="1324" t="s">
        <v>65</v>
      </c>
      <c r="S25" s="1325">
        <f>F25</f>
        <v>100</v>
      </c>
      <c r="T25" s="1324" t="s">
        <v>65</v>
      </c>
      <c r="U25" s="1325">
        <f>H25</f>
        <v>100</v>
      </c>
      <c r="V25" s="1324" t="s">
        <v>65</v>
      </c>
      <c r="W25" s="1325">
        <f>J25</f>
        <v>100</v>
      </c>
      <c r="X25" s="1318"/>
      <c r="Y25" s="362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20"/>
      <c r="Q26" s="1323"/>
      <c r="R26" s="1324"/>
      <c r="S26" s="1325"/>
      <c r="T26" s="1324"/>
      <c r="U26" s="1325"/>
      <c r="V26" s="1324"/>
      <c r="W26" s="1325"/>
      <c r="X26" s="1318"/>
      <c r="Y26" s="3620"/>
      <c r="Z26" s="1326"/>
      <c r="AA26" s="1327">
        <v>1</v>
      </c>
      <c r="AB26" s="1327">
        <v>1</v>
      </c>
      <c r="AC26" s="1327">
        <v>1</v>
      </c>
    </row>
    <row r="27" spans="1:29" s="407" customFormat="1" ht="40.5">
      <c r="A27" s="992"/>
      <c r="B27" s="1412" t="s">
        <v>2680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20"/>
      <c r="Q27" s="296" t="str">
        <f t="shared" si="8"/>
        <v>公共配套设施</v>
      </c>
      <c r="R27" s="1319" t="s">
        <v>65</v>
      </c>
      <c r="S27" s="1320">
        <f>F27</f>
        <v>100</v>
      </c>
      <c r="T27" s="1319" t="s">
        <v>65</v>
      </c>
      <c r="U27" s="1320">
        <f>H27</f>
        <v>100</v>
      </c>
      <c r="V27" s="1319" t="s">
        <v>65</v>
      </c>
      <c r="W27" s="1320">
        <f>J27</f>
        <v>100</v>
      </c>
      <c r="X27" s="1321"/>
      <c r="Y27" s="3620"/>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20"/>
      <c r="Q28" s="296"/>
      <c r="R28" s="1319"/>
      <c r="S28" s="1320"/>
      <c r="T28" s="1319"/>
      <c r="U28" s="1320"/>
      <c r="V28" s="1319"/>
      <c r="W28" s="1320"/>
      <c r="X28" s="1321"/>
      <c r="Y28" s="3620"/>
      <c r="Z28" s="344"/>
      <c r="AA28" s="1327">
        <v>1</v>
      </c>
      <c r="AB28" s="1327">
        <v>1</v>
      </c>
      <c r="AC28" s="1327">
        <v>1</v>
      </c>
    </row>
    <row r="29" spans="1:29" s="407" customFormat="1" ht="27">
      <c r="A29" s="992"/>
      <c r="B29" s="1412" t="s">
        <v>2681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20"/>
      <c r="Q29" s="2746" t="str">
        <f t="shared" ref="Q29" si="9">B29</f>
        <v>基础设施水平</v>
      </c>
      <c r="R29" s="1319" t="s">
        <v>65</v>
      </c>
      <c r="S29" s="1320">
        <f>F29</f>
        <v>100</v>
      </c>
      <c r="T29" s="1319" t="s">
        <v>65</v>
      </c>
      <c r="U29" s="1320">
        <f>H29</f>
        <v>100</v>
      </c>
      <c r="V29" s="1319" t="s">
        <v>65</v>
      </c>
      <c r="W29" s="1320">
        <f>J29</f>
        <v>100</v>
      </c>
      <c r="X29" s="1321"/>
      <c r="Y29" s="3620"/>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20"/>
      <c r="Q30" s="2746"/>
      <c r="R30" s="1319"/>
      <c r="S30" s="1320"/>
      <c r="T30" s="1319"/>
      <c r="U30" s="1320"/>
      <c r="V30" s="1319"/>
      <c r="W30" s="1320"/>
      <c r="X30" s="1321"/>
      <c r="Y30" s="3620"/>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2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20"/>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20"/>
      <c r="Q32" s="1323" t="str">
        <f t="shared" si="8"/>
        <v>毗邻道路的类型与等级</v>
      </c>
      <c r="R32" s="1324" t="s">
        <v>65</v>
      </c>
      <c r="S32" s="1325">
        <f t="shared" si="10"/>
        <v>100</v>
      </c>
      <c r="T32" s="1324" t="s">
        <v>65</v>
      </c>
      <c r="U32" s="1325">
        <f t="shared" si="11"/>
        <v>100</v>
      </c>
      <c r="V32" s="1324" t="s">
        <v>65</v>
      </c>
      <c r="W32" s="1325">
        <f t="shared" si="12"/>
        <v>100</v>
      </c>
      <c r="X32" s="1318"/>
      <c r="Y32" s="362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20"/>
      <c r="Q33" s="1323"/>
      <c r="R33" s="1324"/>
      <c r="S33" s="1325"/>
      <c r="T33" s="1324"/>
      <c r="U33" s="1325"/>
      <c r="V33" s="1324"/>
      <c r="W33" s="1325"/>
      <c r="X33" s="1318"/>
      <c r="Y33" s="3620"/>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20"/>
      <c r="Q34" s="1323" t="str">
        <f t="shared" si="8"/>
        <v>土地级别</v>
      </c>
      <c r="R34" s="1324" t="s">
        <v>65</v>
      </c>
      <c r="S34" s="1325">
        <f t="shared" si="10"/>
        <v>100</v>
      </c>
      <c r="T34" s="1324" t="s">
        <v>65</v>
      </c>
      <c r="U34" s="1325">
        <f t="shared" si="11"/>
        <v>100</v>
      </c>
      <c r="V34" s="1324" t="s">
        <v>65</v>
      </c>
      <c r="W34" s="1325">
        <f t="shared" si="12"/>
        <v>100</v>
      </c>
      <c r="X34" s="1318"/>
      <c r="Y34" s="3620"/>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20"/>
      <c r="Q35" s="1323">
        <f t="shared" si="8"/>
        <v>111</v>
      </c>
      <c r="R35" s="1324" t="s">
        <v>65</v>
      </c>
      <c r="S35" s="1325">
        <f t="shared" si="10"/>
        <v>100</v>
      </c>
      <c r="T35" s="1324" t="s">
        <v>65</v>
      </c>
      <c r="U35" s="1325">
        <f t="shared" si="11"/>
        <v>100</v>
      </c>
      <c r="V35" s="1324" t="s">
        <v>65</v>
      </c>
      <c r="W35" s="1325">
        <f t="shared" si="12"/>
        <v>100</v>
      </c>
      <c r="X35" s="1318"/>
      <c r="Y35" s="3620"/>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21" t="s">
        <v>410</v>
      </c>
      <c r="Q36" s="1323">
        <f t="shared" si="8"/>
        <v>111</v>
      </c>
      <c r="R36" s="1324" t="s">
        <v>65</v>
      </c>
      <c r="S36" s="1325">
        <f t="shared" si="10"/>
        <v>100</v>
      </c>
      <c r="T36" s="1324" t="s">
        <v>65</v>
      </c>
      <c r="U36" s="1325">
        <f t="shared" si="11"/>
        <v>100</v>
      </c>
      <c r="V36" s="1324" t="s">
        <v>65</v>
      </c>
      <c r="W36" s="1325">
        <f t="shared" si="12"/>
        <v>100</v>
      </c>
      <c r="X36" s="1318"/>
      <c r="Y36" s="3622"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22"/>
      <c r="Q37" s="1323">
        <f t="shared" si="8"/>
        <v>111</v>
      </c>
      <c r="R37" s="1329" t="s">
        <v>65</v>
      </c>
      <c r="S37" s="1330">
        <f t="shared" si="10"/>
        <v>100</v>
      </c>
      <c r="T37" s="1329" t="s">
        <v>65</v>
      </c>
      <c r="U37" s="1330">
        <f t="shared" si="11"/>
        <v>100</v>
      </c>
      <c r="V37" s="1329" t="s">
        <v>65</v>
      </c>
      <c r="W37" s="1330">
        <f t="shared" si="12"/>
        <v>100</v>
      </c>
      <c r="X37" s="1331"/>
      <c r="Y37" s="3622"/>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22"/>
      <c r="Q38" s="1323" t="str">
        <f>B38</f>
        <v>宗地面积</v>
      </c>
      <c r="R38" s="1324" t="s">
        <v>65</v>
      </c>
      <c r="S38" s="1325" t="e">
        <f t="shared" si="10"/>
        <v>#N/A</v>
      </c>
      <c r="T38" s="1324" t="s">
        <v>65</v>
      </c>
      <c r="U38" s="1325" t="e">
        <f t="shared" si="11"/>
        <v>#N/A</v>
      </c>
      <c r="V38" s="1324" t="s">
        <v>65</v>
      </c>
      <c r="W38" s="1325" t="e">
        <f t="shared" si="12"/>
        <v>#N/A</v>
      </c>
      <c r="X38" s="1318"/>
      <c r="Y38" s="3622"/>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22"/>
      <c r="Q39" s="1323" t="str">
        <f t="shared" ref="Q39:Q45" si="14">B39</f>
        <v>宗地形状</v>
      </c>
      <c r="R39" s="1324" t="s">
        <v>65</v>
      </c>
      <c r="S39" s="1325">
        <f t="shared" si="10"/>
        <v>100</v>
      </c>
      <c r="T39" s="1324" t="s">
        <v>65</v>
      </c>
      <c r="U39" s="1325">
        <f t="shared" si="11"/>
        <v>100</v>
      </c>
      <c r="V39" s="1324" t="s">
        <v>65</v>
      </c>
      <c r="W39" s="1325">
        <f t="shared" si="12"/>
        <v>100</v>
      </c>
      <c r="X39" s="1318"/>
      <c r="Y39" s="3622"/>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22"/>
      <c r="Q40" s="1323" t="str">
        <f t="shared" si="14"/>
        <v>临街宽度及深度</v>
      </c>
      <c r="R40" s="1324" t="s">
        <v>65</v>
      </c>
      <c r="S40" s="1325">
        <f t="shared" si="10"/>
        <v>100</v>
      </c>
      <c r="T40" s="1324" t="s">
        <v>65</v>
      </c>
      <c r="U40" s="1325">
        <f t="shared" si="11"/>
        <v>100</v>
      </c>
      <c r="V40" s="1324" t="s">
        <v>65</v>
      </c>
      <c r="W40" s="1325">
        <f t="shared" si="12"/>
        <v>100</v>
      </c>
      <c r="X40" s="1318"/>
      <c r="Y40" s="3622"/>
      <c r="Z40" s="1326" t="str">
        <f t="shared" si="13"/>
        <v>临街宽度及深度</v>
      </c>
      <c r="AA40" s="1327">
        <f t="shared" si="3"/>
        <v>1</v>
      </c>
      <c r="AB40" s="1327">
        <f t="shared" si="4"/>
        <v>1</v>
      </c>
      <c r="AC40" s="1327">
        <f t="shared" si="5"/>
        <v>1</v>
      </c>
    </row>
    <row r="41" spans="1:29" s="407" customFormat="1" ht="15">
      <c r="A41" s="816"/>
      <c r="B41" s="2612" t="s">
        <v>2512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22"/>
      <c r="Q41" s="1323" t="str">
        <f t="shared" si="14"/>
        <v>宗地开发程度</v>
      </c>
      <c r="R41" s="1319" t="s">
        <v>65</v>
      </c>
      <c r="S41" s="1320">
        <f t="shared" si="10"/>
        <v>100</v>
      </c>
      <c r="T41" s="1319" t="s">
        <v>65</v>
      </c>
      <c r="U41" s="1320">
        <f t="shared" si="11"/>
        <v>100</v>
      </c>
      <c r="V41" s="1319" t="s">
        <v>65</v>
      </c>
      <c r="W41" s="1320">
        <f t="shared" si="12"/>
        <v>100</v>
      </c>
      <c r="X41" s="1321"/>
      <c r="Y41" s="3622"/>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22" t="s">
        <v>410</v>
      </c>
      <c r="Q42" s="1323" t="str">
        <f t="shared" si="14"/>
        <v>工程地质条件</v>
      </c>
      <c r="R42" s="1324" t="s">
        <v>65</v>
      </c>
      <c r="S42" s="1325">
        <f t="shared" si="10"/>
        <v>100</v>
      </c>
      <c r="T42" s="1324" t="s">
        <v>65</v>
      </c>
      <c r="U42" s="1325">
        <f t="shared" si="11"/>
        <v>100</v>
      </c>
      <c r="V42" s="1324" t="s">
        <v>65</v>
      </c>
      <c r="W42" s="1325">
        <f t="shared" si="12"/>
        <v>100</v>
      </c>
      <c r="X42" s="1318"/>
      <c r="Y42" s="3622"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22"/>
      <c r="Q43" s="1323">
        <f t="shared" si="14"/>
        <v>111</v>
      </c>
      <c r="R43" s="1324" t="s">
        <v>65</v>
      </c>
      <c r="S43" s="1325">
        <f t="shared" si="10"/>
        <v>100</v>
      </c>
      <c r="T43" s="1324" t="s">
        <v>65</v>
      </c>
      <c r="U43" s="1325">
        <f t="shared" si="11"/>
        <v>100</v>
      </c>
      <c r="V43" s="1324" t="s">
        <v>65</v>
      </c>
      <c r="W43" s="1325">
        <f t="shared" si="12"/>
        <v>100</v>
      </c>
      <c r="X43" s="1318"/>
      <c r="Y43" s="362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22"/>
      <c r="Q44" s="1323">
        <f t="shared" si="14"/>
        <v>111</v>
      </c>
      <c r="R44" s="1324" t="s">
        <v>65</v>
      </c>
      <c r="S44" s="1325">
        <f t="shared" si="10"/>
        <v>100</v>
      </c>
      <c r="T44" s="1324" t="s">
        <v>65</v>
      </c>
      <c r="U44" s="1325">
        <f t="shared" si="11"/>
        <v>100</v>
      </c>
      <c r="V44" s="1324" t="s">
        <v>65</v>
      </c>
      <c r="W44" s="1325">
        <f t="shared" si="12"/>
        <v>100</v>
      </c>
      <c r="X44" s="1318"/>
      <c r="Y44" s="362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22"/>
      <c r="Q45" s="1323">
        <f t="shared" si="14"/>
        <v>111</v>
      </c>
      <c r="R45" s="1329" t="s">
        <v>65</v>
      </c>
      <c r="S45" s="1330">
        <f t="shared" si="10"/>
        <v>100</v>
      </c>
      <c r="T45" s="1329" t="s">
        <v>65</v>
      </c>
      <c r="U45" s="1330">
        <f t="shared" si="11"/>
        <v>100</v>
      </c>
      <c r="V45" s="1329" t="s">
        <v>65</v>
      </c>
      <c r="W45" s="1330">
        <f t="shared" si="12"/>
        <v>100</v>
      </c>
      <c r="X45" s="1331"/>
      <c r="Y45" s="3622"/>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14" t="str">
        <f>A46</f>
        <v>成交单价</v>
      </c>
      <c r="Q46" s="3614"/>
      <c r="R46" s="3642">
        <f>E46</f>
        <v>0</v>
      </c>
      <c r="S46" s="3642"/>
      <c r="T46" s="3642">
        <f>G46</f>
        <v>0</v>
      </c>
      <c r="U46" s="3642"/>
      <c r="V46" s="3642">
        <f>I46</f>
        <v>0</v>
      </c>
      <c r="W46" s="3642"/>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14" t="str">
        <f>A47</f>
        <v>比较价值（元/平方米）</v>
      </c>
      <c r="Q47" s="3614"/>
      <c r="R47" s="3654" t="e">
        <f>ROUND(PRODUCT(R46,AA7:AA45),0)</f>
        <v>#DIV/0!</v>
      </c>
      <c r="S47" s="3654"/>
      <c r="T47" s="3654" t="e">
        <f>ROUND(PRODUCT(T46,AB7:AB45),0)</f>
        <v>#DIV/0!</v>
      </c>
      <c r="U47" s="3654"/>
      <c r="V47" s="3654" t="e">
        <f>ROUND(PRODUCT(V46,AC7:AC45),0)</f>
        <v>#DIV/0!</v>
      </c>
      <c r="W47" s="3654"/>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16" t="str">
        <f>A48</f>
        <v>估价对象XX用房的比较价值（楼面单价，元/平方米）</v>
      </c>
      <c r="Q48" s="3617"/>
      <c r="R48" s="3655" t="e">
        <f>ROUND(AVERAGE(R47:V47),0)</f>
        <v>#DIV/0!</v>
      </c>
      <c r="S48" s="3655"/>
      <c r="T48" s="3655"/>
      <c r="U48" s="3655"/>
      <c r="V48" s="3655"/>
      <c r="W48" s="3655"/>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56" t="s">
        <v>2329</v>
      </c>
      <c r="H55" s="3657"/>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20377.830000000002</v>
      </c>
      <c r="F56" s="2188" t="e">
        <f t="shared" ref="F56:F65" si="15">ROUND(B56*E56/10000,0)</f>
        <v>#DIV/0!</v>
      </c>
      <c r="G56" s="3658"/>
      <c r="H56" s="3659"/>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60"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60"/>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60"/>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60"/>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20377.830000000002</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2803</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15.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2680</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2667</v>
      </c>
      <c r="C102" s="213" t="s">
        <v>2668</v>
      </c>
      <c r="D102" s="213" t="s">
        <v>2669</v>
      </c>
      <c r="E102" s="213" t="s">
        <v>2670</v>
      </c>
      <c r="F102" s="213" t="s">
        <v>2671</v>
      </c>
      <c r="G102" s="213" t="s">
        <v>2672</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2511</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2899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26" t="s">
        <v>392</v>
      </c>
      <c r="D4" s="3627"/>
      <c r="E4" s="3628" t="s">
        <v>393</v>
      </c>
      <c r="F4" s="3629"/>
      <c r="G4" s="3626" t="s">
        <v>394</v>
      </c>
      <c r="H4" s="3627"/>
      <c r="I4" s="3626" t="s">
        <v>395</v>
      </c>
      <c r="J4" s="3627"/>
      <c r="K4" s="953" t="s">
        <v>396</v>
      </c>
      <c r="L4" s="2350"/>
      <c r="M4" s="2351"/>
      <c r="N4" s="2351"/>
      <c r="O4" s="2351"/>
      <c r="P4" s="3630" t="s">
        <v>397</v>
      </c>
      <c r="Q4" s="3631"/>
      <c r="R4" s="3636" t="s">
        <v>393</v>
      </c>
      <c r="S4" s="3637"/>
      <c r="T4" s="3636" t="s">
        <v>394</v>
      </c>
      <c r="U4" s="3637"/>
      <c r="V4" s="3642" t="s">
        <v>395</v>
      </c>
      <c r="W4" s="3642"/>
      <c r="X4" s="1318"/>
      <c r="Y4" s="3636" t="s">
        <v>397</v>
      </c>
      <c r="Z4" s="3637"/>
      <c r="AA4" s="3623" t="s">
        <v>393</v>
      </c>
      <c r="AB4" s="3624" t="s">
        <v>394</v>
      </c>
      <c r="AC4" s="3623" t="s">
        <v>395</v>
      </c>
    </row>
    <row r="5" spans="1:29" ht="15">
      <c r="A5" s="747"/>
      <c r="B5" s="748"/>
      <c r="C5" s="3589" t="s">
        <v>1134</v>
      </c>
      <c r="D5" s="3590"/>
      <c r="E5" s="3596" t="s">
        <v>1135</v>
      </c>
      <c r="F5" s="3597"/>
      <c r="G5" s="3589" t="s">
        <v>1138</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29" ht="15.75" thickBot="1">
      <c r="A6" s="749"/>
      <c r="B6" s="750"/>
      <c r="C6" s="3661" t="s">
        <v>1137</v>
      </c>
      <c r="D6" s="3662"/>
      <c r="E6" s="3663" t="s">
        <v>1137</v>
      </c>
      <c r="F6" s="3664"/>
      <c r="G6" s="3661" t="s">
        <v>1137</v>
      </c>
      <c r="H6" s="3662"/>
      <c r="I6" s="3661" t="s">
        <v>1137</v>
      </c>
      <c r="J6" s="3662"/>
      <c r="K6" s="953" t="s">
        <v>398</v>
      </c>
      <c r="L6" s="2350"/>
      <c r="M6" s="2351"/>
      <c r="N6" s="2351"/>
      <c r="O6" s="2351"/>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42926</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14" t="s">
        <v>403</v>
      </c>
      <c r="Q9" s="296" t="str">
        <f t="shared" ref="Q9:Q15" si="6">B9</f>
        <v>用途</v>
      </c>
      <c r="R9" s="1319" t="s">
        <v>65</v>
      </c>
      <c r="S9" s="1320">
        <f t="shared" si="0"/>
        <v>100</v>
      </c>
      <c r="T9" s="1319" t="s">
        <v>65</v>
      </c>
      <c r="U9" s="1320">
        <f t="shared" si="1"/>
        <v>100</v>
      </c>
      <c r="V9" s="1319" t="s">
        <v>65</v>
      </c>
      <c r="W9" s="1320">
        <f t="shared" si="2"/>
        <v>100</v>
      </c>
      <c r="X9" s="1321"/>
      <c r="Y9" s="3424"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103</v>
      </c>
      <c r="G10" s="1024"/>
      <c r="H10" s="426">
        <f>ROUND(100/'数据-取费表'!G16,0)</f>
        <v>103</v>
      </c>
      <c r="I10" s="1024"/>
      <c r="J10" s="426">
        <f>ROUND(100/'数据-取费表'!G16,0)</f>
        <v>103</v>
      </c>
      <c r="K10" s="1081"/>
      <c r="L10" s="2355"/>
      <c r="M10" s="2356"/>
      <c r="N10" s="2356"/>
      <c r="O10" s="2357"/>
      <c r="P10" s="3614"/>
      <c r="Q10" s="296" t="str">
        <f t="shared" si="6"/>
        <v>土地使用年限（年）</v>
      </c>
      <c r="R10" s="1319" t="s">
        <v>65</v>
      </c>
      <c r="S10" s="1320">
        <f t="shared" si="0"/>
        <v>103</v>
      </c>
      <c r="T10" s="1319" t="s">
        <v>65</v>
      </c>
      <c r="U10" s="1320">
        <f t="shared" si="1"/>
        <v>103</v>
      </c>
      <c r="V10" s="1319" t="s">
        <v>65</v>
      </c>
      <c r="W10" s="1320">
        <f t="shared" si="2"/>
        <v>103</v>
      </c>
      <c r="X10" s="1321"/>
      <c r="Y10" s="3424"/>
      <c r="Z10" s="344" t="str">
        <f t="shared" si="7"/>
        <v>土地使用年限（年）</v>
      </c>
      <c r="AA10" s="1322">
        <f t="shared" si="3"/>
        <v>0.970873786407767</v>
      </c>
      <c r="AB10" s="1322">
        <f t="shared" si="4"/>
        <v>0.970873786407767</v>
      </c>
      <c r="AC10" s="1322">
        <f t="shared" si="5"/>
        <v>0.970873786407767</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14"/>
      <c r="Q11" s="296" t="str">
        <f t="shared" si="6"/>
        <v>容积率</v>
      </c>
      <c r="R11" s="1319" t="s">
        <v>65</v>
      </c>
      <c r="S11" s="1320" t="e">
        <f t="shared" si="0"/>
        <v>#N/A</v>
      </c>
      <c r="T11" s="1319" t="s">
        <v>65</v>
      </c>
      <c r="U11" s="1320" t="e">
        <f t="shared" si="1"/>
        <v>#N/A</v>
      </c>
      <c r="V11" s="1319" t="s">
        <v>65</v>
      </c>
      <c r="W11" s="1320" t="e">
        <f t="shared" si="2"/>
        <v>#N/A</v>
      </c>
      <c r="X11" s="1321"/>
      <c r="Y11" s="342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14"/>
      <c r="Q12" s="296">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14"/>
      <c r="Q14" s="296">
        <f t="shared" si="6"/>
        <v>111</v>
      </c>
      <c r="R14" s="1319" t="s">
        <v>65</v>
      </c>
      <c r="S14" s="1320">
        <f t="shared" si="0"/>
        <v>100</v>
      </c>
      <c r="T14" s="1319" t="s">
        <v>65</v>
      </c>
      <c r="U14" s="1320">
        <f t="shared" si="1"/>
        <v>100</v>
      </c>
      <c r="V14" s="1319" t="s">
        <v>65</v>
      </c>
      <c r="W14" s="1320">
        <f t="shared" si="2"/>
        <v>100</v>
      </c>
      <c r="X14" s="1321"/>
      <c r="Y14" s="3424"/>
      <c r="Z14" s="344">
        <f t="shared" si="7"/>
        <v>111</v>
      </c>
      <c r="AA14" s="1322">
        <f t="shared" si="3"/>
        <v>1</v>
      </c>
      <c r="AB14" s="1322">
        <f t="shared" si="4"/>
        <v>1</v>
      </c>
      <c r="AC14" s="1322">
        <f t="shared" si="5"/>
        <v>1</v>
      </c>
    </row>
    <row r="15" spans="1:29" ht="54">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19" t="s">
        <v>408</v>
      </c>
      <c r="Q15" s="1323" t="str">
        <f t="shared" si="6"/>
        <v>产业集聚程度</v>
      </c>
      <c r="R15" s="1324" t="s">
        <v>65</v>
      </c>
      <c r="S15" s="1325">
        <f t="shared" si="0"/>
        <v>100</v>
      </c>
      <c r="T15" s="1324" t="s">
        <v>65</v>
      </c>
      <c r="U15" s="1325">
        <f t="shared" si="1"/>
        <v>100</v>
      </c>
      <c r="V15" s="1324" t="s">
        <v>65</v>
      </c>
      <c r="W15" s="1325">
        <f t="shared" si="2"/>
        <v>100</v>
      </c>
      <c r="X15" s="1318"/>
      <c r="Y15" s="3619"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20"/>
      <c r="Q16" s="1323"/>
      <c r="R16" s="1324"/>
      <c r="S16" s="1325"/>
      <c r="T16" s="1324"/>
      <c r="U16" s="1325"/>
      <c r="V16" s="1324"/>
      <c r="W16" s="1325"/>
      <c r="X16" s="1318"/>
      <c r="Y16" s="3620"/>
      <c r="Z16" s="1326"/>
      <c r="AA16" s="1327">
        <v>1</v>
      </c>
      <c r="AB16" s="1327">
        <v>1</v>
      </c>
      <c r="AC16" s="1327">
        <v>1</v>
      </c>
    </row>
    <row r="17" spans="1:29" ht="81">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20"/>
      <c r="Q17" s="1323" t="str">
        <f>B17</f>
        <v>交通便捷度</v>
      </c>
      <c r="R17" s="1324" t="s">
        <v>65</v>
      </c>
      <c r="S17" s="1325">
        <f>F17</f>
        <v>100</v>
      </c>
      <c r="T17" s="1324" t="s">
        <v>65</v>
      </c>
      <c r="U17" s="1325">
        <f>H17</f>
        <v>100</v>
      </c>
      <c r="V17" s="1324" t="s">
        <v>65</v>
      </c>
      <c r="W17" s="1325">
        <f>J17</f>
        <v>100</v>
      </c>
      <c r="X17" s="1318"/>
      <c r="Y17" s="3620"/>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20"/>
      <c r="Q18" s="1323"/>
      <c r="R18" s="1324"/>
      <c r="S18" s="1325"/>
      <c r="T18" s="1324"/>
      <c r="U18" s="1325"/>
      <c r="V18" s="1324"/>
      <c r="W18" s="1325"/>
      <c r="X18" s="1318"/>
      <c r="Y18" s="3620"/>
      <c r="Z18" s="1326"/>
      <c r="AA18" s="1327">
        <v>1</v>
      </c>
      <c r="AB18" s="1327">
        <v>1</v>
      </c>
      <c r="AC18" s="1327">
        <v>1</v>
      </c>
    </row>
    <row r="19" spans="1:29" ht="15">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20"/>
      <c r="Q19" s="1323" t="str">
        <f t="shared" ref="Q19:Q33" si="8">B19</f>
        <v>区域土地利用方向</v>
      </c>
      <c r="R19" s="1324" t="s">
        <v>65</v>
      </c>
      <c r="S19" s="1325">
        <f>F19</f>
        <v>100</v>
      </c>
      <c r="T19" s="1324" t="s">
        <v>65</v>
      </c>
      <c r="U19" s="1325">
        <f>H19</f>
        <v>100</v>
      </c>
      <c r="V19" s="1324" t="s">
        <v>65</v>
      </c>
      <c r="W19" s="1325">
        <f>J19</f>
        <v>100</v>
      </c>
      <c r="X19" s="1318"/>
      <c r="Y19" s="3620"/>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20"/>
      <c r="Q20" s="1470"/>
      <c r="R20" s="1324"/>
      <c r="S20" s="1325"/>
      <c r="T20" s="1324"/>
      <c r="U20" s="1325"/>
      <c r="V20" s="1324"/>
      <c r="W20" s="1325"/>
      <c r="X20" s="1469"/>
      <c r="Y20" s="3620"/>
      <c r="Z20" s="1471"/>
      <c r="AA20" s="1327"/>
      <c r="AB20" s="1327"/>
      <c r="AC20" s="1327"/>
    </row>
    <row r="21" spans="1:29" ht="67.5">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20"/>
      <c r="Q21" s="1323" t="str">
        <f t="shared" si="8"/>
        <v>环境状况</v>
      </c>
      <c r="R21" s="1324" t="s">
        <v>65</v>
      </c>
      <c r="S21" s="1325">
        <f>F21</f>
        <v>100</v>
      </c>
      <c r="T21" s="1324" t="s">
        <v>65</v>
      </c>
      <c r="U21" s="1325">
        <f>H21</f>
        <v>100</v>
      </c>
      <c r="V21" s="1324" t="s">
        <v>65</v>
      </c>
      <c r="W21" s="1325">
        <f>J21</f>
        <v>100</v>
      </c>
      <c r="X21" s="1318"/>
      <c r="Y21" s="3620"/>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20"/>
      <c r="Q22" s="1323"/>
      <c r="R22" s="1324"/>
      <c r="S22" s="1325"/>
      <c r="T22" s="1324"/>
      <c r="U22" s="1325"/>
      <c r="V22" s="1324"/>
      <c r="W22" s="1325"/>
      <c r="X22" s="1318"/>
      <c r="Y22" s="3620"/>
      <c r="Z22" s="1326"/>
      <c r="AA22" s="1327">
        <v>1</v>
      </c>
      <c r="AB22" s="1327">
        <v>1</v>
      </c>
      <c r="AC22" s="1327">
        <v>1</v>
      </c>
    </row>
    <row r="23" spans="1:29" s="407" customFormat="1" ht="40.5">
      <c r="A23" s="992"/>
      <c r="B23" s="1036" t="s">
        <v>2680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20"/>
      <c r="Q23" s="296" t="str">
        <f t="shared" si="8"/>
        <v>公共配套设施</v>
      </c>
      <c r="R23" s="1319" t="s">
        <v>65</v>
      </c>
      <c r="S23" s="1320">
        <f>F23</f>
        <v>100</v>
      </c>
      <c r="T23" s="1319" t="s">
        <v>65</v>
      </c>
      <c r="U23" s="1320">
        <f>H23</f>
        <v>100</v>
      </c>
      <c r="V23" s="1319" t="s">
        <v>65</v>
      </c>
      <c r="W23" s="1320">
        <f>J23</f>
        <v>100</v>
      </c>
      <c r="X23" s="1321"/>
      <c r="Y23" s="3620"/>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20"/>
      <c r="Q24" s="296"/>
      <c r="R24" s="1319"/>
      <c r="S24" s="1320"/>
      <c r="T24" s="1319"/>
      <c r="U24" s="1320"/>
      <c r="V24" s="1319"/>
      <c r="W24" s="1320"/>
      <c r="X24" s="1321"/>
      <c r="Y24" s="3620"/>
      <c r="Z24" s="344"/>
      <c r="AA24" s="1322">
        <v>1</v>
      </c>
      <c r="AB24" s="1322">
        <v>1</v>
      </c>
      <c r="AC24" s="1322">
        <v>1</v>
      </c>
    </row>
    <row r="25" spans="1:29" s="407" customFormat="1" ht="27">
      <c r="A25" s="992"/>
      <c r="B25" s="1036" t="s">
        <v>2681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20"/>
      <c r="Q25" s="2746" t="str">
        <f t="shared" ref="Q25" si="9">B25</f>
        <v>基础设施水平</v>
      </c>
      <c r="R25" s="1319" t="s">
        <v>65</v>
      </c>
      <c r="S25" s="1320">
        <f>F25</f>
        <v>100</v>
      </c>
      <c r="T25" s="1319" t="s">
        <v>65</v>
      </c>
      <c r="U25" s="1320">
        <f>H25</f>
        <v>100</v>
      </c>
      <c r="V25" s="1319" t="s">
        <v>65</v>
      </c>
      <c r="W25" s="1320">
        <f>J25</f>
        <v>100</v>
      </c>
      <c r="X25" s="1321"/>
      <c r="Y25" s="3620"/>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20"/>
      <c r="Q26" s="2746"/>
      <c r="R26" s="1319"/>
      <c r="S26" s="1320"/>
      <c r="T26" s="1319"/>
      <c r="U26" s="1320"/>
      <c r="V26" s="1319"/>
      <c r="W26" s="1320"/>
      <c r="X26" s="1321"/>
      <c r="Y26" s="3620"/>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2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20"/>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20"/>
      <c r="Q28" s="1323" t="str">
        <f t="shared" si="8"/>
        <v>毗邻道路的类型与等级</v>
      </c>
      <c r="R28" s="1324" t="s">
        <v>65</v>
      </c>
      <c r="S28" s="1325">
        <f t="shared" si="10"/>
        <v>100</v>
      </c>
      <c r="T28" s="1324" t="s">
        <v>65</v>
      </c>
      <c r="U28" s="1325">
        <f t="shared" si="11"/>
        <v>100</v>
      </c>
      <c r="V28" s="1324" t="s">
        <v>65</v>
      </c>
      <c r="W28" s="1325">
        <f t="shared" si="12"/>
        <v>100</v>
      </c>
      <c r="X28" s="1318"/>
      <c r="Y28" s="3620"/>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20"/>
      <c r="Q29" s="1323"/>
      <c r="R29" s="1324"/>
      <c r="S29" s="1325"/>
      <c r="T29" s="1324"/>
      <c r="U29" s="1325"/>
      <c r="V29" s="1324"/>
      <c r="W29" s="1325"/>
      <c r="X29" s="1318"/>
      <c r="Y29" s="3620"/>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20"/>
      <c r="Q30" s="1323" t="str">
        <f t="shared" si="8"/>
        <v>土地级别</v>
      </c>
      <c r="R30" s="1324" t="s">
        <v>65</v>
      </c>
      <c r="S30" s="1325">
        <f t="shared" si="10"/>
        <v>100</v>
      </c>
      <c r="T30" s="1324" t="s">
        <v>65</v>
      </c>
      <c r="U30" s="1325">
        <f t="shared" si="11"/>
        <v>100</v>
      </c>
      <c r="V30" s="1324" t="s">
        <v>65</v>
      </c>
      <c r="W30" s="1325">
        <f t="shared" si="12"/>
        <v>100</v>
      </c>
      <c r="X30" s="1318"/>
      <c r="Y30" s="362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20"/>
      <c r="Q31" s="1323">
        <f t="shared" si="8"/>
        <v>111</v>
      </c>
      <c r="R31" s="1324" t="s">
        <v>65</v>
      </c>
      <c r="S31" s="1325">
        <f t="shared" si="10"/>
        <v>100</v>
      </c>
      <c r="T31" s="1324" t="s">
        <v>65</v>
      </c>
      <c r="U31" s="1325">
        <f t="shared" si="11"/>
        <v>100</v>
      </c>
      <c r="V31" s="1324" t="s">
        <v>65</v>
      </c>
      <c r="W31" s="1325">
        <f t="shared" si="12"/>
        <v>100</v>
      </c>
      <c r="X31" s="1318"/>
      <c r="Y31" s="362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21" t="s">
        <v>410</v>
      </c>
      <c r="Q32" s="1323">
        <f t="shared" si="8"/>
        <v>111</v>
      </c>
      <c r="R32" s="1324" t="s">
        <v>65</v>
      </c>
      <c r="S32" s="1325">
        <f t="shared" si="10"/>
        <v>100</v>
      </c>
      <c r="T32" s="1324" t="s">
        <v>65</v>
      </c>
      <c r="U32" s="1325">
        <f t="shared" si="11"/>
        <v>100</v>
      </c>
      <c r="V32" s="1324" t="s">
        <v>65</v>
      </c>
      <c r="W32" s="1325">
        <f t="shared" si="12"/>
        <v>100</v>
      </c>
      <c r="X32" s="1318"/>
      <c r="Y32" s="3622"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22"/>
      <c r="Q33" s="1323">
        <f t="shared" si="8"/>
        <v>111</v>
      </c>
      <c r="R33" s="1329" t="s">
        <v>65</v>
      </c>
      <c r="S33" s="1330">
        <f t="shared" si="10"/>
        <v>100</v>
      </c>
      <c r="T33" s="1329" t="s">
        <v>65</v>
      </c>
      <c r="U33" s="1330">
        <f t="shared" si="11"/>
        <v>100</v>
      </c>
      <c r="V33" s="1329" t="s">
        <v>65</v>
      </c>
      <c r="W33" s="1330">
        <f t="shared" si="12"/>
        <v>100</v>
      </c>
      <c r="X33" s="1331"/>
      <c r="Y33" s="3622"/>
      <c r="Z33" s="1332">
        <f t="shared" si="13"/>
        <v>111</v>
      </c>
      <c r="AA33" s="1327">
        <f t="shared" si="3"/>
        <v>1</v>
      </c>
      <c r="AB33" s="1327">
        <f t="shared" si="4"/>
        <v>1</v>
      </c>
      <c r="AC33" s="1327">
        <f t="shared" si="5"/>
        <v>1</v>
      </c>
    </row>
    <row r="34" spans="1:29" ht="15">
      <c r="A34" s="783" t="s">
        <v>2806</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22"/>
      <c r="Q34" s="1323" t="str">
        <f>B34</f>
        <v>宗地面积</v>
      </c>
      <c r="R34" s="1324" t="s">
        <v>65</v>
      </c>
      <c r="S34" s="1325" t="e">
        <f t="shared" si="10"/>
        <v>#N/A</v>
      </c>
      <c r="T34" s="1324" t="s">
        <v>65</v>
      </c>
      <c r="U34" s="1325" t="e">
        <f t="shared" si="11"/>
        <v>#N/A</v>
      </c>
      <c r="V34" s="1324" t="s">
        <v>65</v>
      </c>
      <c r="W34" s="1325" t="e">
        <f t="shared" si="12"/>
        <v>#N/A</v>
      </c>
      <c r="X34" s="1318"/>
      <c r="Y34" s="3622"/>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22"/>
      <c r="Q35" s="1323" t="str">
        <f t="shared" ref="Q35:Q40" si="14">B35</f>
        <v>宗地形状</v>
      </c>
      <c r="R35" s="1324" t="s">
        <v>65</v>
      </c>
      <c r="S35" s="1325">
        <f t="shared" si="10"/>
        <v>100</v>
      </c>
      <c r="T35" s="1324" t="s">
        <v>65</v>
      </c>
      <c r="U35" s="1325">
        <f t="shared" si="11"/>
        <v>100</v>
      </c>
      <c r="V35" s="1324" t="s">
        <v>65</v>
      </c>
      <c r="W35" s="1325">
        <f t="shared" si="12"/>
        <v>100</v>
      </c>
      <c r="X35" s="1318"/>
      <c r="Y35" s="3622"/>
      <c r="Z35" s="1326" t="str">
        <f t="shared" si="13"/>
        <v>宗地形状</v>
      </c>
      <c r="AA35" s="1327">
        <f t="shared" si="3"/>
        <v>1</v>
      </c>
      <c r="AB35" s="1327">
        <f t="shared" si="4"/>
        <v>1</v>
      </c>
      <c r="AC35" s="1327">
        <f t="shared" si="5"/>
        <v>1</v>
      </c>
    </row>
    <row r="36" spans="1:29" s="407" customFormat="1" ht="15">
      <c r="A36" s="816"/>
      <c r="B36" s="2612" t="s">
        <v>2513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22"/>
      <c r="Q36" s="1323" t="str">
        <f t="shared" si="14"/>
        <v>宗地开发程度</v>
      </c>
      <c r="R36" s="1319" t="s">
        <v>65</v>
      </c>
      <c r="S36" s="1320">
        <f t="shared" si="10"/>
        <v>100</v>
      </c>
      <c r="T36" s="1319" t="s">
        <v>65</v>
      </c>
      <c r="U36" s="1320">
        <f t="shared" si="11"/>
        <v>100</v>
      </c>
      <c r="V36" s="1319" t="s">
        <v>65</v>
      </c>
      <c r="W36" s="1320">
        <f t="shared" si="12"/>
        <v>100</v>
      </c>
      <c r="X36" s="1321"/>
      <c r="Y36" s="3622"/>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22" t="s">
        <v>521</v>
      </c>
      <c r="Q37" s="1323" t="str">
        <f t="shared" si="14"/>
        <v>工程地质条件</v>
      </c>
      <c r="R37" s="1324" t="s">
        <v>65</v>
      </c>
      <c r="S37" s="1325">
        <f t="shared" si="10"/>
        <v>100</v>
      </c>
      <c r="T37" s="1324" t="s">
        <v>65</v>
      </c>
      <c r="U37" s="1325">
        <f t="shared" si="11"/>
        <v>100</v>
      </c>
      <c r="V37" s="1324" t="s">
        <v>65</v>
      </c>
      <c r="W37" s="1325">
        <f t="shared" si="12"/>
        <v>100</v>
      </c>
      <c r="X37" s="1318"/>
      <c r="Y37" s="3622"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22"/>
      <c r="Q38" s="1323">
        <f t="shared" si="14"/>
        <v>111</v>
      </c>
      <c r="R38" s="1324" t="s">
        <v>65</v>
      </c>
      <c r="S38" s="1325">
        <f t="shared" si="10"/>
        <v>100</v>
      </c>
      <c r="T38" s="1324" t="s">
        <v>65</v>
      </c>
      <c r="U38" s="1325">
        <f t="shared" si="11"/>
        <v>100</v>
      </c>
      <c r="V38" s="1324" t="s">
        <v>65</v>
      </c>
      <c r="W38" s="1325">
        <f t="shared" si="12"/>
        <v>100</v>
      </c>
      <c r="X38" s="1318"/>
      <c r="Y38" s="362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22"/>
      <c r="Q39" s="1323">
        <f t="shared" si="14"/>
        <v>111</v>
      </c>
      <c r="R39" s="1324" t="s">
        <v>65</v>
      </c>
      <c r="S39" s="1325">
        <f t="shared" si="10"/>
        <v>100</v>
      </c>
      <c r="T39" s="1324" t="s">
        <v>65</v>
      </c>
      <c r="U39" s="1325">
        <f t="shared" si="11"/>
        <v>100</v>
      </c>
      <c r="V39" s="1324" t="s">
        <v>65</v>
      </c>
      <c r="W39" s="1325">
        <f t="shared" si="12"/>
        <v>100</v>
      </c>
      <c r="X39" s="1318"/>
      <c r="Y39" s="362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22"/>
      <c r="Q40" s="1323">
        <f t="shared" si="14"/>
        <v>111</v>
      </c>
      <c r="R40" s="1329" t="s">
        <v>65</v>
      </c>
      <c r="S40" s="1330">
        <f t="shared" si="10"/>
        <v>100</v>
      </c>
      <c r="T40" s="1329" t="s">
        <v>65</v>
      </c>
      <c r="U40" s="1330">
        <f t="shared" si="11"/>
        <v>100</v>
      </c>
      <c r="V40" s="1329" t="s">
        <v>65</v>
      </c>
      <c r="W40" s="1330">
        <f t="shared" si="12"/>
        <v>100</v>
      </c>
      <c r="X40" s="1331"/>
      <c r="Y40" s="3622"/>
      <c r="Z40" s="1332">
        <f t="shared" si="13"/>
        <v>111</v>
      </c>
      <c r="AA40" s="1327">
        <f t="shared" si="3"/>
        <v>1</v>
      </c>
      <c r="AB40" s="1327">
        <f t="shared" si="4"/>
        <v>1</v>
      </c>
      <c r="AC40" s="1327">
        <f t="shared" si="5"/>
        <v>1</v>
      </c>
    </row>
    <row r="41" spans="1:29" ht="15">
      <c r="A41" s="822" t="s">
        <v>491</v>
      </c>
      <c r="B41" s="207" t="s">
        <v>3036</v>
      </c>
      <c r="C41" s="1091" t="s">
        <v>23</v>
      </c>
      <c r="D41" s="824"/>
      <c r="E41" s="825"/>
      <c r="F41" s="826"/>
      <c r="G41" s="827"/>
      <c r="H41" s="828"/>
      <c r="I41" s="825"/>
      <c r="J41" s="828"/>
      <c r="K41" s="1400"/>
      <c r="L41" s="2363"/>
      <c r="M41" s="2351"/>
      <c r="N41" s="2351"/>
      <c r="O41" s="2364"/>
      <c r="P41" s="3614" t="str">
        <f>A41</f>
        <v>成交单价</v>
      </c>
      <c r="Q41" s="3614"/>
      <c r="R41" s="3642">
        <f>E41</f>
        <v>0</v>
      </c>
      <c r="S41" s="3642"/>
      <c r="T41" s="3642">
        <f>G41</f>
        <v>0</v>
      </c>
      <c r="U41" s="3642"/>
      <c r="V41" s="3642">
        <f>I41</f>
        <v>0</v>
      </c>
      <c r="W41" s="3642"/>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14" t="str">
        <f>A42</f>
        <v>比较价值（元/平方米）</v>
      </c>
      <c r="Q42" s="3614"/>
      <c r="R42" s="3654" t="e">
        <f>ROUND(PRODUCT(R41,AA7:AA40),0)</f>
        <v>#DIV/0!</v>
      </c>
      <c r="S42" s="3654"/>
      <c r="T42" s="3654" t="e">
        <f>ROUND(PRODUCT(T41,AB7:AB40),0)</f>
        <v>#DIV/0!</v>
      </c>
      <c r="U42" s="3654"/>
      <c r="V42" s="3654" t="e">
        <f>ROUND(PRODUCT(V41,AC7:AC40),0)</f>
        <v>#DIV/0!</v>
      </c>
      <c r="W42" s="3654"/>
      <c r="X42" s="1307"/>
      <c r="Y42" s="1307"/>
      <c r="Z42" s="1307"/>
      <c r="AA42" s="1307"/>
      <c r="AB42" s="1307"/>
      <c r="AC42" s="1307"/>
    </row>
    <row r="43" spans="1:29" ht="15.75" thickBot="1">
      <c r="A43" s="115" t="s">
        <v>3029</v>
      </c>
      <c r="B43" s="836"/>
      <c r="C43" s="837" t="e">
        <f>R43</f>
        <v>#DIV/0!</v>
      </c>
      <c r="D43" s="837"/>
      <c r="E43" s="837"/>
      <c r="F43" s="837"/>
      <c r="G43" s="837"/>
      <c r="H43" s="837"/>
      <c r="I43" s="837"/>
      <c r="J43" s="837"/>
      <c r="K43" s="1402"/>
      <c r="L43" s="2363"/>
      <c r="M43" s="2351"/>
      <c r="N43" s="2351"/>
      <c r="O43" s="2364"/>
      <c r="P43" s="3616" t="str">
        <f>A43</f>
        <v>估价对象XX用房的比较价值（楼面单价，元/平方米）</v>
      </c>
      <c r="Q43" s="3617"/>
      <c r="R43" s="3655" t="e">
        <f>ROUND(AVERAGE(R42:V42),0)</f>
        <v>#DIV/0!</v>
      </c>
      <c r="S43" s="3655"/>
      <c r="T43" s="3655"/>
      <c r="U43" s="3655"/>
      <c r="V43" s="3655"/>
      <c r="W43" s="3655"/>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56" t="s">
        <v>2329</v>
      </c>
      <c r="H50" s="3657"/>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20377.830000000002</v>
      </c>
      <c r="F51" s="1100" t="e">
        <f t="shared" ref="F51:F60" si="15">ROUND(B51*E51/10000,0)</f>
        <v>#DIV/0!</v>
      </c>
      <c r="G51" s="3658"/>
      <c r="H51" s="3659"/>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60"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60"/>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60"/>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60"/>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72086.12</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2803</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2802</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15.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2680</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2682</v>
      </c>
      <c r="C93" s="213" t="s">
        <v>2668</v>
      </c>
      <c r="D93" s="213" t="s">
        <v>2669</v>
      </c>
      <c r="E93" s="213" t="s">
        <v>2670</v>
      </c>
      <c r="F93" s="213" t="s">
        <v>2671</v>
      </c>
      <c r="G93" s="213" t="s">
        <v>2672</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2514</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2515</v>
      </c>
      <c r="D1" s="1740">
        <f>SUM(D29:D30,D33:D39)</f>
        <v>20377.830000000002</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2903</v>
      </c>
      <c r="S1" s="3078" t="s">
        <v>2904</v>
      </c>
      <c r="T1" s="3078" t="s">
        <v>2905</v>
      </c>
      <c r="U1" s="3078" t="s">
        <v>2906</v>
      </c>
      <c r="V1" s="3078" t="s">
        <v>2907</v>
      </c>
      <c r="W1" s="3079"/>
      <c r="X1" s="3079"/>
      <c r="Y1" s="3079"/>
      <c r="Z1" s="3079"/>
      <c r="AA1" s="3079"/>
      <c r="AB1" s="3079"/>
      <c r="AC1" s="3080"/>
      <c r="AD1" s="3081"/>
      <c r="AE1" s="3081"/>
      <c r="AF1" s="3081"/>
      <c r="AG1" s="3081"/>
      <c r="AH1" s="3081"/>
      <c r="AI1" s="3081"/>
      <c r="AJ1" s="3082"/>
    </row>
    <row r="2" spans="1:36" ht="24">
      <c r="A2" s="86" t="s">
        <v>1802</v>
      </c>
      <c r="B2" s="580">
        <f ca="1">C26</f>
        <v>3320</v>
      </c>
      <c r="C2" s="1472" t="s">
        <v>1143</v>
      </c>
      <c r="D2" s="1629" t="s">
        <v>1803</v>
      </c>
      <c r="E2" s="1784" t="s">
        <v>39</v>
      </c>
      <c r="F2" s="1629" t="s">
        <v>1804</v>
      </c>
      <c r="G2" s="1606" t="str">
        <f>IF(E2="商业",项目基本情况!B37,IF(E2="办公",项目基本情况!C37,IF(E2="住宅",项目基本情况!D37,项目基本情况!E37)))</f>
        <v>十一级</v>
      </c>
      <c r="H2" s="1629" t="s">
        <v>1805</v>
      </c>
      <c r="I2" s="1606" t="str">
        <f>IF(E2="商业",项目基本情况!B38,IF(E2="办公",项目基本情况!C38,IF(E2="住宅",项目基本情况!D38,项目基本情况!E38)))</f>
        <v>Ⅺ-延2</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6.9356999999999998</v>
      </c>
      <c r="T2" s="3083">
        <f ca="1">ROUND($C$5*$C$18*$C$19*$C$20*S2*$C$24,0)</f>
        <v>3081</v>
      </c>
      <c r="U2" s="3084"/>
      <c r="V2" s="3083">
        <f ca="1">ROUND(T2*U2/10000,0)</f>
        <v>0</v>
      </c>
      <c r="W2" s="3079"/>
      <c r="X2" s="3079"/>
      <c r="Y2" s="3079"/>
      <c r="Z2" s="3079"/>
      <c r="AA2" s="3079"/>
      <c r="AB2" s="3079"/>
      <c r="AC2" s="3080"/>
      <c r="AD2" s="3081"/>
      <c r="AE2" s="3081"/>
      <c r="AF2" s="3081"/>
      <c r="AG2" s="3081"/>
      <c r="AH2" s="3081"/>
      <c r="AI2" s="3081"/>
      <c r="AJ2" s="3082"/>
    </row>
    <row r="3" spans="1:36" ht="15.75">
      <c r="A3" s="87" t="s">
        <v>1806</v>
      </c>
      <c r="B3" s="580">
        <f ca="1">ROUND(B2*10000/D1,0)</f>
        <v>1629</v>
      </c>
      <c r="C3" s="1472" t="s">
        <v>1807</v>
      </c>
      <c r="D3" s="1629" t="s">
        <v>1146</v>
      </c>
      <c r="E3" s="1785" t="s">
        <v>3070</v>
      </c>
      <c r="F3" s="1786" t="s">
        <v>3071</v>
      </c>
      <c r="G3" s="1631">
        <f>IF(F3="宗地容积率",'数据-汇总表'!I4,IF(F3="估价对象容积率",'数据-汇总表'!I6,'数据-汇总表'!I7))</f>
        <v>0.28000000000000003</v>
      </c>
      <c r="H3" s="1632" t="s">
        <v>1147</v>
      </c>
      <c r="I3" s="1787">
        <v>2</v>
      </c>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4.5711000000000004</v>
      </c>
      <c r="T3" s="3083">
        <f t="shared" ref="T3:T16" ca="1" si="0">ROUND($C$5*$C$18*$C$19*$C$20*S3*$C$24,0)</f>
        <v>2030</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668"/>
      <c r="B4" s="3669"/>
      <c r="C4" s="3669"/>
      <c r="D4" s="3670"/>
      <c r="E4" s="3670"/>
      <c r="F4" s="3670"/>
      <c r="G4" s="3670"/>
      <c r="H4" s="3670"/>
      <c r="I4" s="3670"/>
      <c r="J4" s="3671"/>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3.5971000000000002</v>
      </c>
      <c r="T4" s="3083">
        <f t="shared" ca="1" si="0"/>
        <v>1598</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f>ROUND(IF(E2="商业",IF(F16="增加",C6*C7+C16,C6*C7-C16),IF(E2="住宅",IF(F16="增加",C6*C12+C16,C6*C12-C16),IF(F16="增加",C6+C16,C6-C16))),0)</f>
        <v>380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2.6875</v>
      </c>
      <c r="T5" s="3083">
        <f t="shared" ca="1" si="0"/>
        <v>1194</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380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2.0211000000000001</v>
      </c>
      <c r="T6" s="3083">
        <f t="shared" ca="1" si="0"/>
        <v>898</v>
      </c>
      <c r="U6" s="3084"/>
      <c r="V6" s="3083">
        <f t="shared" ca="1" si="1"/>
        <v>0</v>
      </c>
      <c r="W6" s="3079"/>
      <c r="X6" s="3079"/>
      <c r="Y6" s="3079"/>
      <c r="Z6" s="3079"/>
      <c r="AA6" s="3079"/>
      <c r="AB6" s="3079"/>
      <c r="AC6" s="3085"/>
      <c r="AD6" s="3086"/>
      <c r="AE6" s="3086"/>
      <c r="AF6" s="3086"/>
      <c r="AG6" s="3086"/>
      <c r="AH6" s="3086"/>
      <c r="AI6" s="3086"/>
      <c r="AJ6" s="3087"/>
    </row>
    <row r="7" spans="1:36" ht="24">
      <c r="A7" s="3672" t="str">
        <f>IF(E2="商业",IF(C8="不临58条商业街","",2),"")</f>
        <v/>
      </c>
      <c r="B7" s="1647" t="s">
        <v>1810</v>
      </c>
      <c r="C7" s="1648">
        <f>IF(C8="不临58条商业街",1,ROUND(1+(1.6*E8+1.2*E9+0.8*E10+0.4*E11)*C9,4))</f>
        <v>1</v>
      </c>
      <c r="D7" s="1649" t="s">
        <v>1811</v>
      </c>
      <c r="E7" s="1788">
        <v>50</v>
      </c>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1.6161000000000001</v>
      </c>
      <c r="T7" s="3083">
        <f t="shared" ca="1" si="0"/>
        <v>718</v>
      </c>
      <c r="U7" s="3084"/>
      <c r="V7" s="3083">
        <f t="shared" ca="1" si="1"/>
        <v>0</v>
      </c>
      <c r="W7" s="3088" t="s">
        <v>2908</v>
      </c>
      <c r="X7" s="3089" t="str">
        <f>G2</f>
        <v>十一级</v>
      </c>
      <c r="Y7" s="3089" t="s">
        <v>2909</v>
      </c>
      <c r="Z7" s="3090">
        <f>G3</f>
        <v>0.28000000000000003</v>
      </c>
      <c r="AA7" s="3091"/>
      <c r="AB7" s="3091"/>
      <c r="AC7" s="3092"/>
      <c r="AD7" s="3093"/>
      <c r="AE7" s="3093"/>
      <c r="AF7" s="3093"/>
      <c r="AG7" s="3093"/>
      <c r="AH7" s="3093"/>
      <c r="AI7" s="3093"/>
      <c r="AJ7" s="3094"/>
    </row>
    <row r="8" spans="1:36" ht="24">
      <c r="A8" s="3673"/>
      <c r="B8" s="1632" t="s">
        <v>1812</v>
      </c>
      <c r="C8" s="1789" t="s">
        <v>3072</v>
      </c>
      <c r="D8" s="1653" t="s">
        <v>1149</v>
      </c>
      <c r="E8" s="1654">
        <f>ROUND(C11/E7,4)</f>
        <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665" t="s">
        <v>2910</v>
      </c>
      <c r="X8" s="3666"/>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73"/>
      <c r="B9" s="1632" t="s">
        <v>1814</v>
      </c>
      <c r="C9" s="1658">
        <f>SUMIF(修正!C59:C119,C8,修正!E59:E119)</f>
        <v>0</v>
      </c>
      <c r="D9" s="532" t="s">
        <v>1150</v>
      </c>
      <c r="E9" s="532">
        <f>ROUND(C11/E7,4)</f>
        <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667" t="s">
        <v>2911</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73"/>
      <c r="B10" s="1632" t="s">
        <v>1816</v>
      </c>
      <c r="C10" s="532">
        <f>SUMIF(修正!C59:C119,C8,修正!F59:F119)</f>
        <v>0</v>
      </c>
      <c r="D10" s="532" t="s">
        <v>1151</v>
      </c>
      <c r="E10" s="532">
        <f>ROUND(C11/E7,4)</f>
        <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667"/>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73"/>
      <c r="B11" s="1659" t="s">
        <v>1818</v>
      </c>
      <c r="C11" s="1660">
        <f>C10/4</f>
        <v>0</v>
      </c>
      <c r="D11" s="1660" t="s">
        <v>1152</v>
      </c>
      <c r="E11" s="1660">
        <f>ROUND(C11/E7,4)</f>
        <v>0</v>
      </c>
      <c r="F11" s="1661" t="s">
        <v>1819</v>
      </c>
      <c r="G11" s="1662"/>
      <c r="H11" s="1662"/>
      <c r="I11" s="1662"/>
      <c r="J11" s="1663"/>
      <c r="K11" s="2384"/>
      <c r="L11" s="1887" t="s">
        <v>1954</v>
      </c>
      <c r="M11" s="2140">
        <f>SUMPRODUCT((区片价!B317:B337=I2)*(区片价!C3:F3=E2)*(区片价!C317:F337))</f>
        <v>380</v>
      </c>
      <c r="N11" s="2142">
        <f>SUMPRODUCT((因素修正幅度!B317:B337=I2)*(因素修正幅度!C3:F3=E2)*(因素修正幅度!C317:F337))</f>
        <v>0.14299999999999999</v>
      </c>
      <c r="O11" s="2384"/>
      <c r="P11" s="2384"/>
      <c r="Q11" s="2384"/>
      <c r="R11" s="3083">
        <v>10</v>
      </c>
      <c r="S11" s="3084"/>
      <c r="T11" s="3083">
        <f t="shared" ca="1" si="0"/>
        <v>0</v>
      </c>
      <c r="U11" s="3084"/>
      <c r="V11" s="3083">
        <f t="shared" ca="1" si="1"/>
        <v>0</v>
      </c>
      <c r="W11" s="3667" t="s">
        <v>2912</v>
      </c>
      <c r="X11" s="3099" t="s">
        <v>2909</v>
      </c>
      <c r="Y11" s="3100">
        <f>$G$3</f>
        <v>0.28000000000000003</v>
      </c>
      <c r="Z11" s="3100">
        <f t="shared" ref="Z11:AJ11" si="3">$G$3</f>
        <v>0.28000000000000003</v>
      </c>
      <c r="AA11" s="3100">
        <f t="shared" si="3"/>
        <v>0.28000000000000003</v>
      </c>
      <c r="AB11" s="3100">
        <f t="shared" si="3"/>
        <v>0.28000000000000003</v>
      </c>
      <c r="AC11" s="3100">
        <f t="shared" si="3"/>
        <v>0.28000000000000003</v>
      </c>
      <c r="AD11" s="3100">
        <f t="shared" si="3"/>
        <v>0.28000000000000003</v>
      </c>
      <c r="AE11" s="3100">
        <f t="shared" si="3"/>
        <v>0.28000000000000003</v>
      </c>
      <c r="AF11" s="3100">
        <f t="shared" si="3"/>
        <v>0.28000000000000003</v>
      </c>
      <c r="AG11" s="3100">
        <f t="shared" si="3"/>
        <v>0.28000000000000003</v>
      </c>
      <c r="AH11" s="3100">
        <f t="shared" si="3"/>
        <v>0.28000000000000003</v>
      </c>
      <c r="AI11" s="3100">
        <f t="shared" si="3"/>
        <v>0.28000000000000003</v>
      </c>
      <c r="AJ11" s="3100">
        <f t="shared" si="3"/>
        <v>0.28000000000000003</v>
      </c>
    </row>
    <row r="12" spans="1:36" ht="26.25" thickBot="1">
      <c r="A12" s="3672"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667"/>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74"/>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f t="shared" ca="1" si="0"/>
        <v>0</v>
      </c>
      <c r="U13" s="3084"/>
      <c r="V13" s="3083">
        <f t="shared" ca="1" si="1"/>
        <v>0</v>
      </c>
      <c r="W13" s="3667"/>
      <c r="X13" s="3101"/>
      <c r="Y13" s="3098">
        <f>(-0.163*(Y12^2)-0.59*Y12+7617)*(10^(-4))/Y11</f>
        <v>2.7203571428571429</v>
      </c>
      <c r="Z13" s="3098">
        <f t="shared" ref="Z13:AJ13" si="5">(-0.163*(Z12^2)-0.59*Z12+7617)*(10^(-4))/Z11</f>
        <v>2.7203571428571429</v>
      </c>
      <c r="AA13" s="3098">
        <f t="shared" si="5"/>
        <v>2.7203571428571429</v>
      </c>
      <c r="AB13" s="3098">
        <f t="shared" si="5"/>
        <v>2.7203571428571429</v>
      </c>
      <c r="AC13" s="3098">
        <f t="shared" si="5"/>
        <v>2.7203571428571429</v>
      </c>
      <c r="AD13" s="3098">
        <f t="shared" si="5"/>
        <v>2.7203571428571429</v>
      </c>
      <c r="AE13" s="3098">
        <f t="shared" si="5"/>
        <v>2.7203571428571429</v>
      </c>
      <c r="AF13" s="3098">
        <f t="shared" si="5"/>
        <v>2.7203571428571429</v>
      </c>
      <c r="AG13" s="3098">
        <f t="shared" si="5"/>
        <v>2.7203571428571429</v>
      </c>
      <c r="AH13" s="3098">
        <f t="shared" si="5"/>
        <v>2.7203571428571429</v>
      </c>
      <c r="AI13" s="3098">
        <f t="shared" si="5"/>
        <v>2.7203571428571429</v>
      </c>
      <c r="AJ13" s="3098">
        <f t="shared" si="5"/>
        <v>2.7203571428571429</v>
      </c>
    </row>
    <row r="14" spans="1:36" ht="15">
      <c r="A14" s="3674"/>
      <c r="B14" s="1672"/>
      <c r="C14" s="1792" t="s">
        <v>150</v>
      </c>
      <c r="D14" s="1488" t="s">
        <v>150</v>
      </c>
      <c r="E14" s="1488" t="s">
        <v>150</v>
      </c>
      <c r="F14" s="1793" t="s">
        <v>3073</v>
      </c>
      <c r="G14" s="1673" t="s">
        <v>1853</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675"/>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672" t="s">
        <v>1953</v>
      </c>
      <c r="B16" s="1647" t="s">
        <v>1827</v>
      </c>
      <c r="C16" s="1780">
        <f>ROUND(SUM(G17:J17)/C17,0)</f>
        <v>0</v>
      </c>
      <c r="D16" s="1678" t="s">
        <v>1828</v>
      </c>
      <c r="E16" s="1796" t="s">
        <v>3074</v>
      </c>
      <c r="F16" s="1797" t="s">
        <v>3075</v>
      </c>
      <c r="G16" s="1798"/>
      <c r="H16" s="1798"/>
      <c r="I16" s="1798"/>
      <c r="J16" s="1799"/>
      <c r="K16" s="2384"/>
      <c r="L16" s="1714" t="s">
        <v>1847</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673"/>
      <c r="B17" s="1679" t="s">
        <v>1829</v>
      </c>
      <c r="C17" s="1680">
        <f>SUMPRODUCT((修正!A2:A5=E2)*(修正!B1:M1=G2)*(修正!B2:M5))</f>
        <v>1</v>
      </c>
      <c r="D17" s="1681" t="s">
        <v>1830</v>
      </c>
      <c r="E17" s="1751" t="str">
        <f>IF(OR(G2="八级",G2="九级",G2="十级",G2="十一级",G2="十二级"),"五通一平","七通一平")</f>
        <v>五通一平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f>ROUND(IF(H19="按公示增长率计算",SUMPRODUCT((地价!A3:A19=YEAR(G19)&amp;"-"&amp;ROUNDUP(MONTH(G19)/3,0))*(地价!X2:AB2=E2)*(地价!X3:AB19)),IF(H19="地价指数",M20/M19,(1+I19)^O19)),4)</f>
        <v>1.1890000000000001</v>
      </c>
      <c r="D19" s="1694" t="s">
        <v>1154</v>
      </c>
      <c r="E19" s="1695">
        <v>41640</v>
      </c>
      <c r="F19" s="1694" t="s">
        <v>1155</v>
      </c>
      <c r="G19" s="1696">
        <f>'数据-取费表'!B2</f>
        <v>42926</v>
      </c>
      <c r="H19" s="3025" t="s">
        <v>3076</v>
      </c>
      <c r="I19" s="1697" t="str">
        <f>IF(H19="季度增幅（自定义）",SUMIF(N21:N24,E2,O21:O24),"")</f>
        <v/>
      </c>
      <c r="J19" s="1690"/>
      <c r="K19" s="2391"/>
      <c r="L19" s="3252" t="s">
        <v>2969</v>
      </c>
      <c r="M19" s="3254">
        <f>ROUND(SUMIF(地价!B2:F2,E2,地价!B19:F19),0)</f>
        <v>230</v>
      </c>
      <c r="N19" s="3250"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f ca="1">ROUND(POWER(1+G20,J20-I20)*(POWER(1+G20,I20)-1)/(POWER(1+G20,J20)-1),4)</f>
        <v>0.97219999999999995</v>
      </c>
      <c r="D20" s="1754" t="s">
        <v>1835</v>
      </c>
      <c r="E20" s="3309">
        <f ca="1">存贷款利率!D4/100</f>
        <v>4.3499999999999997E-2</v>
      </c>
      <c r="F20" s="1754" t="s">
        <v>1836</v>
      </c>
      <c r="G20" s="1755">
        <f ca="1">SUMIF(M15:P15,E2,M17:P17)</f>
        <v>4.8000000000000001E-2</v>
      </c>
      <c r="H20" s="1754" t="s">
        <v>1837</v>
      </c>
      <c r="I20" s="1756">
        <f>SUMIF('数据-取费表'!C6:C15,E2,'数据-取费表'!F6:F15)/COUNTIF('数据-取费表'!C6:C15,E2)</f>
        <v>45.03</v>
      </c>
      <c r="J20" s="1757">
        <f>IF(E2="住宅",70,IF(E2="商业",40,50))</f>
        <v>50</v>
      </c>
      <c r="K20" s="2391"/>
      <c r="L20" s="3253" t="s">
        <v>2970</v>
      </c>
      <c r="M20" s="3255">
        <f>ROUND(SUMPRODUCT((地价!A4:A19=YEAR(G19)&amp;"-"&amp;ROUNDUP(MONTH(G19)/3,0))*(地价!B2:F2=E2)*(地价!B4:F19)),0)</f>
        <v>0</v>
      </c>
      <c r="N20" s="3251" t="s">
        <v>2797</v>
      </c>
      <c r="O20" s="3026" t="s">
        <v>2798</v>
      </c>
      <c r="P20" s="3027" t="s">
        <v>2807</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3080</v>
      </c>
      <c r="C21" s="1758">
        <f>IF(B21="容积率修正",IF(G3&lt;=10,D22,J22),C23)</f>
        <v>3.6665999999999999</v>
      </c>
      <c r="D21" s="1759"/>
      <c r="E21" s="1759"/>
      <c r="F21" s="1759"/>
      <c r="G21" s="1759"/>
      <c r="H21" s="1759"/>
      <c r="I21" s="1759"/>
      <c r="J21" s="1760"/>
      <c r="K21" s="2391"/>
      <c r="N21" s="3028" t="s">
        <v>2799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3.6665999999999999</v>
      </c>
      <c r="E22" s="1631">
        <f>ROUNDDOWN(G3,1)</f>
        <v>0.2</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1">
        <f>ROUNDUP(G3,1)</f>
        <v>0.30000000000000004</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1" t="s">
        <v>1168</v>
      </c>
      <c r="J22" s="1761" t="str">
        <f>IF(G3&gt;10,D113,"——")</f>
        <v>——</v>
      </c>
      <c r="K22" s="2391"/>
      <c r="N22" s="3028" t="s">
        <v>2800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4.5711000000000004</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1.0112000000000001</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f ca="1">E29+SUM(E33:E39)</f>
        <v>3320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f ca="1">E30+SUM(I33:I39)</f>
        <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14.25">
      <c r="A29" s="1782"/>
      <c r="B29" s="1726" t="s">
        <v>1866</v>
      </c>
      <c r="C29" s="538">
        <f ca="1">ROUND(C5*C18*C19*C20*C21*C24,0)</f>
        <v>1629</v>
      </c>
      <c r="D29" s="1749">
        <f>'数据-汇总表'!F19</f>
        <v>20377.830000000002</v>
      </c>
      <c r="E29" s="1783">
        <f ca="1">ROUND(C29*D29/10000,0)</f>
        <v>3320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f ca="1">ROUND(IF(E2="工业",C29*M39,C29*M38),0)</f>
        <v>244</v>
      </c>
      <c r="D30" s="1750"/>
      <c r="E30" s="1783">
        <f ca="1">ROUND(C30*D30/10000,0)</f>
        <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f ca="1">ROUND(C5*C19*C20*C24*F33,0)</f>
        <v>267</v>
      </c>
      <c r="D33" s="1749"/>
      <c r="E33" s="532">
        <f ca="1">ROUND(C33*D33/10000,0)</f>
        <v>0</v>
      </c>
      <c r="F33" s="532">
        <f>SUMIF(修正!A45:A56,G2,修正!B45:B56)</f>
        <v>0.6</v>
      </c>
      <c r="G33" s="532">
        <f t="shared" ref="G33:G39" ca="1" si="6">ROUND(IF(E2="工业",C33*$M$39,C33*$M$38),0)</f>
        <v>40</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f ca="1">ROUND(C5*C19*C20*C24*F34,0)</f>
        <v>133</v>
      </c>
      <c r="D34" s="1749"/>
      <c r="E34" s="532">
        <f t="shared" ref="E34:E39" ca="1" si="7">ROUND(C34*D34/10000,0)</f>
        <v>0</v>
      </c>
      <c r="F34" s="532">
        <f>SUMIF(修正!A45:A56,G2,修正!C45:C56)</f>
        <v>0.3</v>
      </c>
      <c r="G34" s="532">
        <f t="shared" ca="1" si="6"/>
        <v>33</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f ca="1">ROUND(C5*C19*C20*C24*F35,0)</f>
        <v>89</v>
      </c>
      <c r="D35" s="1749"/>
      <c r="E35" s="532">
        <f t="shared" ca="1" si="7"/>
        <v>0</v>
      </c>
      <c r="F35" s="532">
        <f>SUMIF(修正!A45:A56,G2,修正!D45:D56)</f>
        <v>0.2</v>
      </c>
      <c r="G35" s="532">
        <f t="shared" ca="1" si="6"/>
        <v>22</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f ca="1">ROUND(C5*C19*C20*C24*F36,0)</f>
        <v>89</v>
      </c>
      <c r="D36" s="1749"/>
      <c r="E36" s="532">
        <f t="shared" ca="1" si="7"/>
        <v>0</v>
      </c>
      <c r="F36" s="532">
        <f>SUMIF(修正!A45:A56,G2,修正!E45:E56)</f>
        <v>0.2</v>
      </c>
      <c r="G36" s="532">
        <f t="shared" ca="1" si="6"/>
        <v>22</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f ca="1">ROUND(C5*C19*C20*C24*F37,0)</f>
        <v>89</v>
      </c>
      <c r="D37" s="1749"/>
      <c r="E37" s="532">
        <f t="shared" ca="1" si="7"/>
        <v>0</v>
      </c>
      <c r="F37" s="538">
        <f>SUMIF(修正!A45:A56,G2,修正!F45:F56)</f>
        <v>0.2</v>
      </c>
      <c r="G37" s="532">
        <f t="shared" ca="1" si="6"/>
        <v>22</v>
      </c>
      <c r="H37" s="532">
        <f t="shared" si="8"/>
        <v>0</v>
      </c>
      <c r="I37" s="532">
        <f t="shared" ca="1" si="9"/>
        <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f ca="1">ROUND(C5*C19*C20*C24*F38,0)</f>
        <v>89</v>
      </c>
      <c r="D38" s="1749"/>
      <c r="E38" s="532">
        <f t="shared" ca="1" si="7"/>
        <v>0</v>
      </c>
      <c r="F38" s="538">
        <f>SUMIF(修正!A45:A56,G2,修正!G45:G56)</f>
        <v>0.2</v>
      </c>
      <c r="G38" s="532">
        <f t="shared" ca="1" si="6"/>
        <v>22</v>
      </c>
      <c r="H38" s="532">
        <f t="shared" si="8"/>
        <v>0</v>
      </c>
      <c r="I38" s="532">
        <f t="shared" ca="1" si="9"/>
        <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f ca="1">ROUND(C5*C19*C20*C24*F39,0)</f>
        <v>67</v>
      </c>
      <c r="D39" s="1750"/>
      <c r="E39" s="561">
        <f t="shared" ca="1" si="7"/>
        <v>0</v>
      </c>
      <c r="F39" s="1746">
        <f>SUMIF(修正!A45:A56,G2,修正!H45:H56)</f>
        <v>0.15</v>
      </c>
      <c r="G39" s="561">
        <f t="shared" ca="1" si="6"/>
        <v>17</v>
      </c>
      <c r="H39" s="561">
        <f t="shared" si="8"/>
        <v>0</v>
      </c>
      <c r="I39" s="561">
        <f t="shared" ca="1" si="9"/>
        <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3038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3037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3038</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3037</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3037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1.0112000000000001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t="s">
        <v>3077</v>
      </c>
      <c r="D81" s="2605">
        <f t="shared" ref="D81:D88" si="25">SUMIF($J$80:$N$80,C81,J81:N81)</f>
        <v>6.4999999999999997E-3</v>
      </c>
      <c r="E81" s="1505">
        <f>ROUND(SUM(D81:D88),4)</f>
        <v>1.12E-2</v>
      </c>
      <c r="F81" s="1506">
        <f>IF(E2="工业",SUMIF(L1:L12,G2,N1:N12),"——")</f>
        <v>0.14299999999999999</v>
      </c>
      <c r="G81" s="2603">
        <v>6.4999999999999997E-3</v>
      </c>
      <c r="H81" s="2621">
        <f t="shared" ref="H81:H88" si="26">IFERROR(ROUNDDOWN($F$81*I81/2,4),"——")</f>
        <v>1.8499999999999999E-2</v>
      </c>
      <c r="I81" s="1504">
        <v>0.26</v>
      </c>
      <c r="J81" s="2604">
        <f t="shared" ref="J81:J88" si="27">K81+$G81</f>
        <v>1.2999999999999999E-2</v>
      </c>
      <c r="K81" s="2604">
        <f t="shared" ref="K81:K88" si="28">$L81+$G81</f>
        <v>6.4999999999999997E-3</v>
      </c>
      <c r="L81" s="2604">
        <v>0</v>
      </c>
      <c r="M81" s="2604">
        <f t="shared" ref="M81:N88" si="29">L81-$G81</f>
        <v>-6.4999999999999997E-3</v>
      </c>
      <c r="N81" s="2604">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3077</v>
      </c>
      <c r="D82" s="2605">
        <f t="shared" si="25"/>
        <v>8.0000000000000002E-3</v>
      </c>
      <c r="E82" s="1517"/>
      <c r="F82" s="1506"/>
      <c r="G82" s="2603">
        <v>8.0000000000000002E-3</v>
      </c>
      <c r="H82" s="2621">
        <f t="shared" si="26"/>
        <v>2.35E-2</v>
      </c>
      <c r="I82" s="1504">
        <v>0.33</v>
      </c>
      <c r="J82" s="2604">
        <f t="shared" si="27"/>
        <v>1.6E-2</v>
      </c>
      <c r="K82" s="2604">
        <f t="shared" si="28"/>
        <v>8.0000000000000002E-3</v>
      </c>
      <c r="L82" s="2604">
        <v>0</v>
      </c>
      <c r="M82" s="2604">
        <f t="shared" si="29"/>
        <v>-8.0000000000000002E-3</v>
      </c>
      <c r="N82" s="2604">
        <f t="shared" si="29"/>
        <v>-1.6E-2</v>
      </c>
      <c r="Z82" s="1628"/>
      <c r="AA82" s="1627"/>
      <c r="AG82" s="1626"/>
      <c r="AK82" s="1627"/>
    </row>
    <row r="83" spans="1:37" ht="24">
      <c r="A83" s="1498" t="s">
        <v>109</v>
      </c>
      <c r="B83" s="1507">
        <f>估价对象房地状况!G17</f>
        <v>0</v>
      </c>
      <c r="C83" s="1488" t="s">
        <v>3077</v>
      </c>
      <c r="D83" s="2605">
        <f t="shared" si="25"/>
        <v>1.1999999999999999E-3</v>
      </c>
      <c r="E83" s="1517"/>
      <c r="F83" s="1506"/>
      <c r="G83" s="2603">
        <v>1.1999999999999999E-3</v>
      </c>
      <c r="H83" s="2621">
        <f t="shared" si="26"/>
        <v>3.5000000000000001E-3</v>
      </c>
      <c r="I83" s="1504">
        <v>0.05</v>
      </c>
      <c r="J83" s="2604">
        <f t="shared" si="27"/>
        <v>2.3999999999999998E-3</v>
      </c>
      <c r="K83" s="2604">
        <f t="shared" si="28"/>
        <v>1.1999999999999999E-3</v>
      </c>
      <c r="L83" s="2604">
        <v>0</v>
      </c>
      <c r="M83" s="2604">
        <f t="shared" si="29"/>
        <v>-1.1999999999999999E-3</v>
      </c>
      <c r="N83" s="2604">
        <f t="shared" si="29"/>
        <v>-2.3999999999999998E-3</v>
      </c>
      <c r="Z83" s="1628"/>
      <c r="AA83" s="1627"/>
      <c r="AG83" s="1626"/>
      <c r="AK83" s="1627"/>
    </row>
    <row r="84" spans="1:37" ht="14.25">
      <c r="A84" s="1498" t="s">
        <v>1796</v>
      </c>
      <c r="B84" s="1507">
        <f>估价对象房地状况!G22</f>
        <v>0</v>
      </c>
      <c r="C84" s="1488" t="s">
        <v>3078</v>
      </c>
      <c r="D84" s="2605">
        <f t="shared" si="25"/>
        <v>-1E-3</v>
      </c>
      <c r="E84" s="1517"/>
      <c r="F84" s="1506"/>
      <c r="G84" s="2603">
        <v>1E-3</v>
      </c>
      <c r="H84" s="2621">
        <f t="shared" si="26"/>
        <v>2.8E-3</v>
      </c>
      <c r="I84" s="1504">
        <v>0.04</v>
      </c>
      <c r="J84" s="2604">
        <f t="shared" si="27"/>
        <v>2E-3</v>
      </c>
      <c r="K84" s="2604">
        <f t="shared" si="28"/>
        <v>1E-3</v>
      </c>
      <c r="L84" s="2604">
        <v>0</v>
      </c>
      <c r="M84" s="2604">
        <f t="shared" si="29"/>
        <v>-1E-3</v>
      </c>
      <c r="N84" s="2604">
        <f t="shared" si="29"/>
        <v>-2E-3</v>
      </c>
      <c r="Z84" s="1628"/>
      <c r="AA84" s="1627"/>
      <c r="AG84" s="1626"/>
      <c r="AK84" s="1627"/>
    </row>
    <row r="85" spans="1:37" ht="24">
      <c r="A85" s="1498" t="s">
        <v>1793</v>
      </c>
      <c r="B85" s="2601" t="str">
        <f>估价对象房地状况!G19</f>
        <v>估价对象所在区域公共配套设施齐备情况</v>
      </c>
      <c r="C85" s="1488" t="s">
        <v>3078</v>
      </c>
      <c r="D85" s="2605">
        <f t="shared" si="25"/>
        <v>-1.5E-3</v>
      </c>
      <c r="E85" s="1517"/>
      <c r="F85" s="1506"/>
      <c r="G85" s="2603">
        <v>1.5E-3</v>
      </c>
      <c r="H85" s="2621">
        <f t="shared" si="26"/>
        <v>4.1999999999999997E-3</v>
      </c>
      <c r="I85" s="1504">
        <v>0.06</v>
      </c>
      <c r="J85" s="2604">
        <f t="shared" si="27"/>
        <v>3.0000000000000001E-3</v>
      </c>
      <c r="K85" s="2604">
        <f t="shared" si="28"/>
        <v>1.5E-3</v>
      </c>
      <c r="L85" s="2604">
        <v>0</v>
      </c>
      <c r="M85" s="2604">
        <f t="shared" si="29"/>
        <v>-1.5E-3</v>
      </c>
      <c r="N85" s="2604">
        <f t="shared" si="29"/>
        <v>-3.0000000000000001E-3</v>
      </c>
      <c r="Z85" s="1628"/>
      <c r="AA85" s="1627"/>
      <c r="AG85" s="1626"/>
      <c r="AK85" s="1627"/>
    </row>
    <row r="86" spans="1:37" ht="24">
      <c r="A86" s="1498" t="s">
        <v>1794</v>
      </c>
      <c r="B86" s="2601" t="str">
        <f>估价对象房地状况!G20</f>
        <v>估价对象所在区域基础设施水平</v>
      </c>
      <c r="C86" s="1488" t="s">
        <v>3078</v>
      </c>
      <c r="D86" s="2605">
        <f t="shared" si="25"/>
        <v>-3.5000000000000001E-3</v>
      </c>
      <c r="E86" s="1517"/>
      <c r="F86" s="1506"/>
      <c r="G86" s="2603">
        <v>3.5000000000000001E-3</v>
      </c>
      <c r="H86" s="2621">
        <f t="shared" si="26"/>
        <v>1.0699999999999999E-2</v>
      </c>
      <c r="I86" s="1504">
        <v>0.15</v>
      </c>
      <c r="J86" s="2604">
        <f t="shared" si="27"/>
        <v>7.0000000000000001E-3</v>
      </c>
      <c r="K86" s="2604">
        <f t="shared" si="28"/>
        <v>3.5000000000000001E-3</v>
      </c>
      <c r="L86" s="2604">
        <v>0</v>
      </c>
      <c r="M86" s="2604">
        <f t="shared" si="29"/>
        <v>-3.5000000000000001E-3</v>
      </c>
      <c r="N86" s="2604">
        <f t="shared" si="29"/>
        <v>-7.0000000000000001E-3</v>
      </c>
      <c r="Z86" s="1628"/>
      <c r="AA86" s="1627"/>
      <c r="AG86" s="1626"/>
      <c r="AK86" s="1627"/>
    </row>
    <row r="87" spans="1:37" ht="24">
      <c r="A87" s="1498" t="s">
        <v>1792</v>
      </c>
      <c r="B87" s="3311" t="s">
        <v>2507</v>
      </c>
      <c r="C87" s="1488" t="s">
        <v>3079</v>
      </c>
      <c r="D87" s="2605">
        <f t="shared" si="25"/>
        <v>0</v>
      </c>
      <c r="E87" s="1517"/>
      <c r="F87" s="1506"/>
      <c r="G87" s="2603">
        <v>1.1999999999999999E-3</v>
      </c>
      <c r="H87" s="2621">
        <f t="shared" si="26"/>
        <v>3.5000000000000001E-3</v>
      </c>
      <c r="I87" s="1504">
        <v>0.05</v>
      </c>
      <c r="J87" s="2604">
        <f t="shared" si="27"/>
        <v>2.3999999999999998E-3</v>
      </c>
      <c r="K87" s="2604">
        <f t="shared" si="28"/>
        <v>1.1999999999999999E-3</v>
      </c>
      <c r="L87" s="2604">
        <v>0</v>
      </c>
      <c r="M87" s="2604">
        <f t="shared" si="29"/>
        <v>-1.1999999999999999E-3</v>
      </c>
      <c r="N87" s="2604">
        <f t="shared" si="29"/>
        <v>-2.3999999999999998E-3</v>
      </c>
      <c r="Z87" s="1628"/>
      <c r="AA87" s="1627"/>
      <c r="AG87" s="1626"/>
      <c r="AK87" s="1627"/>
    </row>
    <row r="88" spans="1:37" ht="36.75" thickBot="1">
      <c r="A88" s="1511" t="s">
        <v>1798</v>
      </c>
      <c r="B88" s="2602" t="str">
        <f>估价对象房地状况!G18</f>
        <v>该园区内是否有污染型企业，绿化情况，卫生条件，整体环境状况判断</v>
      </c>
      <c r="C88" s="1488" t="s">
        <v>3077</v>
      </c>
      <c r="D88" s="2605">
        <f t="shared" si="25"/>
        <v>1.5E-3</v>
      </c>
      <c r="E88" s="1518"/>
      <c r="F88" s="1506"/>
      <c r="G88" s="2603">
        <v>1.5E-3</v>
      </c>
      <c r="H88" s="2621">
        <f t="shared" si="26"/>
        <v>4.1999999999999997E-3</v>
      </c>
      <c r="I88" s="1513">
        <v>0.06</v>
      </c>
      <c r="J88" s="2604">
        <f t="shared" si="27"/>
        <v>3.0000000000000001E-3</v>
      </c>
      <c r="K88" s="2604">
        <f t="shared" si="28"/>
        <v>1.5E-3</v>
      </c>
      <c r="L88" s="2604">
        <v>0</v>
      </c>
      <c r="M88" s="2604">
        <f t="shared" si="29"/>
        <v>-1.5E-3</v>
      </c>
      <c r="N88" s="2604">
        <f t="shared" si="29"/>
        <v>-3.0000000000000001E-3</v>
      </c>
      <c r="Z88" s="1628"/>
      <c r="AA88" s="1627"/>
      <c r="AG88" s="1626"/>
      <c r="AK88" s="1627"/>
    </row>
    <row r="90" spans="1:37">
      <c r="A90" s="3676" t="s">
        <v>1767</v>
      </c>
      <c r="B90" s="3676"/>
      <c r="C90" s="3676"/>
      <c r="D90" s="3676"/>
      <c r="E90" s="3676"/>
      <c r="F90" s="3676"/>
      <c r="G90" s="3676"/>
      <c r="H90" s="3676"/>
      <c r="I90" s="3676"/>
      <c r="J90" s="3676"/>
      <c r="K90" s="2610"/>
      <c r="L90" s="2610"/>
      <c r="M90" s="2610"/>
      <c r="N90" s="2610"/>
    </row>
    <row r="91" spans="1:37">
      <c r="A91" s="3678" t="s">
        <v>68</v>
      </c>
      <c r="B91" s="3678" t="s">
        <v>1768</v>
      </c>
      <c r="C91" s="1587" t="s">
        <v>1769</v>
      </c>
      <c r="D91" s="1588"/>
      <c r="E91" s="1588"/>
      <c r="F91" s="1588"/>
      <c r="G91" s="1588"/>
      <c r="H91" s="1588"/>
      <c r="I91" s="1588"/>
      <c r="J91" s="1589"/>
      <c r="K91" s="1577"/>
      <c r="L91" s="1577"/>
      <c r="M91" s="1577"/>
      <c r="N91" s="1577"/>
    </row>
    <row r="92" spans="1:37">
      <c r="A92" s="3678"/>
      <c r="B92" s="3678"/>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9"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0"/>
      <c r="B99" s="1590" t="s">
        <v>1771</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681"/>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679" t="s">
        <v>1772</v>
      </c>
      <c r="B101" s="1594" t="s">
        <v>93</v>
      </c>
      <c r="C101" s="1595">
        <f>$G$3</f>
        <v>0.28000000000000003</v>
      </c>
      <c r="D101" s="1595">
        <f t="shared" ref="D101:N101" si="31">$G$3</f>
        <v>0.28000000000000003</v>
      </c>
      <c r="E101" s="1595">
        <f t="shared" si="31"/>
        <v>0.28000000000000003</v>
      </c>
      <c r="F101" s="1595">
        <f t="shared" si="31"/>
        <v>0.28000000000000003</v>
      </c>
      <c r="G101" s="1595">
        <f t="shared" si="31"/>
        <v>0.28000000000000003</v>
      </c>
      <c r="H101" s="1595">
        <f t="shared" si="31"/>
        <v>0.28000000000000003</v>
      </c>
      <c r="I101" s="1595">
        <f t="shared" si="31"/>
        <v>0.28000000000000003</v>
      </c>
      <c r="J101" s="1595">
        <f t="shared" si="31"/>
        <v>0.28000000000000003</v>
      </c>
      <c r="K101" s="1595">
        <f t="shared" si="31"/>
        <v>0.28000000000000003</v>
      </c>
      <c r="L101" s="1595">
        <f t="shared" si="31"/>
        <v>0.28000000000000003</v>
      </c>
      <c r="M101" s="1595">
        <f t="shared" si="31"/>
        <v>0.28000000000000003</v>
      </c>
      <c r="N101" s="1595">
        <f t="shared" si="31"/>
        <v>0.28000000000000003</v>
      </c>
    </row>
    <row r="102" spans="1:14">
      <c r="A102" s="3680"/>
      <c r="B102" s="1590">
        <v>1</v>
      </c>
      <c r="C102" s="1591">
        <f>1.9362/C101</f>
        <v>6.9149999999999991</v>
      </c>
      <c r="D102" s="1591">
        <f>1.9362/D101</f>
        <v>6.9149999999999991</v>
      </c>
      <c r="E102" s="1591">
        <f>1.8629/E101</f>
        <v>6.6532142857142853</v>
      </c>
      <c r="F102" s="1591">
        <f>1.8629/F101</f>
        <v>6.6532142857142853</v>
      </c>
      <c r="G102" s="1591">
        <f>1.8629/G101</f>
        <v>6.6532142857142853</v>
      </c>
      <c r="H102" s="1591">
        <f>1.8629/H101</f>
        <v>6.6532142857142853</v>
      </c>
      <c r="I102" s="1591">
        <f>1.8629/I101</f>
        <v>6.6532142857142853</v>
      </c>
      <c r="J102" s="1591">
        <f>1.942/J101</f>
        <v>6.9357142857142851</v>
      </c>
      <c r="K102" s="1591">
        <f>1.942/K101</f>
        <v>6.9357142857142851</v>
      </c>
      <c r="L102" s="1591">
        <f>1.942/L101</f>
        <v>6.9357142857142851</v>
      </c>
      <c r="M102" s="1591">
        <f>1.942/M101</f>
        <v>6.9357142857142851</v>
      </c>
      <c r="N102" s="1591">
        <f>1.942/N101</f>
        <v>6.9357142857142851</v>
      </c>
    </row>
    <row r="103" spans="1:14">
      <c r="A103" s="3680"/>
      <c r="B103" s="1590">
        <v>2</v>
      </c>
      <c r="C103" s="1591">
        <f>1.4198/C101</f>
        <v>5.0707142857142848</v>
      </c>
      <c r="D103" s="1591">
        <f>1.4198/D101</f>
        <v>5.0707142857142848</v>
      </c>
      <c r="E103" s="1591">
        <f>1.3372/E101</f>
        <v>4.7757142857142849</v>
      </c>
      <c r="F103" s="1591">
        <f>1.3372/F101</f>
        <v>4.7757142857142849</v>
      </c>
      <c r="G103" s="1591">
        <f>1.3372/G101</f>
        <v>4.7757142857142849</v>
      </c>
      <c r="H103" s="1591">
        <f>1.3372/H101</f>
        <v>4.7757142857142849</v>
      </c>
      <c r="I103" s="1591">
        <f>1.3372/I101</f>
        <v>4.7757142857142849</v>
      </c>
      <c r="J103" s="1591">
        <f>1.2799/J101</f>
        <v>4.571071428571428</v>
      </c>
      <c r="K103" s="1591">
        <f>1.2799/K101</f>
        <v>4.571071428571428</v>
      </c>
      <c r="L103" s="1591">
        <f>1.2799/L101</f>
        <v>4.571071428571428</v>
      </c>
      <c r="M103" s="1591">
        <f>1.2799/M101</f>
        <v>4.571071428571428</v>
      </c>
      <c r="N103" s="1591">
        <f>1.2799/N101</f>
        <v>4.571071428571428</v>
      </c>
    </row>
    <row r="104" spans="1:14">
      <c r="A104" s="3680"/>
      <c r="B104" s="1590">
        <v>3</v>
      </c>
      <c r="C104" s="1591">
        <f>1.1594/C101</f>
        <v>4.1407142857142851</v>
      </c>
      <c r="D104" s="1591">
        <f>1.1594/D101</f>
        <v>4.1407142857142851</v>
      </c>
      <c r="E104" s="1591">
        <f>1.0788/E101</f>
        <v>3.8528571428571423</v>
      </c>
      <c r="F104" s="1591">
        <f>1.0788/F101</f>
        <v>3.8528571428571423</v>
      </c>
      <c r="G104" s="1591">
        <f>1.0788/G101</f>
        <v>3.8528571428571423</v>
      </c>
      <c r="H104" s="1591">
        <f>1.0788/H101</f>
        <v>3.8528571428571423</v>
      </c>
      <c r="I104" s="1591">
        <f>1.0788/I101</f>
        <v>3.8528571428571423</v>
      </c>
      <c r="J104" s="1591">
        <f>1.0072/J101</f>
        <v>3.597142857142857</v>
      </c>
      <c r="K104" s="1591">
        <f>1.0072/K101</f>
        <v>3.597142857142857</v>
      </c>
      <c r="L104" s="1591">
        <f>1.0072/L101</f>
        <v>3.597142857142857</v>
      </c>
      <c r="M104" s="1591">
        <f>1.0072/M101</f>
        <v>3.597142857142857</v>
      </c>
      <c r="N104" s="1591">
        <f>1.0072/N101</f>
        <v>3.597142857142857</v>
      </c>
    </row>
    <row r="105" spans="1:14">
      <c r="A105" s="3680"/>
      <c r="B105" s="1590">
        <v>4</v>
      </c>
      <c r="C105" s="1591">
        <f>0.9622/C101</f>
        <v>3.4364285714285714</v>
      </c>
      <c r="D105" s="1591">
        <f>0.9622/D101</f>
        <v>3.4364285714285714</v>
      </c>
      <c r="E105" s="1591">
        <f>0.8656/E101</f>
        <v>3.0914285714285712</v>
      </c>
      <c r="F105" s="1591">
        <f>0.8656/F101</f>
        <v>3.0914285714285712</v>
      </c>
      <c r="G105" s="1591">
        <f>0.8656/G101</f>
        <v>3.0914285714285712</v>
      </c>
      <c r="H105" s="1591">
        <f>0.8656/H101</f>
        <v>3.0914285714285712</v>
      </c>
      <c r="I105" s="1591">
        <f>0.8656/I101</f>
        <v>3.0914285714285712</v>
      </c>
      <c r="J105" s="1591">
        <f>0.7525/J101</f>
        <v>2.6874999999999996</v>
      </c>
      <c r="K105" s="1591">
        <f>0.7525/K101</f>
        <v>2.6874999999999996</v>
      </c>
      <c r="L105" s="1591">
        <f>0.7525/L101</f>
        <v>2.6874999999999996</v>
      </c>
      <c r="M105" s="1591">
        <f>0.7525/M101</f>
        <v>2.6874999999999996</v>
      </c>
      <c r="N105" s="1591">
        <f>0.7525/N101</f>
        <v>2.6874999999999996</v>
      </c>
    </row>
    <row r="106" spans="1:14">
      <c r="A106" s="3680"/>
      <c r="B106" s="1590">
        <v>5</v>
      </c>
      <c r="C106" s="1591">
        <f>0.8417/C101</f>
        <v>3.0060714285714285</v>
      </c>
      <c r="D106" s="1591">
        <f>0.8417/D101</f>
        <v>3.0060714285714285</v>
      </c>
      <c r="E106" s="1591">
        <f>0.7371/E101</f>
        <v>2.6324999999999998</v>
      </c>
      <c r="F106" s="1591">
        <f>0.7371/F101</f>
        <v>2.6324999999999998</v>
      </c>
      <c r="G106" s="1591">
        <f>0.7371/G101</f>
        <v>2.6324999999999998</v>
      </c>
      <c r="H106" s="1591">
        <f>0.7371/H101</f>
        <v>2.6324999999999998</v>
      </c>
      <c r="I106" s="1591">
        <f>0.7371/I101</f>
        <v>2.6324999999999998</v>
      </c>
      <c r="J106" s="1591">
        <f>0.5659/J101</f>
        <v>2.0210714285714282</v>
      </c>
      <c r="K106" s="1591">
        <f>0.5659/K101</f>
        <v>2.0210714285714282</v>
      </c>
      <c r="L106" s="1591">
        <f>0.5659/L101</f>
        <v>2.0210714285714282</v>
      </c>
      <c r="M106" s="1591">
        <f>0.5659/M101</f>
        <v>2.0210714285714282</v>
      </c>
      <c r="N106" s="1591">
        <f>0.5659/N101</f>
        <v>2.0210714285714282</v>
      </c>
    </row>
    <row r="107" spans="1:14">
      <c r="A107" s="3680"/>
      <c r="B107" s="1590">
        <v>6</v>
      </c>
      <c r="C107" s="1591">
        <f>0.7608/C101</f>
        <v>2.7171428571428571</v>
      </c>
      <c r="D107" s="1591">
        <f>0.7608/D101</f>
        <v>2.7171428571428571</v>
      </c>
      <c r="E107" s="1591">
        <f>0.6482/E101</f>
        <v>2.3149999999999999</v>
      </c>
      <c r="F107" s="1591">
        <f>0.6482/F101</f>
        <v>2.3149999999999999</v>
      </c>
      <c r="G107" s="1591">
        <f>0.6482/G101</f>
        <v>2.3149999999999999</v>
      </c>
      <c r="H107" s="1591">
        <f>0.6482/H101</f>
        <v>2.3149999999999999</v>
      </c>
      <c r="I107" s="1591">
        <f>0.6482/I101</f>
        <v>2.3149999999999999</v>
      </c>
      <c r="J107" s="1591">
        <f>0.4525/J101</f>
        <v>1.6160714285714284</v>
      </c>
      <c r="K107" s="1591">
        <f>0.4525/K101</f>
        <v>1.6160714285714284</v>
      </c>
      <c r="L107" s="1591">
        <f>0.4525/L101</f>
        <v>1.6160714285714284</v>
      </c>
      <c r="M107" s="1591">
        <f>0.4525/M101</f>
        <v>1.6160714285714284</v>
      </c>
      <c r="N107" s="1591">
        <f>0.4525/N101</f>
        <v>1.6160714285714284</v>
      </c>
    </row>
    <row r="108" spans="1:14">
      <c r="A108" s="3680"/>
      <c r="B108" s="3682" t="s">
        <v>1774</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681"/>
      <c r="B109" s="3683"/>
      <c r="C109" s="1593">
        <f>(-0.163*(C108^2)-0.59*C108+7617)*(10^(-4))/C101</f>
        <v>2.719702857142857</v>
      </c>
      <c r="D109" s="1593">
        <f>(-0.163*(D108^2)-0.59*D108+7617)*(10^(-4))/D101</f>
        <v>2.719702857142857</v>
      </c>
      <c r="E109" s="1593">
        <f>(-0.161*(E108^2)-7.509*E108+6533)*(10^(-4))/E101</f>
        <v>2.3276207142857142</v>
      </c>
      <c r="F109" s="1593">
        <f>(-0.161*(F108^2)-7.509*F108+6533)*(10^(-4))/F101</f>
        <v>2.3276207142857142</v>
      </c>
      <c r="G109" s="1593">
        <f>(-0.161*(G108^2)-7.509*G108+6533)*(10^(-4))/G101</f>
        <v>2.3276207142857142</v>
      </c>
      <c r="H109" s="1593">
        <f>(-0.161*(H108^2)-7.509*H108+6533)*(10^(-4))/H101</f>
        <v>2.3276207142857142</v>
      </c>
      <c r="I109" s="1593">
        <f>(-0.161*(I108^2)-7.509*I108+6533)*(10^(-4))/I101</f>
        <v>2.3276207142857142</v>
      </c>
      <c r="J109" s="1593">
        <f>(-0.214*(J108^2)-21.991*J108+4665)*(10^(-4))/J101</f>
        <v>1.6500578571428572</v>
      </c>
      <c r="K109" s="1593">
        <f>(-0.214*(K108^2)-21.991*K108+4665)*(10^(-4))/K101</f>
        <v>1.6500578571428572</v>
      </c>
      <c r="L109" s="1593">
        <f>(-0.214*(L108^2)-21.991*L108+4665)*(10^(-4))/L101</f>
        <v>1.6500578571428572</v>
      </c>
      <c r="M109" s="1593">
        <f>(-0.214*(M108^2)-21.991*M108+4665)*(10^(-4))/M101</f>
        <v>1.6500578571428572</v>
      </c>
      <c r="N109" s="1593">
        <f>(-0.214*(N108^2)-21.991*N108+4665)*(10^(-4))/N101</f>
        <v>1.6500578571428572</v>
      </c>
    </row>
    <row r="110" spans="1:14">
      <c r="A110" s="3677" t="s">
        <v>1775</v>
      </c>
      <c r="B110" s="3677"/>
      <c r="C110" s="3677"/>
      <c r="D110" s="3677"/>
      <c r="E110" s="3677"/>
      <c r="F110" s="3677"/>
      <c r="G110" s="3677"/>
      <c r="H110" s="3677"/>
      <c r="I110" s="3677"/>
      <c r="J110" s="3677"/>
      <c r="K110" s="2608"/>
      <c r="L110" s="2608"/>
      <c r="M110" s="2608"/>
      <c r="N110" s="2608"/>
    </row>
    <row r="112" spans="1:14" ht="12.75" thickBot="1"/>
    <row r="113" spans="1:13" ht="25.5" thickBot="1">
      <c r="A113" s="1603" t="s">
        <v>1777</v>
      </c>
      <c r="B113" s="2611">
        <f>G3</f>
        <v>0.28000000000000003</v>
      </c>
      <c r="C113" s="1604" t="s">
        <v>1778</v>
      </c>
      <c r="D113" s="1605">
        <f>SUMPRODUCT((A115:A118=F113)*(B114:M114=H113)*B115:M118)</f>
        <v>0.56289999999999996</v>
      </c>
      <c r="E113" s="1606" t="s">
        <v>68</v>
      </c>
      <c r="F113" s="1607" t="str">
        <f>E2</f>
        <v>工业</v>
      </c>
      <c r="G113" s="1606" t="s">
        <v>1567</v>
      </c>
      <c r="H113" s="1607" t="str">
        <f>G2</f>
        <v>十一级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0.93089999999999995</v>
      </c>
      <c r="C115" s="1617">
        <f>B115</f>
        <v>0.93089999999999995</v>
      </c>
      <c r="D115" s="1617">
        <f>ROUND(0.8331-0.0109*B113,4)</f>
        <v>0.83</v>
      </c>
      <c r="E115" s="1617">
        <f>D115</f>
        <v>0.83</v>
      </c>
      <c r="F115" s="1617">
        <f>E115</f>
        <v>0.83</v>
      </c>
      <c r="G115" s="1617">
        <f>F115</f>
        <v>0.83</v>
      </c>
      <c r="H115" s="1617">
        <f>G115</f>
        <v>0.83</v>
      </c>
      <c r="I115" s="1617">
        <f>ROUND(0.689-0.0155*B113,4)</f>
        <v>0.68469999999999998</v>
      </c>
      <c r="J115" s="1617">
        <f t="shared" ref="J115:M118" si="33">I115</f>
        <v>0.68469999999999998</v>
      </c>
      <c r="K115" s="1617">
        <f t="shared" si="33"/>
        <v>0.68469999999999998</v>
      </c>
      <c r="L115" s="1617">
        <f t="shared" si="33"/>
        <v>0.68469999999999998</v>
      </c>
      <c r="M115" s="1618">
        <f t="shared" si="33"/>
        <v>0.68469999999999998</v>
      </c>
    </row>
    <row r="116" spans="1:13" ht="12.75">
      <c r="A116" s="1616" t="s">
        <v>1780</v>
      </c>
      <c r="B116" s="1617">
        <f>ROUND(0.949-0.012*B113,4)</f>
        <v>0.9456</v>
      </c>
      <c r="C116" s="1617">
        <f>B116</f>
        <v>0.9456</v>
      </c>
      <c r="D116" s="1617">
        <f>ROUND(0.8567-0.013*B113,4)</f>
        <v>0.85309999999999997</v>
      </c>
      <c r="E116" s="1617">
        <f t="shared" ref="E116:H117" si="34">D116</f>
        <v>0.85309999999999997</v>
      </c>
      <c r="F116" s="1617">
        <f t="shared" si="34"/>
        <v>0.85309999999999997</v>
      </c>
      <c r="G116" s="1617">
        <f t="shared" si="34"/>
        <v>0.85309999999999997</v>
      </c>
      <c r="H116" s="1617">
        <f t="shared" si="34"/>
        <v>0.85309999999999997</v>
      </c>
      <c r="I116" s="1617">
        <f>ROUND(0.7694-0.014*B113,4)</f>
        <v>0.76549999999999996</v>
      </c>
      <c r="J116" s="1617">
        <f t="shared" si="33"/>
        <v>0.76549999999999996</v>
      </c>
      <c r="K116" s="1617">
        <f t="shared" si="33"/>
        <v>0.76549999999999996</v>
      </c>
      <c r="L116" s="1617">
        <f t="shared" si="33"/>
        <v>0.76549999999999996</v>
      </c>
      <c r="M116" s="1618">
        <f t="shared" si="33"/>
        <v>0.76549999999999996</v>
      </c>
    </row>
    <row r="117" spans="1:13" ht="12.75">
      <c r="A117" s="1619" t="s">
        <v>984</v>
      </c>
      <c r="B117" s="1617">
        <f>ROUND(0.8808-0.006*B113,4)</f>
        <v>0.87909999999999999</v>
      </c>
      <c r="C117" s="1617">
        <f>B117</f>
        <v>0.87909999999999999</v>
      </c>
      <c r="D117" s="1617">
        <f>ROUND(0.8748-0.008*B113,4)</f>
        <v>0.87260000000000004</v>
      </c>
      <c r="E117" s="1617">
        <f t="shared" si="34"/>
        <v>0.87260000000000004</v>
      </c>
      <c r="F117" s="1617">
        <f t="shared" si="34"/>
        <v>0.87260000000000004</v>
      </c>
      <c r="G117" s="1617">
        <f t="shared" si="34"/>
        <v>0.87260000000000004</v>
      </c>
      <c r="H117" s="1617">
        <f t="shared" si="34"/>
        <v>0.87260000000000004</v>
      </c>
      <c r="I117" s="1617">
        <f>ROUND(0.7412-0.0095*B113,4)</f>
        <v>0.73850000000000005</v>
      </c>
      <c r="J117" s="1617">
        <f t="shared" si="33"/>
        <v>0.73850000000000005</v>
      </c>
      <c r="K117" s="1617">
        <f t="shared" si="33"/>
        <v>0.73850000000000005</v>
      </c>
      <c r="L117" s="1617">
        <f t="shared" si="33"/>
        <v>0.73850000000000005</v>
      </c>
      <c r="M117" s="1618">
        <f t="shared" si="33"/>
        <v>0.73850000000000005</v>
      </c>
    </row>
    <row r="118" spans="1:13" ht="13.5" thickBot="1">
      <c r="A118" s="1123" t="s">
        <v>1781</v>
      </c>
      <c r="B118" s="1620">
        <f>ROUND(0.7275-0.01*B113,4)</f>
        <v>0.72470000000000001</v>
      </c>
      <c r="C118" s="1620">
        <f>B118</f>
        <v>0.72470000000000001</v>
      </c>
      <c r="D118" s="1620">
        <f>ROUND(0.7043-0.012*B113,4)</f>
        <v>0.70089999999999997</v>
      </c>
      <c r="E118" s="1620">
        <f>D118</f>
        <v>0.70089999999999997</v>
      </c>
      <c r="F118" s="1620">
        <f>E118</f>
        <v>0.70089999999999997</v>
      </c>
      <c r="G118" s="1620">
        <f>ROUND(0.6299-0.0122*B113,4)</f>
        <v>0.62649999999999995</v>
      </c>
      <c r="H118" s="1620">
        <f>G118</f>
        <v>0.62649999999999995</v>
      </c>
      <c r="I118" s="1620">
        <f>ROUND(0.5667-0.0136*B113,4)</f>
        <v>0.56289999999999996</v>
      </c>
      <c r="J118" s="1620">
        <f t="shared" si="33"/>
        <v>0.56289999999999996</v>
      </c>
      <c r="K118" s="1620">
        <f t="shared" si="33"/>
        <v>0.56289999999999996</v>
      </c>
      <c r="L118" s="1620">
        <f t="shared" si="33"/>
        <v>0.56289999999999996</v>
      </c>
      <c r="M118" s="1621">
        <f t="shared" si="33"/>
        <v>0.56289999999999996</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8" t="s">
        <v>1204</v>
      </c>
      <c r="B18" s="1573" t="s">
        <v>1581</v>
      </c>
      <c r="C18" s="1574" t="s">
        <v>1582</v>
      </c>
      <c r="D18" s="1575"/>
      <c r="E18" s="1573">
        <v>1</v>
      </c>
      <c r="F18" s="1576" t="s">
        <v>1583</v>
      </c>
      <c r="G18" s="1577"/>
      <c r="H18" s="1569"/>
      <c r="I18" s="1569"/>
    </row>
    <row r="19" spans="1:9" s="1578" customFormat="1" ht="19.5" customHeight="1">
      <c r="A19" s="3678"/>
      <c r="B19" s="3678" t="s">
        <v>1584</v>
      </c>
      <c r="C19" s="1574" t="s">
        <v>1585</v>
      </c>
      <c r="D19" s="1575"/>
      <c r="E19" s="1573">
        <v>0.9</v>
      </c>
      <c r="F19" s="1576" t="s">
        <v>1586</v>
      </c>
      <c r="G19" s="1577"/>
      <c r="H19" s="1569"/>
      <c r="I19" s="1569"/>
    </row>
    <row r="20" spans="1:9" s="1578" customFormat="1" ht="19.5" customHeight="1">
      <c r="A20" s="3678"/>
      <c r="B20" s="3678"/>
      <c r="C20" s="1574" t="s">
        <v>1587</v>
      </c>
      <c r="D20" s="1575"/>
      <c r="E20" s="1573">
        <v>1.1000000000000001</v>
      </c>
      <c r="F20" s="1576" t="s">
        <v>1588</v>
      </c>
      <c r="G20" s="1577"/>
      <c r="H20" s="1569"/>
      <c r="I20" s="1569"/>
    </row>
    <row r="21" spans="1:9" s="1578" customFormat="1" ht="19.5" customHeight="1">
      <c r="A21" s="3678"/>
      <c r="B21" s="3678"/>
      <c r="C21" s="1574" t="s">
        <v>1589</v>
      </c>
      <c r="D21" s="1575"/>
      <c r="E21" s="1573">
        <v>0.8</v>
      </c>
      <c r="F21" s="1576" t="s">
        <v>1590</v>
      </c>
      <c r="G21" s="1577"/>
      <c r="H21" s="1569"/>
      <c r="I21" s="1569"/>
    </row>
    <row r="22" spans="1:9" s="1578" customFormat="1" ht="19.5" customHeight="1">
      <c r="A22" s="3678"/>
      <c r="B22" s="3678"/>
      <c r="C22" s="1574" t="s">
        <v>1591</v>
      </c>
      <c r="D22" s="1575"/>
      <c r="E22" s="1573">
        <v>0.5</v>
      </c>
      <c r="F22" s="1576"/>
      <c r="G22" s="1577"/>
      <c r="H22" s="1569"/>
      <c r="I22" s="1569"/>
    </row>
    <row r="23" spans="1:9" s="1578" customFormat="1" ht="19.5" customHeight="1">
      <c r="A23" s="3678" t="s">
        <v>1205</v>
      </c>
      <c r="B23" s="1573" t="s">
        <v>1581</v>
      </c>
      <c r="C23" s="1574" t="s">
        <v>1592</v>
      </c>
      <c r="D23" s="1575"/>
      <c r="E23" s="1573">
        <v>1</v>
      </c>
      <c r="F23" s="1576" t="s">
        <v>1593</v>
      </c>
      <c r="G23" s="1577"/>
      <c r="H23" s="1569"/>
      <c r="I23" s="1569"/>
    </row>
    <row r="24" spans="1:9" s="1578" customFormat="1" ht="19.5" customHeight="1">
      <c r="A24" s="3678"/>
      <c r="B24" s="3678" t="s">
        <v>1584</v>
      </c>
      <c r="C24" s="1574" t="s">
        <v>1594</v>
      </c>
      <c r="D24" s="1575"/>
      <c r="E24" s="1573">
        <v>0.5</v>
      </c>
      <c r="F24" s="1576"/>
      <c r="G24" s="1577"/>
      <c r="H24" s="1569"/>
      <c r="I24" s="1569"/>
    </row>
    <row r="25" spans="1:9" s="1578" customFormat="1" ht="19.5" customHeight="1">
      <c r="A25" s="3678"/>
      <c r="B25" s="3678"/>
      <c r="C25" s="1574" t="s">
        <v>1595</v>
      </c>
      <c r="D25" s="1575"/>
      <c r="E25" s="1573">
        <v>1.1000000000000001</v>
      </c>
      <c r="F25" s="1576"/>
      <c r="G25" s="1577"/>
      <c r="H25" s="1569"/>
      <c r="I25" s="1569"/>
    </row>
    <row r="26" spans="1:9" s="1578" customFormat="1" ht="19.5" customHeight="1">
      <c r="A26" s="3678"/>
      <c r="B26" s="3678"/>
      <c r="C26" s="1574" t="s">
        <v>1596</v>
      </c>
      <c r="D26" s="1575"/>
      <c r="E26" s="1573">
        <v>1.1000000000000001</v>
      </c>
      <c r="F26" s="1576"/>
      <c r="G26" s="1577"/>
      <c r="H26" s="1569"/>
      <c r="I26" s="1569"/>
    </row>
    <row r="27" spans="1:9" s="1578" customFormat="1" ht="19.5" customHeight="1">
      <c r="A27" s="3678"/>
      <c r="B27" s="3678"/>
      <c r="C27" s="1574" t="s">
        <v>1597</v>
      </c>
      <c r="D27" s="1575"/>
      <c r="E27" s="1573">
        <v>0.9</v>
      </c>
      <c r="F27" s="1576" t="s">
        <v>1598</v>
      </c>
      <c r="G27" s="1577"/>
      <c r="H27" s="1569"/>
      <c r="I27" s="1569"/>
    </row>
    <row r="28" spans="1:9" s="1578" customFormat="1" ht="19.5" customHeight="1">
      <c r="A28" s="3678"/>
      <c r="B28" s="3678"/>
      <c r="C28" s="1574" t="s">
        <v>1599</v>
      </c>
      <c r="D28" s="1575"/>
      <c r="E28" s="1573">
        <v>0.9</v>
      </c>
      <c r="F28" s="1576" t="s">
        <v>1600</v>
      </c>
      <c r="G28" s="1577"/>
      <c r="H28" s="1569"/>
      <c r="I28" s="1569"/>
    </row>
    <row r="29" spans="1:9" s="1578" customFormat="1" ht="19.5" customHeight="1">
      <c r="A29" s="3678"/>
      <c r="B29" s="3678"/>
      <c r="C29" s="1574" t="s">
        <v>1601</v>
      </c>
      <c r="D29" s="1575"/>
      <c r="E29" s="1573">
        <v>0.9</v>
      </c>
      <c r="F29" s="1576" t="s">
        <v>1602</v>
      </c>
      <c r="G29" s="1577"/>
      <c r="H29" s="1569"/>
      <c r="I29" s="1569"/>
    </row>
    <row r="30" spans="1:9" s="1578" customFormat="1" ht="19.5" customHeight="1">
      <c r="A30" s="3678"/>
      <c r="B30" s="3678"/>
      <c r="C30" s="1574" t="s">
        <v>1603</v>
      </c>
      <c r="D30" s="1575"/>
      <c r="E30" s="1573">
        <v>0.9</v>
      </c>
      <c r="F30" s="1576" t="s">
        <v>1604</v>
      </c>
      <c r="G30" s="1577"/>
      <c r="H30" s="1569"/>
      <c r="I30" s="1569"/>
    </row>
    <row r="31" spans="1:9" s="1578" customFormat="1" ht="19.5" customHeight="1">
      <c r="A31" s="3678"/>
      <c r="B31" s="3678"/>
      <c r="C31" s="1574" t="s">
        <v>1605</v>
      </c>
      <c r="D31" s="1575"/>
      <c r="E31" s="1573">
        <v>0.8</v>
      </c>
      <c r="F31" s="1576" t="s">
        <v>1606</v>
      </c>
      <c r="G31" s="1577"/>
      <c r="H31" s="1569"/>
      <c r="I31" s="1569"/>
    </row>
    <row r="32" spans="1:9" s="1578" customFormat="1" ht="19.5" customHeight="1">
      <c r="A32" s="3678"/>
      <c r="B32" s="3678"/>
      <c r="C32" s="1574" t="s">
        <v>1607</v>
      </c>
      <c r="D32" s="1575"/>
      <c r="E32" s="1573">
        <v>0.8</v>
      </c>
      <c r="F32" s="1576" t="s">
        <v>1608</v>
      </c>
      <c r="G32" s="1577"/>
      <c r="H32" s="1569"/>
      <c r="I32" s="1569"/>
    </row>
    <row r="33" spans="1:9" s="1578" customFormat="1" ht="19.5" customHeight="1">
      <c r="A33" s="3678" t="s">
        <v>1206</v>
      </c>
      <c r="B33" s="1573" t="s">
        <v>1581</v>
      </c>
      <c r="C33" s="1574" t="s">
        <v>1609</v>
      </c>
      <c r="D33" s="1575"/>
      <c r="E33" s="1573">
        <v>1</v>
      </c>
      <c r="F33" s="1576" t="s">
        <v>1610</v>
      </c>
      <c r="G33" s="1577"/>
      <c r="H33" s="1569"/>
      <c r="I33" s="1569"/>
    </row>
    <row r="34" spans="1:9" s="1578" customFormat="1" ht="19.5" customHeight="1">
      <c r="A34" s="3678"/>
      <c r="B34" s="1573" t="s">
        <v>1584</v>
      </c>
      <c r="C34" s="1574" t="s">
        <v>1611</v>
      </c>
      <c r="D34" s="1575"/>
      <c r="E34" s="1573">
        <v>1.5</v>
      </c>
      <c r="F34" s="1576" t="s">
        <v>1612</v>
      </c>
      <c r="G34" s="1577"/>
      <c r="H34" s="1569"/>
      <c r="I34" s="1569"/>
    </row>
    <row r="35" spans="1:9" s="1578" customFormat="1" ht="19.5" customHeight="1">
      <c r="A35" s="3678" t="s">
        <v>1207</v>
      </c>
      <c r="B35" s="1573" t="s">
        <v>1581</v>
      </c>
      <c r="C35" s="1574" t="s">
        <v>1613</v>
      </c>
      <c r="D35" s="1575"/>
      <c r="E35" s="1573">
        <v>1</v>
      </c>
      <c r="F35" s="1576" t="s">
        <v>1614</v>
      </c>
      <c r="G35" s="1577"/>
      <c r="H35" s="1569"/>
      <c r="I35" s="1569"/>
    </row>
    <row r="36" spans="1:9" s="1578" customFormat="1" ht="19.5" customHeight="1">
      <c r="A36" s="3678"/>
      <c r="B36" s="3678" t="s">
        <v>1584</v>
      </c>
      <c r="C36" s="1574" t="s">
        <v>1615</v>
      </c>
      <c r="D36" s="1575"/>
      <c r="E36" s="1573">
        <v>1</v>
      </c>
      <c r="F36" s="1576" t="s">
        <v>1616</v>
      </c>
      <c r="G36" s="1577"/>
      <c r="H36" s="1569"/>
      <c r="I36" s="1569"/>
    </row>
    <row r="37" spans="1:9" s="1578" customFormat="1" ht="19.5" customHeight="1">
      <c r="A37" s="3678"/>
      <c r="B37" s="3678"/>
      <c r="C37" s="1574" t="s">
        <v>1617</v>
      </c>
      <c r="D37" s="1575"/>
      <c r="E37" s="1573">
        <v>1.5</v>
      </c>
      <c r="F37" s="1576" t="s">
        <v>1618</v>
      </c>
      <c r="G37" s="1577"/>
      <c r="H37" s="1569"/>
      <c r="I37" s="1569"/>
    </row>
    <row r="38" spans="1:9" s="1578" customFormat="1" ht="19.5" customHeight="1">
      <c r="A38" s="3678"/>
      <c r="B38" s="3678"/>
      <c r="C38" s="1574" t="s">
        <v>1619</v>
      </c>
      <c r="D38" s="1575"/>
      <c r="E38" s="1573">
        <v>1</v>
      </c>
      <c r="F38" s="1576" t="s">
        <v>1620</v>
      </c>
      <c r="G38" s="1577"/>
      <c r="H38" s="1569"/>
      <c r="I38" s="1569"/>
    </row>
    <row r="39" spans="1:9" s="1578" customFormat="1" ht="19.5" customHeight="1">
      <c r="A39" s="3678"/>
      <c r="B39" s="3678"/>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8" t="s">
        <v>1635</v>
      </c>
      <c r="C61" s="1499" t="s">
        <v>1636</v>
      </c>
      <c r="D61" s="1499" t="s">
        <v>1637</v>
      </c>
      <c r="E61" s="1586">
        <v>0.5</v>
      </c>
      <c r="F61" s="1573">
        <v>80</v>
      </c>
    </row>
    <row r="62" spans="1:8" s="1569" customFormat="1" ht="24">
      <c r="A62" s="1573">
        <v>2</v>
      </c>
      <c r="B62" s="3678"/>
      <c r="C62" s="1499" t="s">
        <v>1638</v>
      </c>
      <c r="D62" s="1499" t="s">
        <v>1639</v>
      </c>
      <c r="E62" s="1586">
        <v>0.5</v>
      </c>
      <c r="F62" s="1573">
        <v>80</v>
      </c>
    </row>
    <row r="63" spans="1:8" s="1569" customFormat="1" ht="36">
      <c r="A63" s="1573">
        <v>3</v>
      </c>
      <c r="B63" s="3678"/>
      <c r="C63" s="1499" t="s">
        <v>1640</v>
      </c>
      <c r="D63" s="1499" t="s">
        <v>1641</v>
      </c>
      <c r="E63" s="1586">
        <v>0.5</v>
      </c>
      <c r="F63" s="1573">
        <v>80</v>
      </c>
    </row>
    <row r="64" spans="1:8" s="1569" customFormat="1" ht="36">
      <c r="A64" s="1573">
        <v>4</v>
      </c>
      <c r="B64" s="3678"/>
      <c r="C64" s="1499" t="s">
        <v>1642</v>
      </c>
      <c r="D64" s="1499" t="s">
        <v>1643</v>
      </c>
      <c r="E64" s="1586">
        <v>0.4</v>
      </c>
      <c r="F64" s="1573">
        <v>60</v>
      </c>
    </row>
    <row r="65" spans="1:6" s="1569" customFormat="1" ht="36">
      <c r="A65" s="1573">
        <v>5</v>
      </c>
      <c r="B65" s="3678"/>
      <c r="C65" s="1499" t="s">
        <v>1644</v>
      </c>
      <c r="D65" s="1499" t="s">
        <v>1645</v>
      </c>
      <c r="E65" s="1586">
        <v>0.2</v>
      </c>
      <c r="F65" s="1573">
        <v>30</v>
      </c>
    </row>
    <row r="66" spans="1:6" s="1569" customFormat="1" ht="36">
      <c r="A66" s="1573">
        <v>6</v>
      </c>
      <c r="B66" s="3678"/>
      <c r="C66" s="1499" t="s">
        <v>1646</v>
      </c>
      <c r="D66" s="1499" t="s">
        <v>1647</v>
      </c>
      <c r="E66" s="1586">
        <v>0.3</v>
      </c>
      <c r="F66" s="1573">
        <v>50</v>
      </c>
    </row>
    <row r="67" spans="1:6" s="1569" customFormat="1" ht="36">
      <c r="A67" s="1573">
        <v>7</v>
      </c>
      <c r="B67" s="3678"/>
      <c r="C67" s="1499" t="s">
        <v>1648</v>
      </c>
      <c r="D67" s="1499" t="s">
        <v>1649</v>
      </c>
      <c r="E67" s="1586">
        <v>0.2</v>
      </c>
      <c r="F67" s="1573">
        <v>30</v>
      </c>
    </row>
    <row r="68" spans="1:6" s="1569" customFormat="1" ht="36">
      <c r="A68" s="1573">
        <v>8</v>
      </c>
      <c r="B68" s="3678"/>
      <c r="C68" s="1499" t="s">
        <v>1650</v>
      </c>
      <c r="D68" s="1499" t="s">
        <v>1651</v>
      </c>
      <c r="E68" s="1586">
        <v>0.2</v>
      </c>
      <c r="F68" s="1573">
        <v>30</v>
      </c>
    </row>
    <row r="69" spans="1:6" s="1569" customFormat="1" ht="36">
      <c r="A69" s="1573">
        <v>9</v>
      </c>
      <c r="B69" s="3678"/>
      <c r="C69" s="1499" t="s">
        <v>1652</v>
      </c>
      <c r="D69" s="1499" t="s">
        <v>1653</v>
      </c>
      <c r="E69" s="1586">
        <v>0.2</v>
      </c>
      <c r="F69" s="1573">
        <v>30</v>
      </c>
    </row>
    <row r="70" spans="1:6" s="1569" customFormat="1" ht="48">
      <c r="A70" s="1573">
        <v>10</v>
      </c>
      <c r="B70" s="3678"/>
      <c r="C70" s="1499" t="s">
        <v>1654</v>
      </c>
      <c r="D70" s="1499" t="s">
        <v>1655</v>
      </c>
      <c r="E70" s="1586">
        <v>0.2</v>
      </c>
      <c r="F70" s="1573">
        <v>30</v>
      </c>
    </row>
    <row r="71" spans="1:6" s="1569" customFormat="1" ht="48">
      <c r="A71" s="1573">
        <v>11</v>
      </c>
      <c r="B71" s="3678"/>
      <c r="C71" s="1499" t="s">
        <v>1656</v>
      </c>
      <c r="D71" s="1499" t="s">
        <v>1657</v>
      </c>
      <c r="E71" s="1586">
        <v>0.2</v>
      </c>
      <c r="F71" s="1573">
        <v>30</v>
      </c>
    </row>
    <row r="72" spans="1:6" s="1569" customFormat="1" ht="36">
      <c r="A72" s="1573">
        <v>12</v>
      </c>
      <c r="B72" s="3678"/>
      <c r="C72" s="1499" t="s">
        <v>1658</v>
      </c>
      <c r="D72" s="1499" t="s">
        <v>1659</v>
      </c>
      <c r="E72" s="1586">
        <v>0.5</v>
      </c>
      <c r="F72" s="1573">
        <v>80</v>
      </c>
    </row>
    <row r="73" spans="1:6" s="1569" customFormat="1" ht="24">
      <c r="A73" s="1573">
        <v>13</v>
      </c>
      <c r="B73" s="3678"/>
      <c r="C73" s="1499" t="s">
        <v>1660</v>
      </c>
      <c r="D73" s="1499" t="s">
        <v>1661</v>
      </c>
      <c r="E73" s="1586">
        <v>0.4</v>
      </c>
      <c r="F73" s="1573">
        <v>60</v>
      </c>
    </row>
    <row r="74" spans="1:6" s="1569" customFormat="1" ht="24">
      <c r="A74" s="1573">
        <v>14</v>
      </c>
      <c r="B74" s="3678"/>
      <c r="C74" s="1499" t="s">
        <v>1662</v>
      </c>
      <c r="D74" s="1499" t="s">
        <v>1663</v>
      </c>
      <c r="E74" s="1586">
        <v>0.2</v>
      </c>
      <c r="F74" s="1573">
        <v>30</v>
      </c>
    </row>
    <row r="75" spans="1:6" s="1569" customFormat="1" ht="24">
      <c r="A75" s="1573">
        <v>15</v>
      </c>
      <c r="B75" s="3678"/>
      <c r="C75" s="1499" t="s">
        <v>1664</v>
      </c>
      <c r="D75" s="1499" t="s">
        <v>1665</v>
      </c>
      <c r="E75" s="1586">
        <v>0.2</v>
      </c>
      <c r="F75" s="1573">
        <v>30</v>
      </c>
    </row>
    <row r="76" spans="1:6" s="1569" customFormat="1" ht="24">
      <c r="A76" s="1573">
        <v>16</v>
      </c>
      <c r="B76" s="3678" t="s">
        <v>1666</v>
      </c>
      <c r="C76" s="1499" t="s">
        <v>1667</v>
      </c>
      <c r="D76" s="1499" t="s">
        <v>1668</v>
      </c>
      <c r="E76" s="1586">
        <v>0.5</v>
      </c>
      <c r="F76" s="1573">
        <v>80</v>
      </c>
    </row>
    <row r="77" spans="1:6" s="1569" customFormat="1" ht="24">
      <c r="A77" s="1573">
        <v>17</v>
      </c>
      <c r="B77" s="3678"/>
      <c r="C77" s="1499" t="s">
        <v>1669</v>
      </c>
      <c r="D77" s="1499" t="s">
        <v>1670</v>
      </c>
      <c r="E77" s="1586">
        <v>0.5</v>
      </c>
      <c r="F77" s="1573">
        <v>80</v>
      </c>
    </row>
    <row r="78" spans="1:6" s="1569" customFormat="1" ht="24">
      <c r="A78" s="1573">
        <v>18</v>
      </c>
      <c r="B78" s="3678"/>
      <c r="C78" s="1499" t="s">
        <v>1671</v>
      </c>
      <c r="D78" s="1499" t="s">
        <v>1672</v>
      </c>
      <c r="E78" s="1586">
        <v>0.2</v>
      </c>
      <c r="F78" s="1573">
        <v>30</v>
      </c>
    </row>
    <row r="79" spans="1:6" s="1569" customFormat="1" ht="24">
      <c r="A79" s="1573">
        <v>19</v>
      </c>
      <c r="B79" s="3678"/>
      <c r="C79" s="1499" t="s">
        <v>1673</v>
      </c>
      <c r="D79" s="1499" t="s">
        <v>1674</v>
      </c>
      <c r="E79" s="1586">
        <v>0.5</v>
      </c>
      <c r="F79" s="1573">
        <v>80</v>
      </c>
    </row>
    <row r="80" spans="1:6" s="1569" customFormat="1" ht="36">
      <c r="A80" s="1573">
        <v>20</v>
      </c>
      <c r="B80" s="3678"/>
      <c r="C80" s="1499" t="s">
        <v>1675</v>
      </c>
      <c r="D80" s="1499" t="s">
        <v>1676</v>
      </c>
      <c r="E80" s="1586">
        <v>0.2</v>
      </c>
      <c r="F80" s="1573">
        <v>30</v>
      </c>
    </row>
    <row r="81" spans="1:6" s="1569" customFormat="1" ht="36">
      <c r="A81" s="1573">
        <v>21</v>
      </c>
      <c r="B81" s="3678"/>
      <c r="C81" s="1499" t="s">
        <v>1677</v>
      </c>
      <c r="D81" s="1499" t="s">
        <v>1678</v>
      </c>
      <c r="E81" s="1586">
        <v>0.2</v>
      </c>
      <c r="F81" s="1573">
        <v>30</v>
      </c>
    </row>
    <row r="82" spans="1:6" s="1569" customFormat="1" ht="48">
      <c r="A82" s="1573">
        <v>22</v>
      </c>
      <c r="B82" s="3678"/>
      <c r="C82" s="1499" t="s">
        <v>1679</v>
      </c>
      <c r="D82" s="1499" t="s">
        <v>1680</v>
      </c>
      <c r="E82" s="1586">
        <v>0.2</v>
      </c>
      <c r="F82" s="1573">
        <v>30</v>
      </c>
    </row>
    <row r="83" spans="1:6" s="1569" customFormat="1" ht="48">
      <c r="A83" s="1573">
        <v>23</v>
      </c>
      <c r="B83" s="3678"/>
      <c r="C83" s="1499" t="s">
        <v>1681</v>
      </c>
      <c r="D83" s="1499" t="s">
        <v>1682</v>
      </c>
      <c r="E83" s="1586">
        <v>0.2</v>
      </c>
      <c r="F83" s="1573">
        <v>30</v>
      </c>
    </row>
    <row r="84" spans="1:6" s="1569" customFormat="1" ht="36">
      <c r="A84" s="1573">
        <v>24</v>
      </c>
      <c r="B84" s="3678"/>
      <c r="C84" s="1499" t="s">
        <v>1683</v>
      </c>
      <c r="D84" s="1499" t="s">
        <v>1684</v>
      </c>
      <c r="E84" s="1586">
        <v>0.2</v>
      </c>
      <c r="F84" s="1573">
        <v>30</v>
      </c>
    </row>
    <row r="85" spans="1:6" s="1569" customFormat="1" ht="36">
      <c r="A85" s="1573">
        <v>25</v>
      </c>
      <c r="B85" s="3678"/>
      <c r="C85" s="1499" t="s">
        <v>1685</v>
      </c>
      <c r="D85" s="1499" t="s">
        <v>1686</v>
      </c>
      <c r="E85" s="1586">
        <v>0.5</v>
      </c>
      <c r="F85" s="1573">
        <v>80</v>
      </c>
    </row>
    <row r="86" spans="1:6" s="1569" customFormat="1" ht="36">
      <c r="A86" s="1573">
        <v>26</v>
      </c>
      <c r="B86" s="3678"/>
      <c r="C86" s="1499" t="s">
        <v>1687</v>
      </c>
      <c r="D86" s="1499" t="s">
        <v>1688</v>
      </c>
      <c r="E86" s="1586">
        <v>0.2</v>
      </c>
      <c r="F86" s="1573">
        <v>30</v>
      </c>
    </row>
    <row r="87" spans="1:6" s="1569" customFormat="1" ht="36">
      <c r="A87" s="1573">
        <v>27</v>
      </c>
      <c r="B87" s="3678"/>
      <c r="C87" s="1499" t="s">
        <v>1689</v>
      </c>
      <c r="D87" s="1499" t="s">
        <v>1690</v>
      </c>
      <c r="E87" s="1586">
        <v>0.2</v>
      </c>
      <c r="F87" s="1573">
        <v>30</v>
      </c>
    </row>
    <row r="88" spans="1:6" s="1569" customFormat="1" ht="36">
      <c r="A88" s="1573">
        <v>28</v>
      </c>
      <c r="B88" s="3678"/>
      <c r="C88" s="1499" t="s">
        <v>1691</v>
      </c>
      <c r="D88" s="1499" t="s">
        <v>1692</v>
      </c>
      <c r="E88" s="1586">
        <v>0.2</v>
      </c>
      <c r="F88" s="1573">
        <v>30</v>
      </c>
    </row>
    <row r="89" spans="1:6" s="1569" customFormat="1" ht="24">
      <c r="A89" s="1573">
        <v>29</v>
      </c>
      <c r="B89" s="3678"/>
      <c r="C89" s="1499" t="s">
        <v>1693</v>
      </c>
      <c r="D89" s="1499" t="s">
        <v>1694</v>
      </c>
      <c r="E89" s="1586">
        <v>0.2</v>
      </c>
      <c r="F89" s="1573">
        <v>30</v>
      </c>
    </row>
    <row r="90" spans="1:6" s="1569" customFormat="1" ht="24">
      <c r="A90" s="1573">
        <v>30</v>
      </c>
      <c r="B90" s="3678"/>
      <c r="C90" s="1499" t="s">
        <v>1695</v>
      </c>
      <c r="D90" s="1499" t="s">
        <v>1696</v>
      </c>
      <c r="E90" s="1586">
        <v>0.2</v>
      </c>
      <c r="F90" s="1573">
        <v>30</v>
      </c>
    </row>
    <row r="91" spans="1:6" s="1569" customFormat="1" ht="36">
      <c r="A91" s="1573">
        <v>31</v>
      </c>
      <c r="B91" s="3678"/>
      <c r="C91" s="1499" t="s">
        <v>1697</v>
      </c>
      <c r="D91" s="1499" t="s">
        <v>1698</v>
      </c>
      <c r="E91" s="1586">
        <v>0.2</v>
      </c>
      <c r="F91" s="1573">
        <v>30</v>
      </c>
    </row>
    <row r="92" spans="1:6" s="1569" customFormat="1" ht="24">
      <c r="A92" s="1573">
        <v>32</v>
      </c>
      <c r="B92" s="3678" t="s">
        <v>1699</v>
      </c>
      <c r="C92" s="1573" t="s">
        <v>1700</v>
      </c>
      <c r="D92" s="1499" t="s">
        <v>1701</v>
      </c>
      <c r="E92" s="1586">
        <v>0.2</v>
      </c>
      <c r="F92" s="1573">
        <v>30</v>
      </c>
    </row>
    <row r="93" spans="1:6" s="1569" customFormat="1" ht="36">
      <c r="A93" s="1573">
        <v>33</v>
      </c>
      <c r="B93" s="3678"/>
      <c r="C93" s="1573" t="s">
        <v>1702</v>
      </c>
      <c r="D93" s="1499" t="s">
        <v>1703</v>
      </c>
      <c r="E93" s="1586">
        <v>0.2</v>
      </c>
      <c r="F93" s="1573">
        <v>30</v>
      </c>
    </row>
    <row r="94" spans="1:6" s="1569" customFormat="1" ht="48">
      <c r="A94" s="1573">
        <v>34</v>
      </c>
      <c r="B94" s="3678"/>
      <c r="C94" s="1573" t="s">
        <v>1704</v>
      </c>
      <c r="D94" s="1499" t="s">
        <v>1705</v>
      </c>
      <c r="E94" s="1586">
        <v>0.2</v>
      </c>
      <c r="F94" s="1573">
        <v>30</v>
      </c>
    </row>
    <row r="95" spans="1:6" s="1569" customFormat="1" ht="36">
      <c r="A95" s="1573">
        <v>35</v>
      </c>
      <c r="B95" s="3678"/>
      <c r="C95" s="1573" t="s">
        <v>1706</v>
      </c>
      <c r="D95" s="1499" t="s">
        <v>1707</v>
      </c>
      <c r="E95" s="1586">
        <v>0.2</v>
      </c>
      <c r="F95" s="1573">
        <v>30</v>
      </c>
    </row>
    <row r="96" spans="1:6" s="1569" customFormat="1" ht="48">
      <c r="A96" s="1573">
        <v>36</v>
      </c>
      <c r="B96" s="3678"/>
      <c r="C96" s="1499" t="s">
        <v>1708</v>
      </c>
      <c r="D96" s="1499" t="s">
        <v>1709</v>
      </c>
      <c r="E96" s="1586">
        <v>0.2</v>
      </c>
      <c r="F96" s="1573">
        <v>30</v>
      </c>
    </row>
    <row r="97" spans="1:6" s="1569" customFormat="1" ht="36">
      <c r="A97" s="1573">
        <v>37</v>
      </c>
      <c r="B97" s="3678"/>
      <c r="C97" s="1573" t="s">
        <v>1710</v>
      </c>
      <c r="D97" s="1499" t="s">
        <v>1711</v>
      </c>
      <c r="E97" s="1586">
        <v>0.2</v>
      </c>
      <c r="F97" s="1573">
        <v>30</v>
      </c>
    </row>
    <row r="98" spans="1:6" s="1569" customFormat="1" ht="36">
      <c r="A98" s="1573">
        <v>38</v>
      </c>
      <c r="B98" s="3678"/>
      <c r="C98" s="1573" t="s">
        <v>1712</v>
      </c>
      <c r="D98" s="1499" t="s">
        <v>1713</v>
      </c>
      <c r="E98" s="1586">
        <v>0.2</v>
      </c>
      <c r="F98" s="1573">
        <v>30</v>
      </c>
    </row>
    <row r="99" spans="1:6" s="1569" customFormat="1" ht="36">
      <c r="A99" s="1573">
        <v>39</v>
      </c>
      <c r="B99" s="3678" t="s">
        <v>1714</v>
      </c>
      <c r="C99" s="1573" t="s">
        <v>1715</v>
      </c>
      <c r="D99" s="1499" t="s">
        <v>1716</v>
      </c>
      <c r="E99" s="1586">
        <v>0.3</v>
      </c>
      <c r="F99" s="1573">
        <v>50</v>
      </c>
    </row>
    <row r="100" spans="1:6" s="1569" customFormat="1" ht="24">
      <c r="A100" s="1573">
        <v>40</v>
      </c>
      <c r="B100" s="3678"/>
      <c r="C100" s="1573" t="s">
        <v>1717</v>
      </c>
      <c r="D100" s="1499" t="s">
        <v>1718</v>
      </c>
      <c r="E100" s="1586">
        <v>0.2</v>
      </c>
      <c r="F100" s="1573">
        <v>30</v>
      </c>
    </row>
    <row r="101" spans="1:6" s="1569" customFormat="1" ht="36">
      <c r="A101" s="1573">
        <v>41</v>
      </c>
      <c r="B101" s="3678"/>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8" t="s">
        <v>1729</v>
      </c>
      <c r="C105" s="1573" t="s">
        <v>1730</v>
      </c>
      <c r="D105" s="1499" t="s">
        <v>1731</v>
      </c>
      <c r="E105" s="1586">
        <v>0.2</v>
      </c>
      <c r="F105" s="1573">
        <v>30</v>
      </c>
    </row>
    <row r="106" spans="1:6" s="1569" customFormat="1" ht="36">
      <c r="A106" s="1573">
        <v>46</v>
      </c>
      <c r="B106" s="3678"/>
      <c r="C106" s="1573" t="s">
        <v>1732</v>
      </c>
      <c r="D106" s="1499" t="s">
        <v>1733</v>
      </c>
      <c r="E106" s="1586">
        <v>0.2</v>
      </c>
      <c r="F106" s="1573">
        <v>30</v>
      </c>
    </row>
    <row r="107" spans="1:6" s="1569" customFormat="1" ht="36">
      <c r="A107" s="1573">
        <v>47</v>
      </c>
      <c r="B107" s="3678" t="s">
        <v>1734</v>
      </c>
      <c r="C107" s="1573" t="s">
        <v>1735</v>
      </c>
      <c r="D107" s="1499" t="s">
        <v>1736</v>
      </c>
      <c r="E107" s="1586">
        <v>0.3</v>
      </c>
      <c r="F107" s="1573">
        <v>50</v>
      </c>
    </row>
    <row r="108" spans="1:6" s="1569" customFormat="1" ht="36">
      <c r="A108" s="1573">
        <v>48</v>
      </c>
      <c r="B108" s="3678"/>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8" t="s">
        <v>1745</v>
      </c>
      <c r="C111" s="1573" t="s">
        <v>1746</v>
      </c>
      <c r="D111" s="1499" t="s">
        <v>1747</v>
      </c>
      <c r="E111" s="1586">
        <v>0.2</v>
      </c>
      <c r="F111" s="1573">
        <v>30</v>
      </c>
    </row>
    <row r="112" spans="1:6" s="1569" customFormat="1" ht="24">
      <c r="A112" s="1573">
        <v>52</v>
      </c>
      <c r="B112" s="3678"/>
      <c r="C112" s="1573" t="s">
        <v>1748</v>
      </c>
      <c r="D112" s="1499" t="s">
        <v>1749</v>
      </c>
      <c r="E112" s="1586">
        <v>0.2</v>
      </c>
      <c r="F112" s="1573">
        <v>30</v>
      </c>
    </row>
    <row r="113" spans="1:6" s="1569" customFormat="1" ht="24">
      <c r="A113" s="1573">
        <v>53</v>
      </c>
      <c r="B113" s="3678"/>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8" t="s">
        <v>1758</v>
      </c>
      <c r="C116" s="1573" t="s">
        <v>1759</v>
      </c>
      <c r="D116" s="1499" t="s">
        <v>1760</v>
      </c>
      <c r="E116" s="1586">
        <v>0.2</v>
      </c>
      <c r="F116" s="1573">
        <v>30</v>
      </c>
    </row>
    <row r="117" spans="1:6" ht="36">
      <c r="A117" s="1573">
        <v>57</v>
      </c>
      <c r="B117" s="3678"/>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6.1920000000000002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89" t="s">
        <v>2724</v>
      </c>
      <c r="C1" s="3689"/>
      <c r="D1" s="3689"/>
      <c r="E1" s="3689"/>
      <c r="F1" s="3689"/>
      <c r="G1" s="3688" t="s">
        <v>2725</v>
      </c>
      <c r="H1" s="3688"/>
      <c r="I1" s="3688"/>
      <c r="J1" s="3688"/>
      <c r="K1" s="3688"/>
      <c r="L1" s="3688"/>
      <c r="N1" s="3688" t="s">
        <v>2726</v>
      </c>
      <c r="O1" s="3688"/>
      <c r="P1" s="3688"/>
      <c r="Q1" s="3688"/>
      <c r="R1" s="2905"/>
      <c r="S1" s="3688" t="s">
        <v>2727</v>
      </c>
      <c r="T1" s="3688"/>
      <c r="U1" s="3688"/>
      <c r="V1" s="3688"/>
      <c r="X1" s="3687" t="s">
        <v>2728</v>
      </c>
      <c r="Y1" s="3688"/>
      <c r="Z1" s="3688"/>
      <c r="AA1" s="3688"/>
      <c r="AB1" s="3688"/>
      <c r="AD1" s="3687" t="s">
        <v>2729</v>
      </c>
      <c r="AE1" s="3688"/>
      <c r="AF1" s="3688"/>
      <c r="AG1" s="3688"/>
      <c r="AH1" s="3688"/>
    </row>
    <row r="2" spans="1:34" s="2906" customFormat="1" ht="14.25" thickBot="1">
      <c r="B2" s="2907" t="s">
        <v>2730</v>
      </c>
      <c r="C2" s="2907" t="s">
        <v>2731</v>
      </c>
      <c r="D2" s="2908" t="s">
        <v>2732</v>
      </c>
      <c r="E2" s="2908" t="s">
        <v>2733</v>
      </c>
      <c r="F2" s="2907" t="s">
        <v>2734</v>
      </c>
      <c r="G2" s="2909"/>
      <c r="H2" s="2910"/>
      <c r="I2" s="2910"/>
      <c r="J2" s="2910"/>
      <c r="K2" s="2910"/>
      <c r="L2" s="2910"/>
      <c r="N2" s="2909"/>
      <c r="O2" s="2910"/>
      <c r="P2" s="2910"/>
      <c r="Q2" s="2910"/>
      <c r="R2" s="2911"/>
      <c r="S2" s="2909"/>
      <c r="T2" s="2910"/>
      <c r="U2" s="2910"/>
      <c r="V2" s="2910"/>
      <c r="X2" s="2907" t="s">
        <v>2730</v>
      </c>
      <c r="Y2" s="2907" t="s">
        <v>2731</v>
      </c>
      <c r="Z2" s="2908" t="s">
        <v>2732</v>
      </c>
      <c r="AA2" s="2908" t="s">
        <v>2733</v>
      </c>
      <c r="AB2" s="2907" t="s">
        <v>2734</v>
      </c>
      <c r="AD2" s="2907" t="s">
        <v>2730</v>
      </c>
      <c r="AE2" s="2907" t="s">
        <v>2731</v>
      </c>
      <c r="AF2" s="2908" t="s">
        <v>2732</v>
      </c>
      <c r="AG2" s="2908" t="s">
        <v>2733</v>
      </c>
      <c r="AH2" s="2907" t="s">
        <v>2734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2735</v>
      </c>
      <c r="B4" s="2921"/>
      <c r="C4" s="2921"/>
      <c r="D4" s="2921"/>
      <c r="E4" s="2921"/>
      <c r="F4" s="2921"/>
      <c r="G4" s="3690">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2736</v>
      </c>
      <c r="B5" s="2921"/>
      <c r="C5" s="2921"/>
      <c r="D5" s="2921"/>
      <c r="E5" s="2921"/>
      <c r="F5" s="2921"/>
      <c r="G5" s="3685"/>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2737</v>
      </c>
      <c r="B6" s="2927">
        <f>B7*(1+N6)</f>
        <v>415.21602360000003</v>
      </c>
      <c r="C6" s="2927">
        <f>C7*(1+O6)</f>
        <v>312.63083488000001</v>
      </c>
      <c r="D6" s="2927">
        <f>C6</f>
        <v>312.63083488000001</v>
      </c>
      <c r="E6" s="3238">
        <f>E7*(1+P6)</f>
        <v>589.96402416000001</v>
      </c>
      <c r="F6" s="3238">
        <f>F7*(1+Q6)</f>
        <v>273.82351752000005</v>
      </c>
      <c r="G6" s="3685"/>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2739</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2738</v>
      </c>
      <c r="B7" s="2941">
        <f>B8*(1+N7)</f>
        <v>405.524</v>
      </c>
      <c r="C7" s="2941">
        <f>C8*(1+O7)</f>
        <v>307.79840000000002</v>
      </c>
      <c r="D7" s="2941">
        <f>C7</f>
        <v>307.79840000000002</v>
      </c>
      <c r="E7" s="2941">
        <f>E8*(1+P7)</f>
        <v>574.67759999999998</v>
      </c>
      <c r="F7" s="2941">
        <f>F8*(1+Q7)</f>
        <v>270.20280000000002</v>
      </c>
      <c r="G7" s="3686"/>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0">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85"/>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85"/>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86"/>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84">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85"/>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85"/>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86"/>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84">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85"/>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85"/>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86"/>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2740</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2741</v>
      </c>
      <c r="B20" s="2933">
        <v>299</v>
      </c>
      <c r="C20" s="2933">
        <v>252</v>
      </c>
      <c r="D20" s="2933">
        <f t="shared" si="9"/>
        <v>252</v>
      </c>
      <c r="E20" s="2933">
        <v>409</v>
      </c>
      <c r="F20" s="2934">
        <v>227</v>
      </c>
      <c r="G20" s="3691">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2"/>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2743</v>
      </c>
      <c r="B22" s="2941">
        <f t="shared" si="18"/>
        <v>288.2649053828776</v>
      </c>
      <c r="C22" s="2941">
        <f t="shared" si="18"/>
        <v>243.64564425013293</v>
      </c>
      <c r="D22" s="2941">
        <f t="shared" si="9"/>
        <v>243.64564425013293</v>
      </c>
      <c r="E22" s="2941">
        <f t="shared" si="19"/>
        <v>393.31080825986544</v>
      </c>
      <c r="F22" s="2941">
        <f t="shared" si="19"/>
        <v>223.07903790551154</v>
      </c>
      <c r="G22" s="3692"/>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2744</v>
      </c>
      <c r="B23" s="2941">
        <f t="shared" si="18"/>
        <v>282.50186729015837</v>
      </c>
      <c r="C23" s="2941">
        <f t="shared" si="18"/>
        <v>238.09796174155468</v>
      </c>
      <c r="D23" s="2941">
        <f t="shared" si="9"/>
        <v>238.09796174155468</v>
      </c>
      <c r="E23" s="2941">
        <f t="shared" si="19"/>
        <v>385.33438646014054</v>
      </c>
      <c r="F23" s="2941">
        <f t="shared" si="19"/>
        <v>221.55034055567739</v>
      </c>
      <c r="G23" s="3693"/>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2745</v>
      </c>
      <c r="B24" s="2975">
        <v>278</v>
      </c>
      <c r="C24" s="2975">
        <v>234</v>
      </c>
      <c r="D24" s="2975">
        <f t="shared" si="9"/>
        <v>234</v>
      </c>
      <c r="E24" s="2975">
        <v>379</v>
      </c>
      <c r="F24" s="2976">
        <v>220</v>
      </c>
      <c r="G24" s="3684">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2746</v>
      </c>
      <c r="B25" s="2941">
        <f>B24/(1+N24)</f>
        <v>275.49301357645425</v>
      </c>
      <c r="C25" s="2941">
        <f>C24/(1+O24)</f>
        <v>232.41954707985698</v>
      </c>
      <c r="D25" s="2941">
        <f t="shared" si="9"/>
        <v>232.41954707985698</v>
      </c>
      <c r="E25" s="2941">
        <f t="shared" ref="E25:F27" si="20">E24/(1+P24)</f>
        <v>375.32184591008121</v>
      </c>
      <c r="F25" s="2941">
        <f t="shared" si="20"/>
        <v>218.03766105054513</v>
      </c>
      <c r="G25" s="3685"/>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2747</v>
      </c>
      <c r="B26" s="2941">
        <f>B25/(1+N25)</f>
        <v>275.24529281292263</v>
      </c>
      <c r="C26" s="2941">
        <f>C25/(1+O25)</f>
        <v>231.74747938962707</v>
      </c>
      <c r="D26" s="2941">
        <f t="shared" si="9"/>
        <v>231.74747938962707</v>
      </c>
      <c r="E26" s="2941">
        <f t="shared" si="20"/>
        <v>375.35938184826603</v>
      </c>
      <c r="F26" s="2941">
        <f t="shared" si="20"/>
        <v>216.78033510692495</v>
      </c>
      <c r="G26" s="3685"/>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2748</v>
      </c>
      <c r="B27" s="2941">
        <f>B26/(1+N26)</f>
        <v>275.19025476197027</v>
      </c>
      <c r="C27" s="2977">
        <v>232</v>
      </c>
      <c r="D27" s="2977">
        <f t="shared" si="9"/>
        <v>232</v>
      </c>
      <c r="E27" s="2941">
        <f t="shared" si="20"/>
        <v>375.65990977608692</v>
      </c>
      <c r="F27" s="2941">
        <f t="shared" si="20"/>
        <v>214.12518283971252</v>
      </c>
      <c r="G27" s="3686"/>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2749</v>
      </c>
      <c r="B28" s="2933">
        <v>275</v>
      </c>
      <c r="C28" s="2933">
        <v>232</v>
      </c>
      <c r="D28" s="2933">
        <f t="shared" si="9"/>
        <v>232</v>
      </c>
      <c r="E28" s="2933">
        <v>376</v>
      </c>
      <c r="F28" s="2934">
        <v>213</v>
      </c>
      <c r="G28" s="3684">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85">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2751</v>
      </c>
      <c r="B30" s="2941">
        <f t="shared" si="21"/>
        <v>275.19335084830601</v>
      </c>
      <c r="C30" s="2941">
        <f t="shared" si="21"/>
        <v>230.18088050139744</v>
      </c>
      <c r="D30" s="2941">
        <f t="shared" si="9"/>
        <v>230.18088050139744</v>
      </c>
      <c r="E30" s="2941">
        <f t="shared" si="22"/>
        <v>377.58482925212331</v>
      </c>
      <c r="F30" s="2941">
        <f t="shared" si="22"/>
        <v>210.90687997847917</v>
      </c>
      <c r="G30" s="3685">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2752</v>
      </c>
      <c r="B31" s="2941">
        <f t="shared" si="21"/>
        <v>276.29854502841971</v>
      </c>
      <c r="C31" s="2941">
        <f t="shared" si="21"/>
        <v>229.79023709833027</v>
      </c>
      <c r="D31" s="2941">
        <f t="shared" si="9"/>
        <v>229.79023709833027</v>
      </c>
      <c r="E31" s="2941">
        <f t="shared" si="22"/>
        <v>379.78759731655936</v>
      </c>
      <c r="F31" s="2941">
        <f t="shared" si="22"/>
        <v>211.32953905659235</v>
      </c>
      <c r="G31" s="3686">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2753</v>
      </c>
      <c r="B32" s="2933">
        <v>269</v>
      </c>
      <c r="C32" s="2933">
        <v>221</v>
      </c>
      <c r="D32" s="2933">
        <f t="shared" si="9"/>
        <v>221</v>
      </c>
      <c r="E32" s="2933">
        <v>373</v>
      </c>
      <c r="F32" s="2934">
        <v>196</v>
      </c>
      <c r="G32" s="3684">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85">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2755</v>
      </c>
      <c r="B34" s="2941">
        <f t="shared" si="23"/>
        <v>242.95398227588385</v>
      </c>
      <c r="C34" s="2941">
        <f t="shared" si="23"/>
        <v>199.59137053614126</v>
      </c>
      <c r="D34" s="2941">
        <f t="shared" si="9"/>
        <v>199.59137053614126</v>
      </c>
      <c r="E34" s="2941">
        <f t="shared" si="24"/>
        <v>335.92189522342125</v>
      </c>
      <c r="F34" s="2941">
        <f t="shared" si="24"/>
        <v>183.10139991109489</v>
      </c>
      <c r="G34" s="3685">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2756</v>
      </c>
      <c r="B35" s="2941">
        <f t="shared" si="23"/>
        <v>232.06990378821649</v>
      </c>
      <c r="C35" s="2941">
        <f t="shared" si="23"/>
        <v>192.74878854286936</v>
      </c>
      <c r="D35" s="2941">
        <f t="shared" si="9"/>
        <v>192.74878854286936</v>
      </c>
      <c r="E35" s="2941">
        <f t="shared" si="24"/>
        <v>319.71247284992984</v>
      </c>
      <c r="F35" s="2941">
        <f t="shared" si="24"/>
        <v>175.67053622862409</v>
      </c>
      <c r="G35" s="3686">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2757</v>
      </c>
      <c r="B36" s="2933">
        <v>220</v>
      </c>
      <c r="C36" s="2933">
        <v>187</v>
      </c>
      <c r="D36" s="2933">
        <f t="shared" si="9"/>
        <v>187</v>
      </c>
      <c r="E36" s="2933">
        <v>301</v>
      </c>
      <c r="F36" s="2934">
        <v>168</v>
      </c>
      <c r="G36" s="3684">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85">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2759</v>
      </c>
      <c r="B38" s="2941">
        <f t="shared" si="25"/>
        <v>210.630522469011</v>
      </c>
      <c r="C38" s="2941">
        <f t="shared" si="25"/>
        <v>181.69567812247232</v>
      </c>
      <c r="D38" s="2941">
        <f t="shared" si="9"/>
        <v>181.69567812247232</v>
      </c>
      <c r="E38" s="2941">
        <f t="shared" si="26"/>
        <v>286.13517466736738</v>
      </c>
      <c r="F38" s="2941">
        <f t="shared" si="26"/>
        <v>165.47535084591149</v>
      </c>
      <c r="G38" s="3685">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2760</v>
      </c>
      <c r="B39" s="2941">
        <f t="shared" si="25"/>
        <v>208.83454537875372</v>
      </c>
      <c r="C39" s="2941">
        <f t="shared" si="25"/>
        <v>183.77230517090351</v>
      </c>
      <c r="D39" s="2941">
        <f t="shared" si="9"/>
        <v>183.77230517090351</v>
      </c>
      <c r="E39" s="2941">
        <f t="shared" si="26"/>
        <v>281.10342338870947</v>
      </c>
      <c r="F39" s="2941">
        <f t="shared" si="26"/>
        <v>168.97309388942256</v>
      </c>
      <c r="G39" s="3686">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2761</v>
      </c>
      <c r="B40" s="2975">
        <v>214</v>
      </c>
      <c r="C40" s="2975">
        <v>188</v>
      </c>
      <c r="D40" s="2975">
        <f t="shared" si="9"/>
        <v>188</v>
      </c>
      <c r="E40" s="2975">
        <v>289</v>
      </c>
      <c r="F40" s="2976">
        <v>166</v>
      </c>
      <c r="G40" s="3684">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85">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2763</v>
      </c>
      <c r="B42" s="2941">
        <f t="shared" si="27"/>
        <v>206.31694671589116</v>
      </c>
      <c r="C42" s="2941">
        <f t="shared" si="27"/>
        <v>183.61041121036101</v>
      </c>
      <c r="D42" s="2941">
        <f t="shared" si="9"/>
        <v>183.61041121036101</v>
      </c>
      <c r="E42" s="2941">
        <f t="shared" si="28"/>
        <v>276.66850301795557</v>
      </c>
      <c r="F42" s="2941">
        <f t="shared" si="28"/>
        <v>165.1360938278614</v>
      </c>
      <c r="G42" s="3685">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2764</v>
      </c>
      <c r="B43" s="2978">
        <f t="shared" si="27"/>
        <v>196.62341248059772</v>
      </c>
      <c r="C43" s="2978">
        <f t="shared" si="27"/>
        <v>170.99125648199012</v>
      </c>
      <c r="D43" s="2978">
        <f t="shared" si="9"/>
        <v>170.99125648199012</v>
      </c>
      <c r="E43" s="2978">
        <f t="shared" si="28"/>
        <v>266.07857570490052</v>
      </c>
      <c r="F43" s="2978">
        <f t="shared" si="28"/>
        <v>154.53499328828505</v>
      </c>
      <c r="G43" s="3686">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2765</v>
      </c>
      <c r="B44" s="2933">
        <v>188</v>
      </c>
      <c r="C44" s="2933">
        <v>165</v>
      </c>
      <c r="D44" s="2933">
        <f t="shared" si="9"/>
        <v>165</v>
      </c>
      <c r="E44" s="2933">
        <v>254</v>
      </c>
      <c r="F44" s="2934">
        <v>148</v>
      </c>
      <c r="G44" s="3684">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85">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2767</v>
      </c>
      <c r="B46" s="2941">
        <f t="shared" si="31"/>
        <v>168.82017748715555</v>
      </c>
      <c r="C46" s="2941">
        <f t="shared" si="31"/>
        <v>148.06267029972753</v>
      </c>
      <c r="D46" s="2941">
        <f t="shared" si="9"/>
        <v>148.06267029972753</v>
      </c>
      <c r="E46" s="2941">
        <f t="shared" si="32"/>
        <v>216.46288379323747</v>
      </c>
      <c r="F46" s="2941">
        <f t="shared" si="32"/>
        <v>134.23529411764704</v>
      </c>
      <c r="G46" s="3685">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2768</v>
      </c>
      <c r="B47" s="2941">
        <f t="shared" si="31"/>
        <v>163.84913591779542</v>
      </c>
      <c r="C47" s="2941">
        <f t="shared" si="31"/>
        <v>145.0283378746594</v>
      </c>
      <c r="D47" s="2941">
        <f t="shared" si="9"/>
        <v>145.0283378746594</v>
      </c>
      <c r="E47" s="2941">
        <f t="shared" si="32"/>
        <v>204.95180722891567</v>
      </c>
      <c r="F47" s="2941">
        <f t="shared" si="32"/>
        <v>125.95920303605313</v>
      </c>
      <c r="G47" s="3686">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2769</v>
      </c>
      <c r="B48" s="2954">
        <v>159</v>
      </c>
      <c r="C48" s="2954">
        <v>141</v>
      </c>
      <c r="D48" s="2954">
        <f t="shared" si="9"/>
        <v>141</v>
      </c>
      <c r="E48" s="2954">
        <v>195</v>
      </c>
      <c r="F48" s="2955">
        <v>122</v>
      </c>
      <c r="G48" s="3684">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85">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2771</v>
      </c>
      <c r="B50" s="2941">
        <f t="shared" si="35"/>
        <v>146.57412060301507</v>
      </c>
      <c r="C50" s="2941">
        <f t="shared" si="35"/>
        <v>136.46831955922866</v>
      </c>
      <c r="D50" s="2941">
        <f t="shared" si="9"/>
        <v>136.46831955922866</v>
      </c>
      <c r="E50" s="2941">
        <f t="shared" si="36"/>
        <v>166.73864894795128</v>
      </c>
      <c r="F50" s="2941">
        <f t="shared" si="36"/>
        <v>115.05882352941177</v>
      </c>
      <c r="G50" s="3685">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2772</v>
      </c>
      <c r="B51" s="2941">
        <f t="shared" si="35"/>
        <v>144.04145728643215</v>
      </c>
      <c r="C51" s="2941">
        <f t="shared" si="35"/>
        <v>136.12396694214877</v>
      </c>
      <c r="D51" s="2941">
        <f t="shared" si="9"/>
        <v>136.12396694214877</v>
      </c>
      <c r="E51" s="2941">
        <f t="shared" si="36"/>
        <v>158.32225913621264</v>
      </c>
      <c r="F51" s="2941">
        <f t="shared" si="36"/>
        <v>114.04278074866311</v>
      </c>
      <c r="G51" s="3686">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2773</v>
      </c>
      <c r="B52" s="2954">
        <v>138</v>
      </c>
      <c r="C52" s="2954">
        <v>131</v>
      </c>
      <c r="D52" s="2954">
        <f t="shared" si="9"/>
        <v>131</v>
      </c>
      <c r="E52" s="2954">
        <v>155</v>
      </c>
      <c r="F52" s="2955">
        <v>114</v>
      </c>
      <c r="G52" s="3684">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85">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2775</v>
      </c>
      <c r="B54" s="2941">
        <f t="shared" si="39"/>
        <v>124.29032258064517</v>
      </c>
      <c r="C54" s="2941">
        <f t="shared" si="39"/>
        <v>123.8968609865471</v>
      </c>
      <c r="D54" s="2941">
        <f t="shared" si="9"/>
        <v>123.8968609865471</v>
      </c>
      <c r="E54" s="2941">
        <f t="shared" si="40"/>
        <v>138.00507614213197</v>
      </c>
      <c r="F54" s="2941">
        <f t="shared" si="40"/>
        <v>107.96106557377048</v>
      </c>
      <c r="G54" s="3685">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2776</v>
      </c>
      <c r="B55" s="2941">
        <f t="shared" si="39"/>
        <v>122.57204301075269</v>
      </c>
      <c r="C55" s="2941">
        <f t="shared" si="39"/>
        <v>123.4932735426009</v>
      </c>
      <c r="D55" s="2941">
        <f t="shared" si="9"/>
        <v>123.4932735426009</v>
      </c>
      <c r="E55" s="2941">
        <f t="shared" si="40"/>
        <v>129.82233502538071</v>
      </c>
      <c r="F55" s="2941">
        <f t="shared" si="40"/>
        <v>107.39446721311475</v>
      </c>
      <c r="G55" s="3686">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2777</v>
      </c>
      <c r="B56" s="2975">
        <v>121</v>
      </c>
      <c r="C56" s="2975">
        <v>122</v>
      </c>
      <c r="D56" s="2975">
        <f t="shared" si="9"/>
        <v>122</v>
      </c>
      <c r="E56" s="2975">
        <v>124</v>
      </c>
      <c r="F56" s="2976">
        <v>107</v>
      </c>
      <c r="G56" s="3684">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85">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2779</v>
      </c>
      <c r="B58" s="2941">
        <f t="shared" si="43"/>
        <v>116.99099099099099</v>
      </c>
      <c r="C58" s="2941">
        <f t="shared" si="43"/>
        <v>118.84848484848486</v>
      </c>
      <c r="D58" s="2941">
        <f t="shared" si="9"/>
        <v>118.84848484848486</v>
      </c>
      <c r="E58" s="2941">
        <f t="shared" si="44"/>
        <v>117.60960960960961</v>
      </c>
      <c r="F58" s="2941">
        <f t="shared" si="44"/>
        <v>104</v>
      </c>
      <c r="G58" s="3685">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2780</v>
      </c>
      <c r="B59" s="2978">
        <f t="shared" si="43"/>
        <v>112.48648648648648</v>
      </c>
      <c r="C59" s="2978">
        <f t="shared" si="43"/>
        <v>115.21212121212122</v>
      </c>
      <c r="D59" s="2978">
        <f t="shared" si="9"/>
        <v>115.21212121212122</v>
      </c>
      <c r="E59" s="2978">
        <f t="shared" si="44"/>
        <v>110.4024024024024</v>
      </c>
      <c r="F59" s="2978">
        <f t="shared" si="44"/>
        <v>104</v>
      </c>
      <c r="G59" s="3686">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2781</v>
      </c>
      <c r="B60" s="2996">
        <v>111</v>
      </c>
      <c r="C60" s="2996">
        <v>114</v>
      </c>
      <c r="D60" s="2996">
        <f t="shared" si="9"/>
        <v>114</v>
      </c>
      <c r="E60" s="2996">
        <v>108</v>
      </c>
      <c r="F60" s="2997">
        <v>104</v>
      </c>
      <c r="G60" s="3684">
        <v>2003</v>
      </c>
      <c r="H60" s="2986">
        <v>4</v>
      </c>
      <c r="I60" s="2998"/>
      <c r="J60" s="2998"/>
      <c r="K60" s="2998"/>
      <c r="L60" s="2998"/>
      <c r="N60" s="2999"/>
      <c r="O60" s="2998"/>
      <c r="P60" s="2998"/>
      <c r="Q60" s="2998"/>
      <c r="S60" s="2999"/>
      <c r="T60" s="2998"/>
      <c r="U60" s="2998"/>
      <c r="V60" s="2998"/>
      <c r="X60" s="2990"/>
      <c r="Y60" s="2990"/>
      <c r="Z60" s="2990"/>
    </row>
    <row r="61" spans="1:26">
      <c r="A61" s="2920" t="s">
        <v>2782</v>
      </c>
      <c r="B61" s="3000">
        <f t="shared" ref="B61:C63" si="45">B62+(B$60-B$64)/4</f>
        <v>109.75</v>
      </c>
      <c r="C61" s="3000">
        <f t="shared" si="45"/>
        <v>112.25</v>
      </c>
      <c r="D61" s="3000">
        <f t="shared" si="9"/>
        <v>112.25</v>
      </c>
      <c r="E61" s="3000">
        <f t="shared" ref="E61:F63" si="46">E62+(E$60-E$64)/4</f>
        <v>107.25</v>
      </c>
      <c r="F61" s="3000">
        <f t="shared" si="46"/>
        <v>103.5</v>
      </c>
      <c r="G61" s="3685">
        <v>2003</v>
      </c>
      <c r="H61" s="2951">
        <v>3</v>
      </c>
      <c r="I61" s="2998"/>
      <c r="J61" s="2998"/>
      <c r="K61" s="2998"/>
      <c r="L61" s="2998"/>
      <c r="X61" s="2990"/>
      <c r="Y61" s="2990"/>
      <c r="Z61" s="2990"/>
    </row>
    <row r="62" spans="1:26">
      <c r="A62" s="2920" t="s">
        <v>2783</v>
      </c>
      <c r="B62" s="3000">
        <f t="shared" si="45"/>
        <v>108.5</v>
      </c>
      <c r="C62" s="3000">
        <f t="shared" si="45"/>
        <v>110.5</v>
      </c>
      <c r="D62" s="3000">
        <f t="shared" si="9"/>
        <v>110.5</v>
      </c>
      <c r="E62" s="3000">
        <f t="shared" si="46"/>
        <v>106.5</v>
      </c>
      <c r="F62" s="3000">
        <f t="shared" si="46"/>
        <v>103</v>
      </c>
      <c r="G62" s="3685">
        <v>2003</v>
      </c>
      <c r="H62" s="2926">
        <v>2</v>
      </c>
      <c r="I62" s="2998"/>
      <c r="J62" s="2998"/>
      <c r="K62" s="2998"/>
      <c r="L62" s="2998"/>
      <c r="X62" s="2990"/>
      <c r="Y62" s="2990"/>
      <c r="Z62" s="2990"/>
    </row>
    <row r="63" spans="1:26" ht="13.5" thickBot="1">
      <c r="A63" s="2920" t="s">
        <v>2784</v>
      </c>
      <c r="B63" s="3000">
        <f t="shared" si="45"/>
        <v>107.25</v>
      </c>
      <c r="C63" s="3000">
        <f t="shared" si="45"/>
        <v>108.75</v>
      </c>
      <c r="D63" s="3000">
        <f t="shared" si="9"/>
        <v>108.75</v>
      </c>
      <c r="E63" s="3000">
        <f t="shared" si="46"/>
        <v>105.75</v>
      </c>
      <c r="F63" s="3000">
        <f t="shared" si="46"/>
        <v>102.5</v>
      </c>
      <c r="G63" s="3686">
        <v>2003</v>
      </c>
      <c r="H63" s="3001">
        <v>1</v>
      </c>
      <c r="I63" s="2998"/>
      <c r="J63" s="2998"/>
      <c r="K63" s="2998"/>
      <c r="L63" s="2998"/>
      <c r="S63" s="2936"/>
      <c r="T63" s="2937"/>
      <c r="U63" s="2937"/>
      <c r="X63" s="2990"/>
      <c r="Y63" s="2990"/>
      <c r="Z63" s="2990"/>
    </row>
    <row r="64" spans="1:26" ht="13.5" thickBot="1">
      <c r="A64" s="2920" t="s">
        <v>2785</v>
      </c>
      <c r="B64" s="3002">
        <v>106</v>
      </c>
      <c r="C64" s="3002">
        <v>107</v>
      </c>
      <c r="D64" s="3002">
        <f t="shared" si="9"/>
        <v>107</v>
      </c>
      <c r="E64" s="3002">
        <v>105</v>
      </c>
      <c r="F64" s="3003">
        <v>102</v>
      </c>
      <c r="G64" s="3684">
        <v>2002</v>
      </c>
      <c r="H64" s="2946">
        <v>4</v>
      </c>
      <c r="I64" s="2998"/>
      <c r="J64" s="2998"/>
      <c r="K64" s="2998"/>
      <c r="L64" s="2998"/>
      <c r="N64" s="2999"/>
      <c r="O64" s="2998"/>
      <c r="P64" s="2998"/>
      <c r="Q64" s="2998"/>
      <c r="S64" s="2999"/>
      <c r="T64" s="2998"/>
      <c r="U64" s="2998"/>
      <c r="V64" s="2998"/>
      <c r="X64" s="2990"/>
      <c r="Y64" s="2990"/>
      <c r="Z64" s="2990"/>
    </row>
    <row r="65" spans="1:26">
      <c r="A65" s="2920" t="s">
        <v>2786</v>
      </c>
      <c r="B65" s="3000">
        <f t="shared" ref="B65:C67" si="47">B66+(B$64-B$68)/4</f>
        <v>105</v>
      </c>
      <c r="C65" s="3000">
        <f t="shared" si="47"/>
        <v>106</v>
      </c>
      <c r="D65" s="3000">
        <f t="shared" si="9"/>
        <v>106</v>
      </c>
      <c r="E65" s="3000">
        <f t="shared" ref="E65:F67" si="48">E66+(E$64-E$68)/4</f>
        <v>104.5</v>
      </c>
      <c r="F65" s="3000">
        <f t="shared" si="48"/>
        <v>101.5</v>
      </c>
      <c r="G65" s="3685">
        <v>2002</v>
      </c>
      <c r="H65" s="2951">
        <v>3</v>
      </c>
      <c r="I65" s="2998"/>
      <c r="J65" s="2998"/>
      <c r="K65" s="2998"/>
      <c r="L65" s="2998"/>
      <c r="X65" s="2990"/>
      <c r="Y65" s="2990"/>
      <c r="Z65" s="2990"/>
    </row>
    <row r="66" spans="1:26">
      <c r="A66" s="2920" t="s">
        <v>2787</v>
      </c>
      <c r="B66" s="3000">
        <f t="shared" si="47"/>
        <v>104</v>
      </c>
      <c r="C66" s="3000">
        <f t="shared" si="47"/>
        <v>105</v>
      </c>
      <c r="D66" s="3000">
        <f t="shared" si="9"/>
        <v>105</v>
      </c>
      <c r="E66" s="3000">
        <f t="shared" si="48"/>
        <v>104</v>
      </c>
      <c r="F66" s="3000">
        <f t="shared" si="48"/>
        <v>101</v>
      </c>
      <c r="G66" s="3685">
        <v>2002</v>
      </c>
      <c r="H66" s="2926">
        <v>2</v>
      </c>
      <c r="I66" s="2998"/>
      <c r="J66" s="2998"/>
      <c r="K66" s="2998"/>
      <c r="L66" s="2998"/>
      <c r="X66" s="2990"/>
      <c r="Y66" s="2990"/>
      <c r="Z66" s="2990"/>
    </row>
    <row r="67" spans="1:26" s="2962" customFormat="1" ht="13.5" thickBot="1">
      <c r="A67" s="2958" t="s">
        <v>2788</v>
      </c>
      <c r="B67" s="3004">
        <f t="shared" si="47"/>
        <v>103</v>
      </c>
      <c r="C67" s="3004">
        <f t="shared" si="47"/>
        <v>104</v>
      </c>
      <c r="D67" s="3004">
        <f t="shared" si="9"/>
        <v>104</v>
      </c>
      <c r="E67" s="3004">
        <f t="shared" si="48"/>
        <v>103.5</v>
      </c>
      <c r="F67" s="3004">
        <f t="shared" si="48"/>
        <v>100.5</v>
      </c>
      <c r="G67" s="3686">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2789</v>
      </c>
      <c r="G70" s="3014"/>
      <c r="N70" s="3014"/>
      <c r="S70" s="3014"/>
    </row>
    <row r="71" spans="1:26" s="3013" customFormat="1">
      <c r="A71" s="3013" t="s">
        <v>2790</v>
      </c>
      <c r="G71" s="3014"/>
      <c r="N71" s="3014"/>
      <c r="S71" s="3014"/>
    </row>
    <row r="72" spans="1:26" s="3013" customFormat="1">
      <c r="A72" s="3013" t="s">
        <v>2791</v>
      </c>
      <c r="G72" s="3014"/>
      <c r="I72" s="3015"/>
      <c r="J72" s="3015"/>
      <c r="K72" s="3015"/>
      <c r="L72" s="3015"/>
      <c r="N72" s="3016"/>
      <c r="O72" s="3015"/>
      <c r="P72" s="3015"/>
      <c r="Q72" s="3015"/>
      <c r="S72" s="3016"/>
      <c r="T72" s="3015"/>
      <c r="U72" s="3015"/>
      <c r="V72" s="3015"/>
    </row>
    <row r="73" spans="1:26" s="3013" customFormat="1">
      <c r="A73" s="3013" t="s">
        <v>2792</v>
      </c>
      <c r="G73" s="3014"/>
      <c r="N73" s="3014"/>
      <c r="S73" s="3014"/>
    </row>
    <row r="80" spans="1:26" ht="13.5" thickBot="1"/>
    <row r="81" spans="14:22" s="2935" customFormat="1">
      <c r="N81" s="2950"/>
      <c r="S81" s="3017" t="s">
        <v>2793</v>
      </c>
      <c r="T81" s="3018" t="s">
        <v>2794</v>
      </c>
      <c r="U81" s="3018" t="s">
        <v>2795</v>
      </c>
      <c r="V81" s="3018" t="s">
        <v>2796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7" t="s">
        <v>2397</v>
      </c>
      <c r="D1" s="3698"/>
      <c r="E1" s="3698"/>
      <c r="F1" s="3698"/>
      <c r="G1" s="3698"/>
      <c r="H1" s="3698"/>
      <c r="I1" s="3698"/>
      <c r="J1" s="3698"/>
      <c r="K1" s="3698"/>
      <c r="L1" s="3698"/>
      <c r="M1" s="3698"/>
      <c r="N1" s="3698"/>
      <c r="O1" s="3698"/>
      <c r="P1" s="3698"/>
      <c r="Q1" s="3698"/>
      <c r="R1" s="3698"/>
      <c r="S1" s="3699"/>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3044</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3043</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3042</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3039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4" t="s">
        <v>169</v>
      </c>
      <c r="D22" s="3695"/>
      <c r="E22" s="3695"/>
      <c r="F22" s="3695"/>
      <c r="G22" s="3695"/>
      <c r="H22" s="3695"/>
      <c r="I22" s="3695"/>
      <c r="J22" s="3695"/>
      <c r="K22" s="3695"/>
      <c r="L22" s="3695"/>
      <c r="M22" s="3695"/>
      <c r="N22" s="3695"/>
      <c r="O22" s="3695"/>
      <c r="P22" s="3695"/>
      <c r="Q22" s="3696"/>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31187</v>
      </c>
      <c r="C2" s="85" t="s">
        <v>872</v>
      </c>
      <c r="D2" s="575"/>
      <c r="E2" s="575"/>
      <c r="F2" s="575"/>
      <c r="G2" s="575"/>
    </row>
    <row r="3" spans="1:7" s="576" customFormat="1" ht="18" customHeight="1" thickBot="1">
      <c r="A3" s="579" t="s">
        <v>824</v>
      </c>
      <c r="B3" s="580">
        <f ca="1">ROUND(B2*10000/'数据-汇总表'!E3,0)</f>
        <v>15304</v>
      </c>
      <c r="C3" s="85" t="s">
        <v>873</v>
      </c>
      <c r="D3" s="575"/>
      <c r="E3" s="575"/>
      <c r="F3" s="575"/>
      <c r="G3" s="575"/>
    </row>
    <row r="4" spans="1:7" s="584" customFormat="1" ht="15.75">
      <c r="A4" s="581" t="s">
        <v>825</v>
      </c>
      <c r="B4" s="582"/>
      <c r="C4" s="582"/>
      <c r="D4" s="582"/>
      <c r="E4" s="582"/>
      <c r="F4" s="582"/>
      <c r="G4" s="583"/>
    </row>
    <row r="5" spans="1:7" s="590" customFormat="1" ht="13.5" customHeight="1">
      <c r="A5" s="631" t="s">
        <v>2518</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2696</v>
      </c>
    </row>
    <row r="9" spans="1:7" s="590" customFormat="1" ht="13.5" customHeight="1">
      <c r="A9" s="1806" t="s">
        <v>1937</v>
      </c>
      <c r="B9" s="600" t="s">
        <v>832</v>
      </c>
      <c r="C9" s="601">
        <f>ROUND(D9*E9/10000,0)</f>
        <v>0</v>
      </c>
      <c r="D9" s="1910">
        <f>'数据-汇总表'!E5</f>
        <v>0</v>
      </c>
      <c r="E9" s="601">
        <f>'数据-取费表'!B27</f>
        <v>100</v>
      </c>
      <c r="F9" s="597"/>
      <c r="G9" s="602"/>
    </row>
    <row r="10" spans="1:7" s="590" customFormat="1" ht="13.5" customHeight="1">
      <c r="A10" s="1806" t="s">
        <v>1938</v>
      </c>
      <c r="B10" s="600" t="s">
        <v>833</v>
      </c>
      <c r="C10" s="601">
        <f>ROUND(D10*E10/10000,0)</f>
        <v>306</v>
      </c>
      <c r="D10" s="1910">
        <f>'数据-汇总表'!E6</f>
        <v>20377.830000000002</v>
      </c>
      <c r="E10" s="601">
        <f>'数据-取费表'!B28</f>
        <v>150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f>IF(G19="已包含在土地取得成本中","0",ROUND(D19*E19/10000,0))</f>
        <v>408</v>
      </c>
      <c r="D19" s="1914">
        <f>'数据-汇总表'!E3</f>
        <v>20377.830000000002</v>
      </c>
      <c r="E19" s="587">
        <f>'数据-取费表'!B31</f>
        <v>200</v>
      </c>
      <c r="F19" s="607"/>
      <c r="G19" s="84" t="s">
        <v>2541</v>
      </c>
    </row>
    <row r="20" spans="1:7" s="590" customFormat="1" ht="13.5" customHeight="1">
      <c r="A20" s="1804" t="s">
        <v>2521</v>
      </c>
      <c r="B20" s="586" t="s">
        <v>843</v>
      </c>
      <c r="C20" s="608">
        <f>ROUND((C5+C19)*F20,0)</f>
        <v>420</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1530</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1931</v>
      </c>
      <c r="B23" s="591" t="s">
        <v>2525</v>
      </c>
      <c r="C23" s="2702">
        <f ca="1">ROUND(IF('数据-取费表'!B22&lt;=1,C5*F22*'数据-取费表'!B23,C5*(POWER((1+F22),'数据-取费表'!B23)-1)),0)</f>
        <v>1486</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29</v>
      </c>
      <c r="D24" s="614"/>
      <c r="E24" s="614"/>
      <c r="F24" s="615"/>
      <c r="G24" s="616" t="s">
        <v>848</v>
      </c>
    </row>
    <row r="25" spans="1:7" s="590" customFormat="1" ht="24">
      <c r="A25" s="1807" t="s">
        <v>1930</v>
      </c>
      <c r="B25" s="591" t="s">
        <v>2522</v>
      </c>
      <c r="C25" s="2702">
        <f ca="1">ROUND(IF('数据-取费表'!B22&lt;=1,C20*F22*'数据-取费表'!B23/2,C20*(POWER((1+F22),'数据-取费表'!B23/2)-1)),0)</f>
        <v>15</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C28</f>
        <v>1072</v>
      </c>
      <c r="D27" s="611">
        <f>C29</f>
        <v>1E-3</v>
      </c>
      <c r="E27" s="612" t="s">
        <v>865</v>
      </c>
      <c r="F27" s="622">
        <f>'数据-取费表'!Q16</f>
        <v>0.05</v>
      </c>
      <c r="G27" s="623" t="s">
        <v>2533</v>
      </c>
    </row>
    <row r="28" spans="1:7" s="590" customFormat="1" ht="13.5" customHeight="1">
      <c r="A28" s="1807" t="s">
        <v>1931</v>
      </c>
      <c r="B28" s="624" t="s">
        <v>2526</v>
      </c>
      <c r="C28" s="625">
        <f>ROUND((C5+C19+C20)*F27*'数据-取费表'!B21/'数据-取费表'!B20,0)</f>
        <v>1072</v>
      </c>
      <c r="D28" s="611"/>
      <c r="E28" s="612"/>
      <c r="F28" s="622"/>
      <c r="G28" s="623"/>
    </row>
    <row r="29" spans="1:7" s="590" customFormat="1" ht="13.5" customHeight="1">
      <c r="A29" s="1807" t="s">
        <v>1929</v>
      </c>
      <c r="B29" s="624" t="s">
        <v>2527</v>
      </c>
      <c r="C29" s="614">
        <f>ROUND(C21*F27*'数据-取费表'!B21/'数据-取费表'!B20,4)</f>
        <v>1E-3</v>
      </c>
      <c r="D29" s="611"/>
      <c r="E29" s="612"/>
      <c r="F29" s="622"/>
      <c r="G29" s="623"/>
    </row>
    <row r="30" spans="1:7" s="590" customFormat="1" ht="13.5" customHeight="1">
      <c r="A30" s="1804" t="s">
        <v>1925</v>
      </c>
      <c r="B30" s="586" t="s">
        <v>349</v>
      </c>
      <c r="C30" s="611">
        <f>F30</f>
        <v>5.5000000000000007E-2</v>
      </c>
      <c r="D30" s="612" t="s">
        <v>866</v>
      </c>
      <c r="E30" s="617"/>
      <c r="F30" s="613">
        <f>'数据-取费表'!B41</f>
        <v>5.5000000000000007E-2</v>
      </c>
      <c r="G30" s="610" t="s">
        <v>852</v>
      </c>
    </row>
    <row r="31" spans="1:7" ht="16.5" customHeight="1">
      <c r="A31" s="585">
        <v>1</v>
      </c>
      <c r="B31" s="586" t="s">
        <v>867</v>
      </c>
      <c r="C31" s="587">
        <f ca="1">ROUND((C5+C19+C20+C22+C27)/(1-C21-D22-D27-C30/(1+'数据-取费表'!B42)),0)</f>
        <v>25963</v>
      </c>
      <c r="D31" s="606"/>
      <c r="E31" s="587"/>
      <c r="F31" s="626"/>
      <c r="G31" s="610" t="s">
        <v>2534</v>
      </c>
    </row>
    <row r="32" spans="1:7" s="584" customFormat="1" ht="15.75">
      <c r="A32" s="628" t="s">
        <v>853</v>
      </c>
      <c r="B32" s="629"/>
      <c r="C32" s="629"/>
      <c r="D32" s="629"/>
      <c r="E32" s="629"/>
      <c r="F32" s="629"/>
      <c r="G32" s="630"/>
    </row>
    <row r="33" spans="1:7" s="590" customFormat="1" ht="13.5" customHeight="1">
      <c r="A33" s="631" t="s">
        <v>1919</v>
      </c>
      <c r="B33" s="586" t="s">
        <v>854</v>
      </c>
      <c r="C33" s="632">
        <f>SUM(C34:C38)</f>
        <v>4749</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4076</v>
      </c>
      <c r="D34" s="593"/>
      <c r="E34" s="596"/>
      <c r="F34" s="633">
        <f>IF('数据-取费表'!B24=0,1,'数据-取费表'!N16)</f>
        <v>1</v>
      </c>
      <c r="G34" s="595" t="s">
        <v>855</v>
      </c>
    </row>
    <row r="35" spans="1:7" ht="13.5" customHeight="1">
      <c r="A35" s="1807" t="s">
        <v>1933</v>
      </c>
      <c r="B35" s="591" t="s">
        <v>351</v>
      </c>
      <c r="C35" s="596">
        <f>ROUND(C34*F35,0)</f>
        <v>204</v>
      </c>
      <c r="D35" s="596"/>
      <c r="E35" s="596"/>
      <c r="F35" s="635">
        <f>'数据-取费表'!B33</f>
        <v>0.05</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408</v>
      </c>
      <c r="D37" s="593">
        <f>'数据-汇总表'!E3</f>
        <v>20377.830000000002</v>
      </c>
      <c r="E37" s="625">
        <f>'数据-取费表'!B35</f>
        <v>200</v>
      </c>
      <c r="F37" s="635"/>
      <c r="G37" s="637" t="s">
        <v>858</v>
      </c>
    </row>
    <row r="38" spans="1:7" ht="13.5" customHeight="1">
      <c r="A38" s="1807" t="s">
        <v>1936</v>
      </c>
      <c r="B38" s="591" t="s">
        <v>354</v>
      </c>
      <c r="C38" s="596">
        <f>ROUND(C34*F38,0)</f>
        <v>61</v>
      </c>
      <c r="D38" s="596"/>
      <c r="E38" s="596"/>
      <c r="F38" s="635">
        <f>'数据-取费表'!B36</f>
        <v>1.4999999999999999E-2</v>
      </c>
      <c r="G38" s="595" t="s">
        <v>856</v>
      </c>
    </row>
    <row r="39" spans="1:7" s="590" customFormat="1" ht="13.5" customHeight="1">
      <c r="A39" s="1804" t="s">
        <v>1920</v>
      </c>
      <c r="B39" s="586" t="s">
        <v>843</v>
      </c>
      <c r="C39" s="608">
        <f>ROUND(C33*F20,0)</f>
        <v>95</v>
      </c>
      <c r="D39" s="608"/>
      <c r="E39" s="608"/>
      <c r="F39" s="609"/>
      <c r="G39" s="2622" t="s">
        <v>2535</v>
      </c>
    </row>
    <row r="40" spans="1:7" s="590" customFormat="1" ht="13.5" customHeight="1">
      <c r="A40" s="1804" t="s">
        <v>1921</v>
      </c>
      <c r="B40" s="586" t="s">
        <v>844</v>
      </c>
      <c r="C40" s="638">
        <f>F21</f>
        <v>0.02</v>
      </c>
      <c r="D40" s="612" t="s">
        <v>868</v>
      </c>
      <c r="E40" s="608"/>
      <c r="F40" s="609"/>
      <c r="G40" s="610" t="s">
        <v>859</v>
      </c>
    </row>
    <row r="41" spans="1:7" s="590" customFormat="1" ht="13.5" customHeight="1">
      <c r="A41" s="1804" t="s">
        <v>1922</v>
      </c>
      <c r="B41" s="586" t="s">
        <v>846</v>
      </c>
      <c r="C41" s="608">
        <f ca="1">ROUND(SUM(C42:C43),0)</f>
        <v>171</v>
      </c>
      <c r="D41" s="611">
        <f ca="1">C44</f>
        <v>6.9999999999999999E-4</v>
      </c>
      <c r="E41" s="612" t="s">
        <v>868</v>
      </c>
      <c r="F41" s="613"/>
      <c r="G41" s="2622" t="str">
        <f>IF('数据-取费表'!B22&lt;=1,"单利计息","复利计息")</f>
        <v>复利计息</v>
      </c>
    </row>
    <row r="42" spans="1:7" ht="13.5" customHeight="1">
      <c r="A42" s="1807" t="s">
        <v>1931</v>
      </c>
      <c r="B42" s="591" t="s">
        <v>2525</v>
      </c>
      <c r="C42" s="614">
        <f ca="1">ROUND(IF('数据-取费表'!B22&lt;=1,C33*F22*'数据-取费表'!B21/2,C33*(POWER((1+F22),'数据-取费表'!B21/2)-1)),0)</f>
        <v>168</v>
      </c>
      <c r="D42" s="614"/>
      <c r="E42" s="614"/>
      <c r="F42" s="615"/>
      <c r="G42" s="3521" t="s">
        <v>860</v>
      </c>
    </row>
    <row r="43" spans="1:7" ht="13.5" customHeight="1">
      <c r="A43" s="1807" t="s">
        <v>1929</v>
      </c>
      <c r="B43" s="591" t="s">
        <v>2528</v>
      </c>
      <c r="C43" s="614">
        <f ca="1">ROUND(IF('数据-取费表'!B22&lt;=1,C39*F22*'数据-取费表'!B21/2,C39*(POWER((1+F22),'数据-取费表'!B21/2)-1)),0)</f>
        <v>3</v>
      </c>
      <c r="D43" s="614"/>
      <c r="E43" s="614"/>
      <c r="F43" s="615"/>
      <c r="G43" s="3522"/>
    </row>
    <row r="44" spans="1:7" ht="13.5" customHeight="1">
      <c r="A44" s="1807" t="s">
        <v>1930</v>
      </c>
      <c r="B44" s="591" t="s">
        <v>2530</v>
      </c>
      <c r="C44" s="614">
        <f ca="1">ROUND(IF('数据-取费表'!B22&lt;=1,C40*F22*'数据-取费表'!B21/2,C40*(POWER((1+F22),'数据-取费表'!B21/2)-1)),4)</f>
        <v>6.9999999999999999E-4</v>
      </c>
      <c r="D44" s="614"/>
      <c r="E44" s="614"/>
      <c r="F44" s="615"/>
      <c r="G44" s="3523"/>
    </row>
    <row r="45" spans="1:7" s="590" customFormat="1" ht="13.5" customHeight="1">
      <c r="A45" s="1804" t="s">
        <v>1923</v>
      </c>
      <c r="B45" s="620" t="s">
        <v>851</v>
      </c>
      <c r="C45" s="621">
        <f>C46</f>
        <v>242</v>
      </c>
      <c r="D45" s="611">
        <f>C47</f>
        <v>1E-3</v>
      </c>
      <c r="E45" s="612" t="s">
        <v>868</v>
      </c>
      <c r="F45" s="622"/>
      <c r="G45" s="623" t="s">
        <v>2536</v>
      </c>
    </row>
    <row r="46" spans="1:7" s="590" customFormat="1" ht="13.5" customHeight="1">
      <c r="A46" s="1807" t="s">
        <v>1931</v>
      </c>
      <c r="B46" s="624" t="s">
        <v>2529</v>
      </c>
      <c r="C46" s="625">
        <f>ROUND((C33+C39)*F27,0)</f>
        <v>242</v>
      </c>
      <c r="D46" s="639"/>
      <c r="E46" s="612"/>
      <c r="F46" s="622"/>
      <c r="G46" s="623"/>
    </row>
    <row r="47" spans="1:7" s="590" customFormat="1" ht="13.5" customHeight="1">
      <c r="A47" s="1807" t="s">
        <v>1929</v>
      </c>
      <c r="B47" s="624" t="s">
        <v>2531</v>
      </c>
      <c r="C47" s="614">
        <f>ROUND(C40*F27,4)</f>
        <v>1E-3</v>
      </c>
      <c r="D47" s="639"/>
      <c r="E47" s="612"/>
      <c r="F47" s="622"/>
      <c r="G47" s="623"/>
    </row>
    <row r="48" spans="1:7" s="590" customFormat="1" ht="13.5" customHeight="1">
      <c r="A48" s="1804" t="s">
        <v>1924</v>
      </c>
      <c r="B48" s="586" t="s">
        <v>861</v>
      </c>
      <c r="C48" s="638">
        <f>F30</f>
        <v>5.5000000000000007E-2</v>
      </c>
      <c r="D48" s="612" t="s">
        <v>869</v>
      </c>
      <c r="E48" s="608"/>
      <c r="F48" s="613"/>
      <c r="G48" s="610" t="s">
        <v>862</v>
      </c>
    </row>
    <row r="49" spans="1:7" ht="16.5" customHeight="1">
      <c r="A49" s="1804" t="s">
        <v>1925</v>
      </c>
      <c r="B49" s="586" t="s">
        <v>870</v>
      </c>
      <c r="C49" s="608">
        <f ca="1">ROUND((C33+C39+C41+C45)/(1-C40-D41-D45-C48/(1+'数据-取费表'!B42)),0)</f>
        <v>5678</v>
      </c>
      <c r="D49" s="608"/>
      <c r="E49" s="608"/>
      <c r="F49" s="640"/>
      <c r="G49" s="610" t="s">
        <v>2537</v>
      </c>
    </row>
    <row r="50" spans="1:7" s="634" customFormat="1" ht="24">
      <c r="A50" s="1804" t="s">
        <v>1926</v>
      </c>
      <c r="B50" s="586" t="s">
        <v>863</v>
      </c>
      <c r="C50" s="608"/>
      <c r="D50" s="608"/>
      <c r="E50" s="608"/>
      <c r="F50" s="640">
        <f>IF('数据-取费表'!B24=0,'数据-取费表'!N16,1)</f>
        <v>0.92</v>
      </c>
      <c r="G50" s="623" t="s">
        <v>864</v>
      </c>
    </row>
    <row r="51" spans="1:7" ht="16.5" customHeight="1">
      <c r="A51" s="1804" t="s">
        <v>1927</v>
      </c>
      <c r="B51" s="586" t="s">
        <v>871</v>
      </c>
      <c r="C51" s="608">
        <f ca="1">ROUND(C49*F50,0)</f>
        <v>5224</v>
      </c>
      <c r="D51" s="608"/>
      <c r="E51" s="608"/>
      <c r="F51" s="640"/>
      <c r="G51" s="610" t="s">
        <v>355</v>
      </c>
    </row>
    <row r="52" spans="1:7" s="584" customFormat="1" ht="16.5" thickBot="1">
      <c r="A52" s="641" t="s">
        <v>356</v>
      </c>
      <c r="B52" s="642"/>
      <c r="C52" s="643">
        <f ca="1">C31+C51</f>
        <v>31187</v>
      </c>
      <c r="D52" s="642"/>
      <c r="E52" s="642"/>
      <c r="F52" s="642"/>
      <c r="G52" s="644"/>
    </row>
    <row r="55" spans="1:7" ht="15">
      <c r="B55" s="646" t="s">
        <v>357</v>
      </c>
      <c r="C55" s="647"/>
    </row>
    <row r="56" spans="1:7">
      <c r="B56" s="649" t="s">
        <v>358</v>
      </c>
      <c r="C56" s="650">
        <f ca="1">ROUND(C51/C52,3)</f>
        <v>0.16800000000000001</v>
      </c>
    </row>
    <row r="57" spans="1:7">
      <c r="B57" s="649" t="s">
        <v>359</v>
      </c>
      <c r="C57" s="651">
        <f ca="1">1-C56</f>
        <v>0.83199999999999996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3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7"/>
      <c r="C2" s="3337"/>
      <c r="D2" s="3337"/>
      <c r="E2" s="3337"/>
    </row>
    <row r="3" spans="1:5" ht="18.75">
      <c r="A3" s="3338" t="s">
        <v>2040</v>
      </c>
      <c r="B3" s="3338"/>
      <c r="C3" s="3338"/>
      <c r="D3" s="3338"/>
      <c r="E3" s="3338"/>
    </row>
    <row r="4" spans="1:5" ht="19.5" thickBot="1">
      <c r="A4" s="1977"/>
      <c r="B4" s="3336" t="s">
        <v>2045</v>
      </c>
      <c r="C4" s="3336"/>
      <c r="D4" s="3336"/>
      <c r="E4" s="1977"/>
    </row>
    <row r="5" spans="1:5" ht="16.5" thickTop="1">
      <c r="A5" s="1965"/>
      <c r="B5" s="3334" t="s">
        <v>2041</v>
      </c>
      <c r="C5" s="1967" t="s">
        <v>2046</v>
      </c>
      <c r="D5" s="1968">
        <f ca="1">结果表!H101</f>
        <v>10658</v>
      </c>
      <c r="E5" s="1965"/>
    </row>
    <row r="6" spans="1:5" ht="15.75">
      <c r="A6" s="1965"/>
      <c r="B6" s="3334"/>
      <c r="C6" s="1967" t="s">
        <v>2887</v>
      </c>
      <c r="D6" s="1968" t="str">
        <f ca="1">NUMBERSTRING(INT(D5*10000),2)&amp;"元整"</f>
        <v>壹亿零陆佰伍拾捌万元整</v>
      </c>
      <c r="E6" s="1965"/>
    </row>
    <row r="7" spans="1:5" ht="15.75">
      <c r="A7" s="1965"/>
      <c r="B7" s="3339"/>
      <c r="C7" s="1969" t="s">
        <v>2047</v>
      </c>
      <c r="D7" s="1970">
        <f ca="1">结果表!H102</f>
        <v>5230</v>
      </c>
      <c r="E7" s="1965"/>
    </row>
    <row r="8" spans="1:5" ht="15.75">
      <c r="A8" s="1965"/>
      <c r="B8" s="3340" t="str">
        <f>结果表!E103</f>
        <v>2.估价师知悉的法定优先受偿款</v>
      </c>
      <c r="C8" s="1971" t="s">
        <v>2048</v>
      </c>
      <c r="D8" s="1970">
        <f>结果表!H103</f>
        <v>0</v>
      </c>
      <c r="E8" s="1965"/>
    </row>
    <row r="9" spans="1:5" ht="15.75">
      <c r="A9" s="1965"/>
      <c r="B9" s="3342"/>
      <c r="C9" s="1967" t="s">
        <v>2887</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33" t="str">
        <f>结果表!E107</f>
        <v>3.房地产抵押价值</v>
      </c>
      <c r="C13" s="1975" t="s">
        <v>2046</v>
      </c>
      <c r="D13" s="1978">
        <f ca="1">结果表!H107</f>
        <v>10658</v>
      </c>
      <c r="E13" s="1965"/>
    </row>
    <row r="14" spans="1:5" ht="15.75">
      <c r="A14" s="1965"/>
      <c r="B14" s="3334"/>
      <c r="C14" s="1967" t="s">
        <v>2887</v>
      </c>
      <c r="D14" s="1968" t="str">
        <f ca="1">NUMBERSTRING(INT(D13*10000),2)&amp;"元整"</f>
        <v>壹亿零陆佰伍拾捌万元整</v>
      </c>
      <c r="E14" s="1965"/>
    </row>
    <row r="15" spans="1:5" ht="15">
      <c r="A15" s="1965"/>
      <c r="B15" s="3339"/>
      <c r="C15" s="1969" t="s">
        <v>2047</v>
      </c>
      <c r="D15" s="2080">
        <f ca="1">结果表!H108</f>
        <v>5230</v>
      </c>
      <c r="E15" s="1965"/>
    </row>
    <row r="16" spans="1:5" ht="14.25">
      <c r="A16" s="1965"/>
      <c r="B16" s="3340" t="str">
        <f>结果表!E109</f>
        <v>——</v>
      </c>
      <c r="C16" s="1975" t="s">
        <v>2046</v>
      </c>
      <c r="D16" s="2081" t="str">
        <f>结果表!H109</f>
        <v>——</v>
      </c>
      <c r="E16" s="1965"/>
    </row>
    <row r="17" spans="1:5" ht="15.75">
      <c r="A17" s="1965"/>
      <c r="B17" s="3341"/>
      <c r="C17" s="1967" t="s">
        <v>2887</v>
      </c>
      <c r="D17" s="1968" t="e">
        <f>NUMBERSTRING(INT(D16*10000),2)&amp;"元整"</f>
        <v>#VALUE!</v>
      </c>
      <c r="E17" s="1965"/>
    </row>
    <row r="18" spans="1:5" ht="15">
      <c r="A18" s="1965"/>
      <c r="B18" s="3342"/>
      <c r="C18" s="1969" t="s">
        <v>2047</v>
      </c>
      <c r="D18" s="2080" t="str">
        <f>结果表!H110</f>
        <v>——</v>
      </c>
      <c r="E18" s="1965"/>
    </row>
    <row r="19" spans="1:5" ht="15.75">
      <c r="A19" s="1965"/>
      <c r="B19" s="3333" t="str">
        <f>结果表!E111</f>
        <v>——</v>
      </c>
      <c r="C19" s="1975" t="s">
        <v>2046</v>
      </c>
      <c r="D19" s="1970" t="str">
        <f>结果表!H111</f>
        <v>——</v>
      </c>
      <c r="E19" s="1965"/>
    </row>
    <row r="20" spans="1:5" ht="15.75">
      <c r="A20" s="1965"/>
      <c r="B20" s="3334"/>
      <c r="C20" s="1967" t="s">
        <v>2887</v>
      </c>
      <c r="D20" s="1968" t="e">
        <f>NUMBERSTRING(INT(D19*10000),2)&amp;"元整"</f>
        <v>#VALUE!</v>
      </c>
      <c r="E20" s="1965"/>
    </row>
    <row r="21" spans="1:5" ht="15.75" thickBot="1">
      <c r="A21" s="1965"/>
      <c r="B21" s="3335"/>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0" t="s">
        <v>1177</v>
      </c>
      <c r="B1" s="3700"/>
      <c r="C1" s="3700"/>
      <c r="D1" s="3700"/>
      <c r="E1" s="3700"/>
      <c r="F1" s="3700"/>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1" t="s">
        <v>1190</v>
      </c>
      <c r="B2" s="3701"/>
      <c r="C2" s="3701"/>
      <c r="D2" s="3701"/>
      <c r="E2" s="3701"/>
      <c r="F2" s="3701"/>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2"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3"/>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2510</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2510</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0" t="s">
        <v>2146</v>
      </c>
      <c r="B1" s="3700"/>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2919</v>
      </c>
      <c r="C1" s="3203">
        <f>项目基本情况!D3</f>
        <v>42926</v>
      </c>
      <c r="D1" s="3209" t="s">
        <v>2920</v>
      </c>
      <c r="E1" s="3204">
        <f>'数据-取费表'!B22</f>
        <v>1.5</v>
      </c>
      <c r="F1" s="3209" t="s">
        <v>2921</v>
      </c>
      <c r="G1" s="3205">
        <f ca="1">INDIRECT("d"&amp;$K$1)/100</f>
        <v>4.7500000000000001E-2</v>
      </c>
      <c r="H1" s="3209" t="s">
        <v>2951</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2922</v>
      </c>
      <c r="E2" s="3145"/>
      <c r="F2" s="3145" t="s">
        <v>2923</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2924</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2925</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2926</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2927</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2928</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2929</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2930</v>
      </c>
      <c r="C10" s="3173"/>
      <c r="D10" s="3173"/>
      <c r="E10" s="3173"/>
      <c r="F10" s="3173"/>
      <c r="G10" s="3173"/>
      <c r="H10" s="3173"/>
      <c r="I10" s="3147"/>
      <c r="J10" s="3147"/>
      <c r="K10" s="3173"/>
      <c r="L10" s="3174" t="s">
        <v>2931</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2932</v>
      </c>
      <c r="C11" s="3178" t="s">
        <v>2933</v>
      </c>
      <c r="D11" s="3179" t="s">
        <v>2934</v>
      </c>
      <c r="E11" s="3180"/>
      <c r="F11" s="3179" t="s">
        <v>2935</v>
      </c>
      <c r="G11" s="3181"/>
      <c r="H11" s="3180"/>
      <c r="I11" s="3179" t="s">
        <v>2936</v>
      </c>
      <c r="J11" s="3180"/>
      <c r="K11" s="3176"/>
      <c r="L11" s="3177" t="s">
        <v>2932</v>
      </c>
      <c r="M11" s="3178" t="s">
        <v>2933</v>
      </c>
      <c r="N11" s="3177" t="s">
        <v>2937</v>
      </c>
      <c r="O11" s="3179" t="s">
        <v>2938</v>
      </c>
      <c r="P11" s="3181"/>
      <c r="Q11" s="3181"/>
      <c r="R11" s="3181"/>
      <c r="S11" s="3181"/>
      <c r="T11" s="3180"/>
      <c r="U11" s="3179" t="s">
        <v>2939</v>
      </c>
      <c r="V11" s="3181"/>
      <c r="W11" s="3180"/>
      <c r="X11" s="3177" t="s">
        <v>2940</v>
      </c>
      <c r="Y11" s="3177" t="s">
        <v>2941</v>
      </c>
      <c r="Z11" s="3177" t="s">
        <v>2942</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2943</v>
      </c>
      <c r="E12" s="3186" t="s">
        <v>2944</v>
      </c>
      <c r="F12" s="3186" t="s">
        <v>2945</v>
      </c>
      <c r="G12" s="3186" t="s">
        <v>2946</v>
      </c>
      <c r="H12" s="3186" t="s">
        <v>2928</v>
      </c>
      <c r="I12" s="3187" t="s">
        <v>2947</v>
      </c>
      <c r="J12" s="3187" t="s">
        <v>2947</v>
      </c>
      <c r="K12" s="3183"/>
      <c r="L12" s="3184"/>
      <c r="M12" s="3185"/>
      <c r="N12" s="3184"/>
      <c r="O12" s="3187" t="s">
        <v>2948</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2949</v>
      </c>
      <c r="C13" s="3191">
        <v>42301</v>
      </c>
      <c r="D13" s="3192">
        <v>4.3499999999999996</v>
      </c>
      <c r="E13" s="3192">
        <v>4.3499999999999996</v>
      </c>
      <c r="F13" s="3192">
        <v>4.75</v>
      </c>
      <c r="G13" s="3192">
        <v>4.75</v>
      </c>
      <c r="H13" s="3192">
        <v>4.9000000000000004</v>
      </c>
      <c r="I13" s="3192">
        <v>2.75</v>
      </c>
      <c r="J13" s="3192">
        <v>3.25</v>
      </c>
      <c r="K13" s="3189"/>
      <c r="L13" s="3190" t="s">
        <v>2949</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2950</v>
      </c>
      <c r="Y42" s="3196" t="s">
        <v>2950</v>
      </c>
      <c r="Z42" s="3196" t="s">
        <v>2950</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2950</v>
      </c>
      <c r="Y43" s="3196" t="s">
        <v>2950</v>
      </c>
      <c r="Z43" s="3196" t="s">
        <v>2950</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2950</v>
      </c>
      <c r="Y44" s="3196" t="s">
        <v>2950</v>
      </c>
      <c r="Z44" s="3196" t="s">
        <v>2950</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2950</v>
      </c>
      <c r="Y45" s="3196" t="s">
        <v>2950</v>
      </c>
      <c r="Z45" s="3196" t="s">
        <v>2950</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2950</v>
      </c>
      <c r="Y46" s="3196" t="s">
        <v>2950</v>
      </c>
      <c r="Z46" s="3196" t="s">
        <v>2950</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2950</v>
      </c>
      <c r="Y47" s="3196" t="s">
        <v>2950</v>
      </c>
      <c r="Z47" s="3196" t="s">
        <v>2950</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2950</v>
      </c>
      <c r="Y48" s="3196" t="s">
        <v>2950</v>
      </c>
      <c r="Z48" s="3196" t="s">
        <v>2950</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2950</v>
      </c>
      <c r="Y49" s="3196" t="s">
        <v>2950</v>
      </c>
      <c r="Z49" s="3196" t="s">
        <v>2950</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2950</v>
      </c>
      <c r="Y50" s="3196" t="s">
        <v>2950</v>
      </c>
      <c r="Z50" s="3196" t="s">
        <v>2950</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2950</v>
      </c>
      <c r="V51" s="3196" t="s">
        <v>2950</v>
      </c>
      <c r="W51" s="3196" t="s">
        <v>2950</v>
      </c>
      <c r="X51" s="3196" t="s">
        <v>2950</v>
      </c>
      <c r="Y51" s="3196" t="s">
        <v>2950</v>
      </c>
      <c r="Z51" s="3196" t="s">
        <v>2950</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2950</v>
      </c>
      <c r="J55" s="3196" t="s">
        <v>2950</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3" t="s">
        <v>2049</v>
      </c>
      <c r="B1" s="3353"/>
      <c r="C1" s="3353"/>
      <c r="D1" s="3353"/>
      <c r="E1" s="3353"/>
      <c r="F1" s="3353"/>
      <c r="G1" s="3353"/>
      <c r="H1" s="3353"/>
      <c r="I1" s="3353"/>
    </row>
    <row r="2" spans="1:9" ht="30" customHeight="1" thickTop="1">
      <c r="A2" s="3354" t="s">
        <v>2888</v>
      </c>
      <c r="B2" s="3354" t="s">
        <v>2050</v>
      </c>
      <c r="C2" s="3354" t="s">
        <v>2051</v>
      </c>
      <c r="D2" s="3354" t="str">
        <f>结果表!D116</f>
        <v>出让国有建设用地使用权价值</v>
      </c>
      <c r="E2" s="3354"/>
      <c r="F2" s="3354" t="str">
        <f>结果表!F116</f>
        <v>在建建筑物价值</v>
      </c>
      <c r="G2" s="3354"/>
      <c r="H2" s="3354" t="s">
        <v>6</v>
      </c>
      <c r="I2" s="3354"/>
    </row>
    <row r="3" spans="1:9" ht="14.25">
      <c r="A3" s="3348"/>
      <c r="B3" s="3348"/>
      <c r="C3" s="3348"/>
      <c r="D3" s="1915" t="s">
        <v>7</v>
      </c>
      <c r="E3" s="1915" t="s">
        <v>2052</v>
      </c>
      <c r="F3" s="1915" t="s">
        <v>7</v>
      </c>
      <c r="G3" s="1915" t="s">
        <v>8</v>
      </c>
      <c r="H3" s="1915" t="s">
        <v>7</v>
      </c>
      <c r="I3" s="1915" t="s">
        <v>8</v>
      </c>
    </row>
    <row r="4" spans="1:9" ht="28.5">
      <c r="A4" s="1985" t="str">
        <f>项目基本情况!S2</f>
        <v>北京市延庆县永宁镇迎晖路22号院2号等6幢楼房地产</v>
      </c>
      <c r="B4" s="1979">
        <f>项目基本情况!C17</f>
        <v>20377.830000000002</v>
      </c>
      <c r="C4" s="1979">
        <f>项目基本情况!C18</f>
        <v>72086.12</v>
      </c>
      <c r="D4" s="1979">
        <f ca="1">结果表!D118</f>
        <v>4764</v>
      </c>
      <c r="E4" s="1979">
        <f ca="1">结果表!E118</f>
        <v>2338</v>
      </c>
      <c r="F4" s="1979">
        <f ca="1">结果表!F118</f>
        <v>5894</v>
      </c>
      <c r="G4" s="1979">
        <f ca="1">结果表!G118</f>
        <v>2892</v>
      </c>
      <c r="H4" s="1979">
        <f ca="1">结果表!H118</f>
        <v>10658</v>
      </c>
      <c r="I4" s="1979">
        <f ca="1">结果表!I118</f>
        <v>5230</v>
      </c>
    </row>
    <row r="5" spans="1:9" ht="30" customHeight="1">
      <c r="A5" s="3348" t="s">
        <v>9</v>
      </c>
      <c r="B5" s="3348"/>
      <c r="C5" s="3348"/>
      <c r="D5" s="3349" t="str">
        <f ca="1">结果表!D119</f>
        <v>肆仟柒佰陆拾肆万元整</v>
      </c>
      <c r="E5" s="3349"/>
      <c r="F5" s="3349" t="str">
        <f ca="1">结果表!F119</f>
        <v>伍仟捌佰玖拾肆万元整</v>
      </c>
      <c r="G5" s="3349"/>
      <c r="H5" s="3349" t="str">
        <f ca="1">结果表!H119</f>
        <v>壹亿零陆佰伍拾捌万元整</v>
      </c>
      <c r="I5" s="3349"/>
    </row>
    <row r="6" spans="1:9" ht="15.75">
      <c r="A6" s="3346" t="str">
        <f>结果表!A120</f>
        <v>估价师知悉的法定优先受偿款</v>
      </c>
      <c r="B6" s="3346"/>
      <c r="C6" s="3346"/>
      <c r="D6" s="3347">
        <f>结果表!D120</f>
        <v>0</v>
      </c>
      <c r="E6" s="3347"/>
      <c r="F6" s="3347"/>
      <c r="G6" s="3347"/>
      <c r="H6" s="3347"/>
      <c r="I6" s="3347"/>
    </row>
    <row r="7" spans="1:9" ht="14.25">
      <c r="A7" s="3348" t="s">
        <v>9</v>
      </c>
      <c r="B7" s="3348"/>
      <c r="C7" s="3348"/>
      <c r="D7" s="3350" t="str">
        <f>结果表!D121</f>
        <v>零元整</v>
      </c>
      <c r="E7" s="3351"/>
      <c r="F7" s="3351"/>
      <c r="G7" s="3351"/>
      <c r="H7" s="3351"/>
      <c r="I7" s="3352"/>
    </row>
    <row r="8" spans="1:9" ht="15.75">
      <c r="A8" s="3346" t="str">
        <f>结果表!A122</f>
        <v>房地产抵押价值</v>
      </c>
      <c r="B8" s="3346"/>
      <c r="C8" s="3346"/>
      <c r="D8" s="3347">
        <f ca="1">结果表!D122</f>
        <v>10658</v>
      </c>
      <c r="E8" s="3347"/>
      <c r="F8" s="3347"/>
      <c r="G8" s="3347"/>
      <c r="H8" s="3347"/>
      <c r="I8" s="3347"/>
    </row>
    <row r="9" spans="1:9" ht="14.25">
      <c r="A9" s="3348" t="s">
        <v>9</v>
      </c>
      <c r="B9" s="3348"/>
      <c r="C9" s="3348"/>
      <c r="D9" s="3349" t="str">
        <f ca="1">结果表!D123</f>
        <v>壹亿零陆佰伍拾捌万元整</v>
      </c>
      <c r="E9" s="3349"/>
      <c r="F9" s="3349"/>
      <c r="G9" s="3349"/>
      <c r="H9" s="3349"/>
      <c r="I9" s="3349"/>
    </row>
    <row r="10" spans="1:9" ht="15.75">
      <c r="A10" s="3346" t="str">
        <f>结果表!A124</f>
        <v/>
      </c>
      <c r="B10" s="3346"/>
      <c r="C10" s="3346"/>
      <c r="D10" s="3347" t="str">
        <f>结果表!D124</f>
        <v>——</v>
      </c>
      <c r="E10" s="3347"/>
      <c r="F10" s="3347"/>
      <c r="G10" s="3347"/>
      <c r="H10" s="3347"/>
      <c r="I10" s="3347"/>
    </row>
    <row r="11" spans="1:9" ht="14.25">
      <c r="A11" s="3348" t="s">
        <v>9</v>
      </c>
      <c r="B11" s="3348"/>
      <c r="C11" s="3348"/>
      <c r="D11" s="3349" t="e">
        <f>结果表!D125</f>
        <v>#VALUE!</v>
      </c>
      <c r="E11" s="3349"/>
      <c r="F11" s="3349"/>
      <c r="G11" s="3349"/>
      <c r="H11" s="3349"/>
      <c r="I11" s="3349"/>
    </row>
    <row r="12" spans="1:9" ht="15.75">
      <c r="A12" s="3346" t="str">
        <f>结果表!A126</f>
        <v/>
      </c>
      <c r="B12" s="3346"/>
      <c r="C12" s="3346"/>
      <c r="D12" s="3347" t="str">
        <f>结果表!D126</f>
        <v>——</v>
      </c>
      <c r="E12" s="3347"/>
      <c r="F12" s="3347"/>
      <c r="G12" s="3347"/>
      <c r="H12" s="3347"/>
      <c r="I12" s="3347"/>
    </row>
    <row r="13" spans="1:9" ht="15" thickBot="1">
      <c r="A13" s="3343" t="s">
        <v>9</v>
      </c>
      <c r="B13" s="3343"/>
      <c r="C13" s="3343"/>
      <c r="D13" s="3344" t="e">
        <f>结果表!D127</f>
        <v>#VALUE!</v>
      </c>
      <c r="E13" s="3344"/>
      <c r="F13" s="3344"/>
      <c r="G13" s="3344"/>
      <c r="H13" s="3344"/>
      <c r="I13" s="3344"/>
    </row>
    <row r="14" spans="1:9" ht="14.25" thickTop="1">
      <c r="A14" s="3345" t="s">
        <v>2053</v>
      </c>
      <c r="B14" s="3345"/>
      <c r="C14" s="3345"/>
      <c r="D14" s="3345"/>
      <c r="E14" s="3345"/>
      <c r="F14" s="3345"/>
      <c r="G14" s="3345"/>
      <c r="H14" s="3345"/>
      <c r="I14" s="3345"/>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1" t="s">
        <v>2864</v>
      </c>
      <c r="B1" s="3361"/>
      <c r="C1" s="3361"/>
      <c r="D1" s="3361"/>
    </row>
    <row r="2" spans="1:4" ht="18.75">
      <c r="A2" s="3362" t="s">
        <v>2124</v>
      </c>
      <c r="B2" s="3362"/>
      <c r="C2" s="3362"/>
      <c r="D2" s="3362"/>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62" t="s">
        <v>2626</v>
      </c>
      <c r="B6" s="3362"/>
      <c r="C6" s="3362"/>
      <c r="D6" s="3362"/>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63" t="s">
        <v>2718</v>
      </c>
      <c r="B11" s="3355"/>
      <c r="C11" s="3355"/>
      <c r="D11" s="3355"/>
    </row>
    <row r="12" spans="1:4" ht="14.25">
      <c r="A12" s="3355" t="str">
        <f>IF(项目基本情况!B8="抵押","2.本《评估意见函》仅供金融机构进行内部审核使用，不做其他目的之用。","")</f>
        <v>2.本《评估意见函》仅供金融机构进行内部审核使用，不做其他目的之用。</v>
      </c>
      <c r="B12" s="3360"/>
      <c r="C12" s="3360"/>
      <c r="D12" s="3360"/>
    </row>
    <row r="13" spans="1:4" ht="30" customHeight="1">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spans="1:4" ht="15.75" customHeight="1">
      <c r="A14" s="3355" t="str">
        <f>IF(项目基本情况!B8="抵押","4.本次评估估价师所知悉的法定优先受偿款情况说明如下：","")</f>
        <v>4.本次评估估价师所知悉的法定优先受偿款情况说明如下：</v>
      </c>
      <c r="B14" s="3360"/>
      <c r="C14" s="3360"/>
      <c r="D14" s="3360"/>
    </row>
    <row r="15" spans="1:4" ht="42" customHeight="1">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spans="1:4" ht="30" customHeight="1">
      <c r="A16" s="3357" t="s">
        <v>2136</v>
      </c>
      <c r="B16" s="3357"/>
      <c r="C16" s="3357"/>
      <c r="D16" s="3357"/>
    </row>
    <row r="17" spans="1:4" ht="144" customHeight="1">
      <c r="A17" s="3357" t="s">
        <v>2137</v>
      </c>
      <c r="B17" s="3357"/>
      <c r="C17" s="3357"/>
      <c r="D17" s="3357"/>
    </row>
    <row r="18" spans="1:4" ht="15.75" customHeight="1">
      <c r="A18" s="3355" t="str">
        <f>IF(项目基本情况!B8="抵押",结果表!K120,"")</f>
        <v>故，本次评估不存在估价师知悉的法定优先受偿款</v>
      </c>
      <c r="B18" s="3355"/>
      <c r="C18" s="3355"/>
      <c r="D18" s="3355"/>
    </row>
    <row r="19" spans="1:4" ht="46.5" customHeight="1">
      <c r="A19" s="335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57.75" customHeight="1">
      <c r="A20" s="335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5"/>
      <c r="C20" s="3355"/>
      <c r="D20" s="3355"/>
    </row>
    <row r="21" spans="1:4" ht="57.75" customHeight="1">
      <c r="A21" s="335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8"/>
      <c r="C21" s="3358"/>
      <c r="D21" s="3358"/>
    </row>
    <row r="22" spans="1:4" ht="18.75" customHeight="1">
      <c r="A22" s="3359" t="s">
        <v>2886</v>
      </c>
      <c r="B22" s="3359"/>
      <c r="C22" s="3359"/>
      <c r="D22" s="3359"/>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56">
        <v>42551</v>
      </c>
      <c r="D31" s="335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9" t="s">
        <v>558</v>
      </c>
      <c r="B15" s="3364" t="s">
        <v>1142</v>
      </c>
      <c r="C15" s="3365"/>
    </row>
    <row r="16" spans="1:7" ht="13.5">
      <c r="A16" s="3370"/>
      <c r="B16" s="3364" t="s">
        <v>531</v>
      </c>
      <c r="C16" s="3365"/>
    </row>
    <row r="17" spans="1:3" ht="13.5">
      <c r="A17" s="3370"/>
      <c r="B17" s="3367" t="s">
        <v>559</v>
      </c>
      <c r="C17" s="1150" t="s">
        <v>558</v>
      </c>
    </row>
    <row r="18" spans="1:3" ht="13.5">
      <c r="A18" s="3370"/>
      <c r="B18" s="3367"/>
      <c r="C18" s="1150" t="s">
        <v>560</v>
      </c>
    </row>
    <row r="19" spans="1:3" ht="13.5">
      <c r="A19" s="3370"/>
      <c r="B19" s="3367"/>
      <c r="C19" s="1150" t="s">
        <v>561</v>
      </c>
    </row>
    <row r="20" spans="1:3" ht="13.5">
      <c r="A20" s="3371"/>
      <c r="B20" s="3366" t="s">
        <v>562</v>
      </c>
      <c r="C20" s="3365"/>
    </row>
    <row r="21" spans="1:3" ht="13.5">
      <c r="A21" s="1151" t="s">
        <v>563</v>
      </c>
      <c r="B21" s="1152"/>
      <c r="C21" s="1153"/>
    </row>
    <row r="22" spans="1:3" ht="13.5">
      <c r="A22" s="3368" t="s">
        <v>564</v>
      </c>
      <c r="B22" s="3366" t="s">
        <v>565</v>
      </c>
      <c r="C22" s="3365"/>
    </row>
    <row r="23" spans="1:3" ht="13.5">
      <c r="A23" s="3368"/>
      <c r="B23" s="3366" t="s">
        <v>566</v>
      </c>
      <c r="C23" s="3365"/>
    </row>
    <row r="24" spans="1:3" ht="13.5">
      <c r="A24" s="3368"/>
      <c r="B24" s="3366" t="s">
        <v>567</v>
      </c>
      <c r="C24" s="3365"/>
    </row>
    <row r="25" spans="1:3" ht="13.5">
      <c r="A25" s="3368"/>
      <c r="B25" s="3367" t="s">
        <v>568</v>
      </c>
      <c r="C25" s="1150" t="s">
        <v>569</v>
      </c>
    </row>
    <row r="26" spans="1:3" ht="13.5">
      <c r="A26" s="3368"/>
      <c r="B26" s="3367"/>
      <c r="C26" s="1150" t="s">
        <v>570</v>
      </c>
    </row>
    <row r="27" spans="1:3" ht="13.5">
      <c r="A27" s="3368"/>
      <c r="B27" s="3367"/>
      <c r="C27" s="1150" t="s">
        <v>571</v>
      </c>
    </row>
    <row r="28" spans="1:3" ht="13.5">
      <c r="A28" s="3368"/>
      <c r="B28" s="3367"/>
      <c r="C28" s="1150" t="s">
        <v>572</v>
      </c>
    </row>
    <row r="29" spans="1:3" ht="13.5">
      <c r="A29" s="3368"/>
      <c r="B29" s="3367"/>
      <c r="C29" s="1150" t="s">
        <v>573</v>
      </c>
    </row>
    <row r="30" spans="1:3" ht="13.5">
      <c r="A30" s="3368"/>
      <c r="B30" s="3367"/>
      <c r="C30" s="1150" t="s">
        <v>574</v>
      </c>
    </row>
    <row r="31" spans="1:3" ht="13.5">
      <c r="A31" s="3368"/>
      <c r="B31" s="3367"/>
      <c r="C31" s="1150" t="s">
        <v>575</v>
      </c>
    </row>
    <row r="32" spans="1:3" ht="13.5">
      <c r="A32" s="3368"/>
      <c r="B32" s="3367"/>
      <c r="C32" s="1150" t="s">
        <v>576</v>
      </c>
    </row>
    <row r="33" spans="1:3" ht="13.5">
      <c r="A33" s="3368"/>
      <c r="B33" s="3367"/>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42926</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2716</v>
      </c>
      <c r="B15" s="1898">
        <v>1120070085</v>
      </c>
      <c r="C15" s="3212">
        <v>43814</v>
      </c>
      <c r="D15" s="3213" t="s">
        <v>2716</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2952</v>
      </c>
      <c r="B24" s="3213" t="s">
        <v>2952</v>
      </c>
      <c r="C24" s="3213" t="s">
        <v>2952</v>
      </c>
      <c r="D24" s="3213" t="s">
        <v>2952</v>
      </c>
      <c r="E24" s="3213" t="s">
        <v>2952</v>
      </c>
      <c r="F24" s="3213" t="s">
        <v>2952</v>
      </c>
    </row>
    <row r="25" spans="1:7" ht="24" customHeight="1">
      <c r="A25" s="3372" t="s">
        <v>2001</v>
      </c>
      <c r="B25" s="3372"/>
      <c r="C25" s="3372"/>
      <c r="D25" s="3372"/>
      <c r="E25" s="3372"/>
      <c r="F25" s="3372"/>
      <c r="G25" s="3372"/>
    </row>
    <row r="26" spans="1:7" s="1902" customFormat="1" ht="24" customHeight="1">
      <c r="A26" s="3373" t="s">
        <v>2002</v>
      </c>
      <c r="B26" s="3373"/>
      <c r="C26" s="3373"/>
      <c r="D26" s="1901"/>
      <c r="E26" s="3373" t="s">
        <v>2003</v>
      </c>
      <c r="F26" s="3373"/>
      <c r="G26" s="3373"/>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2017-07-10T02:01:07Z</dcterms:modified>
</cp:coreProperties>
</file>