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成本法" sheetId="68" r:id="rId19"/>
    <sheet name="成本法 (元)" sheetId="69" state="hidden" r:id="rId20"/>
    <sheet name="基准地价修正住宅" sheetId="43" r:id="rId21"/>
    <sheet name="假设开发法" sheetId="12" r:id="rId22"/>
    <sheet name="比较法-商业" sheetId="33" state="hidden" r:id="rId23"/>
    <sheet name="成本法商业" sheetId="78" state="hidden" r:id="rId24"/>
    <sheet name="基准地价修正商业" sheetId="77" state="hidden"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基准地价修正商业!$Q$19:$AD$19</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O17" i="43"/>
  <c r="G20" i="43"/>
  <c r="C20" i="43"/>
  <c r="C29" i="43"/>
  <c r="E29" i="43"/>
  <c r="C6" i="68"/>
  <c r="C7" i="68"/>
  <c r="D9" i="68"/>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E58" i="68"/>
  <c r="B3" i="68"/>
  <c r="C57" i="68"/>
  <c r="D35" i="9"/>
  <c r="C35" i="9"/>
  <c r="F118" i="9"/>
  <c r="G118" i="9"/>
  <c r="A3" i="3"/>
  <c r="D15" i="74"/>
  <c r="G15" i="74"/>
  <c r="C15" i="74"/>
  <c r="B15" i="74"/>
  <c r="I4" i="6"/>
  <c r="G3" i="43"/>
  <c r="E22" i="43"/>
  <c r="G22" i="43"/>
  <c r="F22" i="43"/>
  <c r="H22" i="43"/>
  <c r="D22" i="43"/>
  <c r="C21" i="43"/>
  <c r="I20" i="43"/>
  <c r="K5" i="3"/>
  <c r="E20" i="77"/>
  <c r="M17" i="77"/>
  <c r="G20" i="77"/>
  <c r="I20" i="77"/>
  <c r="C20" i="77"/>
  <c r="G3" i="77"/>
  <c r="C23" i="77"/>
  <c r="C21" i="77"/>
  <c r="C29" i="77"/>
  <c r="D29" i="77"/>
  <c r="E29" i="77"/>
  <c r="C33" i="77"/>
  <c r="E33" i="77"/>
  <c r="C34" i="77"/>
  <c r="E34" i="77"/>
  <c r="C35" i="77"/>
  <c r="E35" i="77"/>
  <c r="C36" i="77"/>
  <c r="E36" i="77"/>
  <c r="C37" i="77"/>
  <c r="E37" i="77"/>
  <c r="C38" i="77"/>
  <c r="E38" i="77"/>
  <c r="C39" i="77"/>
  <c r="E39" i="77"/>
  <c r="C26" i="77"/>
  <c r="B2" i="77"/>
  <c r="G1" i="78"/>
  <c r="F34" i="78"/>
  <c r="K6" i="1"/>
  <c r="M6" i="1"/>
  <c r="O6" i="1"/>
  <c r="BQ17" i="3"/>
  <c r="BQ5" i="3"/>
  <c r="BS17" i="3"/>
  <c r="BS5" i="3"/>
  <c r="F28" i="6"/>
  <c r="BR17" i="3"/>
  <c r="BR5" i="3"/>
  <c r="BT17" i="3"/>
  <c r="BT5" i="3"/>
  <c r="G28" i="6"/>
  <c r="E28" i="6"/>
  <c r="BB17" i="3"/>
  <c r="BC17" i="3"/>
  <c r="BD17" i="3"/>
  <c r="BE17" i="3"/>
  <c r="BF17" i="3"/>
  <c r="BG17" i="3"/>
  <c r="BH17" i="3"/>
  <c r="BI17" i="3"/>
  <c r="BJ17" i="3"/>
  <c r="BK17" i="3"/>
  <c r="BA17" i="3"/>
  <c r="BA5" i="3"/>
  <c r="BB5" i="3"/>
  <c r="BC5" i="3"/>
  <c r="E8" i="6"/>
  <c r="F27" i="6"/>
  <c r="E20" i="6"/>
  <c r="E27" i="6"/>
  <c r="K19" i="6"/>
  <c r="S6" i="1"/>
  <c r="AQ6" i="1"/>
  <c r="C34" i="78"/>
  <c r="F35" i="78"/>
  <c r="C35" i="78"/>
  <c r="F36" i="78"/>
  <c r="C36" i="78"/>
  <c r="E37" i="78"/>
  <c r="D9" i="78"/>
  <c r="D10" i="78"/>
  <c r="D19" i="78"/>
  <c r="D37" i="78"/>
  <c r="C37" i="78"/>
  <c r="F38" i="78"/>
  <c r="C38" i="78"/>
  <c r="C33" i="78"/>
  <c r="F20" i="78"/>
  <c r="C39" i="78"/>
  <c r="F22" i="78"/>
  <c r="C42" i="78"/>
  <c r="C43" i="78"/>
  <c r="C41" i="78"/>
  <c r="F27" i="78"/>
  <c r="C46" i="78"/>
  <c r="C45" i="78"/>
  <c r="F21" i="78"/>
  <c r="C40" i="78"/>
  <c r="C44" i="78"/>
  <c r="D41" i="78"/>
  <c r="C47" i="78"/>
  <c r="D45" i="78"/>
  <c r="F30" i="78"/>
  <c r="C48" i="78"/>
  <c r="C49" i="78"/>
  <c r="F50" i="78"/>
  <c r="C51" i="78"/>
  <c r="G17" i="43"/>
  <c r="H17" i="43"/>
  <c r="I17" i="43"/>
  <c r="J17" i="43"/>
  <c r="C16" i="43"/>
  <c r="C5" i="43"/>
  <c r="K70" i="43"/>
  <c r="D70" i="43"/>
  <c r="K71" i="43"/>
  <c r="D71" i="43"/>
  <c r="K72" i="43"/>
  <c r="D72" i="43"/>
  <c r="K73" i="43"/>
  <c r="D73" i="43"/>
  <c r="K74" i="43"/>
  <c r="D74" i="43"/>
  <c r="K75" i="43"/>
  <c r="D75" i="43"/>
  <c r="K76" i="43"/>
  <c r="D76" i="43"/>
  <c r="K77" i="43"/>
  <c r="D77" i="43"/>
  <c r="D78" i="43"/>
  <c r="E70" i="43"/>
  <c r="B68" i="43"/>
  <c r="C24" i="43"/>
  <c r="C6" i="78"/>
  <c r="F7" i="78"/>
  <c r="C7" i="78"/>
  <c r="E9" i="78"/>
  <c r="C9" i="78"/>
  <c r="E10" i="78"/>
  <c r="C10" i="78"/>
  <c r="C8" i="78"/>
  <c r="C5" i="78"/>
  <c r="C19" i="78"/>
  <c r="C20" i="78"/>
  <c r="C23" i="78"/>
  <c r="C24" i="78"/>
  <c r="C25" i="78"/>
  <c r="C22" i="78"/>
  <c r="C28" i="78"/>
  <c r="C27" i="78"/>
  <c r="C21" i="78"/>
  <c r="C26" i="78"/>
  <c r="D22" i="78"/>
  <c r="C29" i="78"/>
  <c r="D27" i="78"/>
  <c r="C30" i="78"/>
  <c r="C31" i="78"/>
  <c r="C52" i="78"/>
  <c r="C57" i="78"/>
  <c r="C56" i="78"/>
  <c r="G41" i="78"/>
  <c r="G22" i="78"/>
  <c r="E19" i="78"/>
  <c r="B2" i="78"/>
  <c r="B3" i="78"/>
  <c r="E2" i="78"/>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G2"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B88" i="77"/>
  <c r="M87" i="77"/>
  <c r="N87" i="77"/>
  <c r="K87" i="77"/>
  <c r="J87" i="77"/>
  <c r="H87" i="77"/>
  <c r="D87" i="77"/>
  <c r="M86" i="77"/>
  <c r="N86" i="77"/>
  <c r="K86" i="77"/>
  <c r="J86" i="77"/>
  <c r="H86" i="77"/>
  <c r="D86" i="77"/>
  <c r="B86" i="77"/>
  <c r="M85" i="77"/>
  <c r="N85" i="77"/>
  <c r="K85" i="77"/>
  <c r="J85" i="77"/>
  <c r="H85" i="77"/>
  <c r="D85" i="77"/>
  <c r="B85" i="77"/>
  <c r="M84" i="77"/>
  <c r="N84" i="77"/>
  <c r="K84" i="77"/>
  <c r="J84" i="77"/>
  <c r="H84" i="77"/>
  <c r="D84" i="77"/>
  <c r="B84" i="77"/>
  <c r="M83" i="77"/>
  <c r="N83" i="77"/>
  <c r="K83" i="77"/>
  <c r="J83" i="77"/>
  <c r="H83" i="77"/>
  <c r="D83" i="77"/>
  <c r="B83" i="77"/>
  <c r="M82" i="77"/>
  <c r="N82" i="77"/>
  <c r="K82" i="77"/>
  <c r="J82" i="77"/>
  <c r="H82" i="77"/>
  <c r="D82" i="77"/>
  <c r="B82" i="77"/>
  <c r="M81" i="77"/>
  <c r="N81" i="77"/>
  <c r="K81" i="77"/>
  <c r="J81" i="77"/>
  <c r="H81" i="77"/>
  <c r="D81" i="77"/>
  <c r="E81" i="77"/>
  <c r="B81" i="77"/>
  <c r="B79" i="77"/>
  <c r="M78" i="77"/>
  <c r="N78" i="77"/>
  <c r="K78" i="77"/>
  <c r="J78" i="77"/>
  <c r="I2" i="77"/>
  <c r="N6" i="77"/>
  <c r="F70" i="77"/>
  <c r="H78" i="77"/>
  <c r="D78" i="77"/>
  <c r="M77" i="77"/>
  <c r="N77" i="77"/>
  <c r="K77" i="77"/>
  <c r="J77" i="77"/>
  <c r="H77" i="77"/>
  <c r="D77" i="77"/>
  <c r="B77" i="77"/>
  <c r="M76" i="77"/>
  <c r="N76" i="77"/>
  <c r="K76" i="77"/>
  <c r="J76" i="77"/>
  <c r="H76" i="77"/>
  <c r="D76" i="77"/>
  <c r="M75" i="77"/>
  <c r="N75" i="77"/>
  <c r="K75" i="77"/>
  <c r="J75" i="77"/>
  <c r="H75" i="77"/>
  <c r="D75" i="77"/>
  <c r="B75" i="77"/>
  <c r="M74" i="77"/>
  <c r="N74" i="77"/>
  <c r="K74" i="77"/>
  <c r="J74" i="77"/>
  <c r="H74" i="77"/>
  <c r="D74" i="77"/>
  <c r="B74" i="77"/>
  <c r="M73" i="77"/>
  <c r="N73" i="77"/>
  <c r="K73" i="77"/>
  <c r="J73" i="77"/>
  <c r="H73" i="77"/>
  <c r="D73" i="77"/>
  <c r="B73" i="77"/>
  <c r="M72" i="77"/>
  <c r="N72" i="77"/>
  <c r="K72" i="77"/>
  <c r="J72" i="77"/>
  <c r="H72" i="77"/>
  <c r="D72" i="77"/>
  <c r="B72" i="77"/>
  <c r="M71" i="77"/>
  <c r="N71" i="77"/>
  <c r="K71" i="77"/>
  <c r="J71" i="77"/>
  <c r="H71" i="77"/>
  <c r="D71" i="77"/>
  <c r="B71" i="77"/>
  <c r="M70" i="77"/>
  <c r="N70" i="77"/>
  <c r="K70" i="77"/>
  <c r="J70" i="77"/>
  <c r="H70" i="77"/>
  <c r="D70" i="77"/>
  <c r="E70" i="77"/>
  <c r="B70" i="77"/>
  <c r="B68" i="77"/>
  <c r="M67" i="77"/>
  <c r="N67" i="77"/>
  <c r="K67" i="77"/>
  <c r="J67" i="77"/>
  <c r="F59" i="77"/>
  <c r="H67" i="77"/>
  <c r="D67" i="77"/>
  <c r="B67" i="77"/>
  <c r="M66" i="77"/>
  <c r="N66" i="77"/>
  <c r="K66" i="77"/>
  <c r="J66" i="77"/>
  <c r="H66" i="77"/>
  <c r="D66" i="77"/>
  <c r="B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B59" i="77"/>
  <c r="B57" i="77"/>
  <c r="M56" i="77"/>
  <c r="N56" i="77"/>
  <c r="K56" i="77"/>
  <c r="J56" i="77"/>
  <c r="F48" i="77"/>
  <c r="H56" i="77"/>
  <c r="D56" i="77"/>
  <c r="B56" i="77"/>
  <c r="M55" i="77"/>
  <c r="N55" i="77"/>
  <c r="K55" i="77"/>
  <c r="J55" i="77"/>
  <c r="H55" i="77"/>
  <c r="D55" i="77"/>
  <c r="B55" i="77"/>
  <c r="M54" i="77"/>
  <c r="N54" i="77"/>
  <c r="K54" i="77"/>
  <c r="J54" i="77"/>
  <c r="H54" i="77"/>
  <c r="D54" i="77"/>
  <c r="B54" i="77"/>
  <c r="M53" i="77"/>
  <c r="N53" i="77"/>
  <c r="K53" i="77"/>
  <c r="J53" i="77"/>
  <c r="H53" i="77"/>
  <c r="D53" i="77"/>
  <c r="M52" i="77"/>
  <c r="N52" i="77"/>
  <c r="K52" i="77"/>
  <c r="J52" i="77"/>
  <c r="H52" i="77"/>
  <c r="D52" i="77"/>
  <c r="B52" i="77"/>
  <c r="M51" i="77"/>
  <c r="N51" i="77"/>
  <c r="K51" i="77"/>
  <c r="J51" i="77"/>
  <c r="H51" i="77"/>
  <c r="D51" i="77"/>
  <c r="M50" i="77"/>
  <c r="N50" i="77"/>
  <c r="K50" i="77"/>
  <c r="J50" i="77"/>
  <c r="H50" i="77"/>
  <c r="D50" i="77"/>
  <c r="B50" i="77"/>
  <c r="M49" i="77"/>
  <c r="N49" i="77"/>
  <c r="K49" i="77"/>
  <c r="J49" i="77"/>
  <c r="H49" i="77"/>
  <c r="D49" i="77"/>
  <c r="B49" i="77"/>
  <c r="M48" i="77"/>
  <c r="N48" i="77"/>
  <c r="K48" i="77"/>
  <c r="J48" i="77"/>
  <c r="H48" i="77"/>
  <c r="D48" i="77"/>
  <c r="E48" i="77"/>
  <c r="B48" i="77"/>
  <c r="B46" i="77"/>
  <c r="M6" i="77"/>
  <c r="C6" i="77"/>
  <c r="C15" i="77"/>
  <c r="D15" i="77"/>
  <c r="E15" i="77"/>
  <c r="F15" i="77"/>
  <c r="C12" i="77"/>
  <c r="G17" i="77"/>
  <c r="H17" i="77"/>
  <c r="I17" i="77"/>
  <c r="J17" i="77"/>
  <c r="C17" i="77"/>
  <c r="C16" i="77"/>
  <c r="C5" i="77"/>
  <c r="G19" i="77"/>
  <c r="C19" i="77"/>
  <c r="O17" i="77"/>
  <c r="J20" i="77"/>
  <c r="C24" i="77"/>
  <c r="F39" i="77"/>
  <c r="G39" i="77"/>
  <c r="H39" i="77"/>
  <c r="I39" i="77"/>
  <c r="F38" i="77"/>
  <c r="G38" i="77"/>
  <c r="H38" i="77"/>
  <c r="I38" i="77"/>
  <c r="F37" i="77"/>
  <c r="G37" i="77"/>
  <c r="H37" i="77"/>
  <c r="I37" i="77"/>
  <c r="D5" i="77"/>
  <c r="F36" i="77"/>
  <c r="G36" i="77"/>
  <c r="H36" i="77"/>
  <c r="I36" i="77"/>
  <c r="F35" i="77"/>
  <c r="G35" i="77"/>
  <c r="H35" i="77"/>
  <c r="I35" i="77"/>
  <c r="F34" i="77"/>
  <c r="G34" i="77"/>
  <c r="H34" i="77"/>
  <c r="I34" i="77"/>
  <c r="F33" i="77"/>
  <c r="G33" i="77"/>
  <c r="H33" i="77"/>
  <c r="I33" i="77"/>
  <c r="C18" i="77"/>
  <c r="E22" i="77"/>
  <c r="G22" i="77"/>
  <c r="F22" i="77"/>
  <c r="H22" i="77"/>
  <c r="D22" i="77"/>
  <c r="C30" i="77"/>
  <c r="E30" i="77"/>
  <c r="C27" i="77"/>
  <c r="P25" i="77"/>
  <c r="P24" i="77"/>
  <c r="P23" i="77"/>
  <c r="P22" i="77"/>
  <c r="J22" i="77"/>
  <c r="P21" i="77"/>
  <c r="M20" i="77"/>
  <c r="O19" i="77"/>
  <c r="M19" i="77"/>
  <c r="I19" i="77"/>
  <c r="P17" i="77"/>
  <c r="N17" i="77"/>
  <c r="E17" i="77"/>
  <c r="T16" i="77"/>
  <c r="V16" i="77"/>
  <c r="T15" i="77"/>
  <c r="V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T11" i="77"/>
  <c r="V11" i="77"/>
  <c r="N11" i="77"/>
  <c r="M11" i="77"/>
  <c r="C10" i="77"/>
  <c r="C11" i="77"/>
  <c r="E11" i="77"/>
  <c r="AJ10" i="77"/>
  <c r="AI10" i="77"/>
  <c r="AH10" i="77"/>
  <c r="AG10" i="77"/>
  <c r="AF10" i="77"/>
  <c r="AE10" i="77"/>
  <c r="AD10" i="77"/>
  <c r="AC10" i="77"/>
  <c r="AB10" i="77"/>
  <c r="AA10" i="77"/>
  <c r="Z10" i="77"/>
  <c r="Y10" i="77"/>
  <c r="T10" i="77"/>
  <c r="V10" i="77"/>
  <c r="N10" i="77"/>
  <c r="M10" i="77"/>
  <c r="E10" i="77"/>
  <c r="T9" i="77"/>
  <c r="V9" i="77"/>
  <c r="N9" i="77"/>
  <c r="M9" i="77"/>
  <c r="E9" i="77"/>
  <c r="C9" i="77"/>
  <c r="T8" i="77"/>
  <c r="V8" i="77"/>
  <c r="N8" i="77"/>
  <c r="M8" i="77"/>
  <c r="E8" i="77"/>
  <c r="Z7" i="77"/>
  <c r="X7" i="77"/>
  <c r="S7" i="77"/>
  <c r="T7" i="77"/>
  <c r="V7" i="77"/>
  <c r="N7" i="77"/>
  <c r="M7" i="77"/>
  <c r="C7" i="77"/>
  <c r="A7" i="77"/>
  <c r="S6" i="77"/>
  <c r="T6" i="77"/>
  <c r="V6" i="77"/>
  <c r="S5" i="77"/>
  <c r="T5" i="77"/>
  <c r="V5" i="77"/>
  <c r="N5" i="77"/>
  <c r="M5" i="77"/>
  <c r="S4" i="77"/>
  <c r="T4" i="77"/>
  <c r="V4" i="77"/>
  <c r="N4" i="77"/>
  <c r="M4" i="77"/>
  <c r="S3" i="77"/>
  <c r="T3" i="77"/>
  <c r="V3" i="77"/>
  <c r="N3" i="77"/>
  <c r="M3" i="77"/>
  <c r="D1" i="77"/>
  <c r="B3" i="77"/>
  <c r="S2" i="77"/>
  <c r="T2" i="77"/>
  <c r="V2" i="77"/>
  <c r="N2" i="77"/>
  <c r="M2" i="77"/>
  <c r="N1" i="77"/>
  <c r="M1" i="77"/>
  <c r="C88" i="9"/>
  <c r="B24" i="1"/>
  <c r="G1" i="68"/>
  <c r="F36" i="68"/>
  <c r="C91" i="9"/>
  <c r="C89" i="9"/>
  <c r="C87" i="9"/>
  <c r="C94" i="9"/>
  <c r="I5" i="3"/>
  <c r="F19" i="6"/>
  <c r="E19" i="6"/>
  <c r="C7" i="12"/>
  <c r="C8" i="12"/>
  <c r="D14" i="9"/>
  <c r="F6" i="1"/>
  <c r="G2" i="43"/>
  <c r="I2" i="43"/>
  <c r="M6" i="43"/>
  <c r="C6" i="43"/>
  <c r="C17" i="43"/>
  <c r="D29" i="43"/>
  <c r="B29"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D15" i="43"/>
  <c r="E15" i="43"/>
  <c r="F15" i="43"/>
  <c r="C15" i="43"/>
  <c r="C12" i="43"/>
  <c r="J20" i="43"/>
  <c r="F39" i="43"/>
  <c r="C39" i="43"/>
  <c r="G39" i="43"/>
  <c r="F38" i="43"/>
  <c r="C38" i="43"/>
  <c r="G38" i="43"/>
  <c r="F37" i="43"/>
  <c r="C37" i="43"/>
  <c r="G37" i="43"/>
  <c r="D5" i="43"/>
  <c r="F36" i="43"/>
  <c r="C36" i="43"/>
  <c r="G36" i="43"/>
  <c r="F35" i="43"/>
  <c r="C35" i="43"/>
  <c r="G35" i="43"/>
  <c r="F34" i="43"/>
  <c r="C34" i="43"/>
  <c r="G34" i="43"/>
  <c r="M47" i="67"/>
  <c r="J53" i="67"/>
  <c r="M47" i="15"/>
  <c r="J53" i="15"/>
  <c r="C18" i="43"/>
  <c r="AD5" i="3"/>
  <c r="AH5" i="3"/>
  <c r="AL5" i="3"/>
  <c r="AP5" i="3"/>
  <c r="C23" i="43"/>
  <c r="F33" i="43"/>
  <c r="C33" i="43"/>
  <c r="G33" i="43"/>
  <c r="H33" i="43"/>
  <c r="I33" i="43"/>
  <c r="E33" i="43"/>
  <c r="D1" i="43"/>
  <c r="C10" i="43"/>
  <c r="C11" i="43"/>
  <c r="E8" i="43"/>
  <c r="E9" i="43"/>
  <c r="E10" i="43"/>
  <c r="E11" i="43"/>
  <c r="C9" i="43"/>
  <c r="C7"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M17" i="3"/>
  <c r="BN17" i="3"/>
  <c r="BO17" i="3"/>
  <c r="BP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N17" i="43"/>
  <c r="M17" i="43"/>
  <c r="A7" i="43"/>
  <c r="F33" i="15"/>
  <c r="F61" i="15"/>
  <c r="M19" i="15"/>
  <c r="M10" i="1"/>
  <c r="O10" i="1"/>
  <c r="B22" i="1"/>
  <c r="B23"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81" i="43"/>
  <c r="H83" i="43"/>
  <c r="F48" i="43"/>
  <c r="H52" i="43"/>
  <c r="N7" i="43"/>
  <c r="N6"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E1" i="73"/>
  <c r="K1" i="73"/>
  <c r="F50" i="68"/>
  <c r="P6" i="1"/>
  <c r="AR6" i="1"/>
  <c r="K1" i="12"/>
  <c r="C4" i="12"/>
  <c r="C31" i="12"/>
  <c r="H101" i="9"/>
  <c r="D45" i="9"/>
  <c r="D53" i="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AA10" i="39"/>
  <c r="D10" i="11"/>
  <c r="C10" i="11"/>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J20" i="15"/>
  <c r="F63" i="15"/>
  <c r="C62" i="15"/>
  <c r="C34"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4" i="9"/>
  <c r="H112" i="9"/>
  <c r="D21" i="53"/>
  <c r="B39" i="72"/>
  <c r="H111" i="9"/>
  <c r="D126" i="9"/>
  <c r="D19" i="53"/>
  <c r="D59" i="9"/>
  <c r="M55" i="9"/>
  <c r="B38" i="72"/>
  <c r="D20" i="53"/>
  <c r="B40" i="72"/>
  <c r="I14" i="74"/>
  <c r="B8" i="74"/>
  <c r="D127" i="9"/>
  <c r="D13" i="52"/>
  <c r="D12" i="52"/>
  <c r="G4" i="52"/>
  <c r="B52" i="72"/>
  <c r="D118" i="9"/>
  <c r="D119" i="9"/>
  <c r="D5" i="52"/>
  <c r="B49" i="72"/>
  <c r="C104" i="9"/>
  <c r="D8" i="74"/>
  <c r="C8" i="74"/>
  <c r="M48" i="9"/>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D113" i="43"/>
  <c r="J22"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<sst xmlns="http://schemas.openxmlformats.org/spreadsheetml/2006/main" count="7785" uniqueCount="3098">
  <si>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</si>
  <si>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</si>
  <si>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</si>
  <si>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</si>
  <si>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</si>
  <si>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</si>
  <si>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</si>
  <si>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</si>
  <si>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</si>
  <si>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</si>
  <si>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</si>
  <si>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</si>
  <si>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</si>
  <si>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</si>
  <si>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</si>
  <si>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</si>
  <si>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</si>
  <si>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</si>
  <si>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</si>
  <si>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</si>
  <si>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</si>
  <si>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</si>
  <si>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</si>
  <si>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</si>
  <si>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</si>
  <si>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</si>
  <si>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</si>
  <si>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</si>
  <si>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</si>
  <si>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</si>
  <si>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</si>
  <si>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</si>
  <si>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</si>
  <si>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</si>
  <si>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</si>
  <si>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</si>
  <si>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</si>
  <si>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</si>
  <si>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</si>
  <si>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</si>
  <si>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</si>
  <si>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</si>
  <si>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</si>
  <si>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</si>
  <si>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</si>
  <si>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</si>
  <si>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</si>
  <si>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</si>
  <si>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</si>
  <si>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</si>
  <si>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</si>
  <si>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</si>
  <si>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</si>
  <si>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</si>
  <si>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</si>
  <si>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</si>
  <si>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</si>
  <si>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</si>
  <si>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</si>
  <si>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</si>
  <si>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</si>
  <si>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</si>
  <si>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</si>
  <si>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</si>
  <si>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</si>
  <si>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</si>
  <si>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</si>
  <si>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</si>
  <si>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</si>
  <si>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</si>
  <si>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</si>
  <si>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</si>
  <si>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</si>
  <si>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</si>
  <si>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</si>
  <si>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</si>
  <si>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</si>
  <si>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</si>
  <si>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</si>
  <si>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</si>
  <si>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</si>
  <si>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</si>
  <si>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</si>
  <si>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</si>
  <si>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</si>
  <si>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</si>
  <si>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</si>
  <si>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</si>
  <si>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</si>
  <si>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</si>
  <si>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</si>
  <si>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</si>
  <si>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</si>
  <si>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</si>
  <si>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</si>
  <si>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</si>
  <si>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</si>
  <si>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</si>
  <si>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</si>
  <si>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</si>
  <si>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</si>
  <si>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</si>
  <si>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</si>
  <si>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</si>
  <si>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</si>
  <si>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</si>
  <si>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</si>
  <si>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</si>
  <si>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</si>
  <si>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</si>
  <si>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</si>
  <si>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</si>
  <si>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</si>
  <si>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</si>
  <si>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</si>
  <si>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</si>
  <si>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</si>
  <si>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</si>
  <si>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</si>
  <si>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</si>
  <si>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</si>
  <si>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</si>
  <si>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</si>
  <si>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</si>
  <si>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</si>
  <si>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</si>
  <si>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</si>
  <si>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</si>
  <si>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</si>
  <si>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</si>
  <si>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</si>
  <si>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</si>
  <si>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</si>
  <si>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</si>
  <si>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</si>
  <si>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</si>
  <si>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</si>
  <si>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</si>
  <si>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</si>
  <si>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</si>
  <si>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</si>
  <si>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</si>
  <si>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</si>
  <si>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</si>
  <si>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</si>
  <si>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</si>
  <si>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</si>
  <si>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</si>
  <si>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</si>
  <si>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</si>
  <si>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</si>
  <si>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</si>
  <si>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</si>
  <si>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</si>
  <si>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</si>
  <si>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</si>
  <si>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</si>
  <si>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</si>
  <si>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</si>
  <si>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</si>
  <si>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</si>
  <si>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</si>
  <si>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</si>
  <si>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</si>
  <si>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</si>
  <si>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</si>
  <si>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</si>
  <si>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</si>
  <si>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</si>
  <si>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</si>
  <si>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</si>
  <si>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</si>
  <si>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</si>
  <si>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</si>
  <si>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</si>
  <si>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</si>
  <si>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</si>
  <si>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</si>
  <si>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</si>
  <si>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</si>
  <si>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</si>
  <si>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</si>
  <si>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</si>
  <si>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</si>
  <si>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</si>
  <si>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</si>
  <si>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</si>
  <si>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</si>
  <si>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</si>
  <si>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</si>
  <si>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</si>
  <si>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</si>
  <si>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</si>
  <si>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</si>
  <si>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</si>
  <si>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</si>
  <si>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</si>
  <si>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</si>
  <si>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</si>
  <si>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</si>
  <si>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</si>
  <si>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</si>
  <si>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</si>
  <si>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</si>
  <si>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</si>
  <si>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</si>
  <si>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</si>
  <si>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</si>
  <si>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</si>
  <si>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</si>
  <si>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</si>
  <si>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</si>
  <si>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</si>
  <si>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</si>
  <si>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</si>
  <si>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</si>
  <si>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</si>
  <si>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</si>
  <si>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</si>
  <si>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</si>
  <si>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</si>
  <si>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</si>
  <si>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</si>
  <si>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</si>
  <si>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</si>
  <si>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</si>
  <si>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</si>
  <si>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</si>
  <si>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</si>
  <si>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</si>
  <si>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</si>
  <si>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</si>
  <si>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</si>
  <si>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</si>
  <si>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</si>
  <si>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</si>
  <si>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</si>
  <si>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</si>
  <si>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</si>
  <si>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</si>
  <si>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</si>
  <si>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</si>
  <si>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</si>
  <si>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</si>
  <si>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</si>
  <si>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</si>
  <si>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</si>
  <si>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</si>
  <si>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</si>
  <si>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</si>
  <si>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</si>
  <si>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</si>
  <si>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</si>
  <si>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</si>
  <si>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</si>
  <si>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</si>
  <si>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</si>
  <si>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</si>
  <si>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</si>
  <si>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</si>
  <si>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</si>
  <si>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</si>
  <si>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</si>
  <si>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</si>
  <si>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</si>
  <si>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</si>
  <si>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</si>
  <si>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</si>
  <si>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</si>
  <si>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</si>
  <si>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</si>
  <si>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</si>
  <si>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</si>
  <si>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</si>
  <si>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</si>
  <si>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</si>
  <si>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</si>
  <si>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</si>
  <si>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</si>
  <si>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</si>
  <si>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</si>
  <si>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</si>
  <si>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</si>
  <si>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</si>
  <si>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</si>
  <si>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</si>
  <si>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</si>
  <si>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</si>
  <si>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</si>
  <si>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</si>
  <si>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</si>
  <si>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</si>
  <si>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</si>
  <si>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</si>
  <si>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</si>
  <si>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</si>
  <si>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</si>
  <si>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</si>
  <si>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</si>
  <si>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</si>
  <si>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</si>
  <si>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</si>
  <si>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</si>
  <si>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</si>
  <si>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</si>
  <si>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</si>
  <si>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</si>
  <si>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</si>
  <si>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</si>
  <si>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</si>
  <si>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</si>
  <si>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</si>
  <si>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</si>
  <si>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</si>
  <si>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</si>
  <si>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</si>
  <si>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</si>
  <si>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</si>
  <si>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</si>
  <si>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</si>
  <si>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</si>
  <si>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</si>
  <si>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</si>
  <si>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</si>
  <si>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</si>
  <si>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</si>
  <si>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</si>
  <si>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</si>
  <si>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</si>
  <si>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</si>
  <si>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</si>
  <si>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</si>
  <si>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</si>
  <si>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</si>
  <si>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</si>
  <si>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</si>
  <si>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</si>
  <si>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</si>
  <si>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</si>
  <si>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</si>
  <si>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</si>
  <si>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</si>
  <si>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</si>
  <si>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</si>
  <si>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</si>
  <si>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</si>
  <si>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</si>
  <si>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</si>
  <si>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</si>
  <si>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</si>
  <si>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</si>
  <si>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</si>
  <si>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</si>
  <si>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</si>
  <si>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</si>
  <si>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</si>
  <si>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</si>
  <si>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</si>
  <si>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</si>
  <si>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</si>
  <si>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</si>
  <si>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</si>
  <si>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</si>
  <si>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</si>
  <si>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</si>
  <si>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</si>
  <si>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</si>
  <si>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</si>
  <si>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</si>
  <si>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</si>
  <si>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</si>
  <si>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</si>
  <si>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</si>
  <si>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</si>
  <si>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</si>
  <si>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</si>
  <si>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</si>
  <si>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</si>
  <si>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</si>
  <si>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</si>
  <si>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</si>
  <si>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</si>
  <si>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</si>
  <si>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</si>
  <si>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</si>
  <si>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</si>
  <si>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</si>
  <si>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</si>
  <si>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</si>
  <si>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</si>
  <si>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</si>
  <si>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</si>
  <si>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</si>
  <si>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</si>
  <si>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</si>
  <si>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</si>
  <si>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</si>
  <si>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</si>
  <si>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</si>
  <si>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</si>
  <si>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</si>
  <si>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</si>
  <si>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</si>
  <si>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</si>
  <si>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</si>
  <si>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</si>
  <si>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</si>
  <si>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</si>
  <si>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</si>
  <si>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</si>
  <si>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</si>
  <si>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</si>
  <si>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</si>
  <si>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</si>
  <si>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</si>
  <si>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</si>
  <si>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</si>
  <si>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</si>
  <si>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</si>
  <si>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</si>
  <si>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</si>
  <si>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</si>
  <si>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</si>
  <si>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</si>
  <si>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</si>
  <si>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</si>
  <si>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</si>
  <si>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</si>
  <si>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</si>
  <si>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</si>
  <si>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</si>
  <si>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</si>
  <si>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</si>
  <si>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</si>
  <si>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</si>
  <si>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</si>
  <si>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</si>
  <si>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</si>
  <si>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</si>
  <si>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</si>
  <si>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</si>
  <si>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</si>
  <si>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</si>
  <si>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</si>
  <si>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</si>
  <si>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</si>
  <si>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</si>
  <si>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</si>
  <si>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</si>
  <si>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</si>
  <si>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</si>
  <si>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</si>
  <si>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</si>
  <si>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</si>
  <si>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</si>
  <si>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</si>
  <si>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</si>
  <si>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</si>
  <si>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</si>
  <si>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</si>
  <si>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</si>
  <si>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</si>
  <si>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</si>
  <si>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</si>
  <si>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</si>
  <si>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</si>
  <si>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</si>
  <si>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</si>
  <si>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</si>
  <si>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</si>
  <si>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</si>
  <si>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</si>
  <si>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</si>
  <si>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</si>
  <si>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</si>
  <si>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</si>
  <si>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</si>
  <si>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</si>
  <si>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</si>
  <si>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</si>
  <si>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</si>
  <si>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</si>
  <si>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</si>
  <si>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</si>
  <si>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</si>
  <si>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</si>
  <si>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</si>
  <si>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</si>
  <si>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</si>
  <si>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</si>
  <si>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</si>
  <si>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</si>
  <si>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</si>
  <si>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</si>
  <si>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</si>
  <si>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</si>
  <si>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</si>
  <si>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</si>
  <si>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</si>
  <si>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</si>
  <si>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</si>
  <si>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</si>
  <si>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</si>
  <si>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</si>
  <si>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</si>
  <si>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</si>
  <si>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</si>
  <si>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</si>
  <si>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</si>
  <si>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</si>
  <si>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</si>
  <si>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</si>
  <si>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</si>
  <si>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</si>
  <si>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</si>
  <si>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</si>
  <si>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</si>
  <si>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</si>
  <si>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</si>
  <si>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</si>
  <si>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</si>
  <si>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</si>
  <si>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</si>
  <si>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</si>
  <si>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</si>
  <si>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</si>
  <si>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</si>
  <si>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</si>
  <si>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</si>
  <si>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</si>
  <si>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</si>
  <si>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</si>
  <si>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</si>
  <si>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</si>
  <si>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</si>
  <si>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</si>
  <si>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</si>
  <si>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</si>
  <si>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</si>
  <si>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</si>
  <si>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</si>
  <si>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</si>
  <si>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</si>
  <si>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</si>
  <si>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</si>
  <si>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</si>
  <si>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</si>
  <si>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</si>
  <si>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</si>
  <si>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</si>
  <si>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</si>
  <si>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</si>
  <si>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</si>
  <si>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</si>
  <si>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</si>
  <si>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</si>
  <si>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</si>
  <si>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</si>
  <si>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</si>
  <si>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</si>
  <si>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</si>
  <si>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</si>
  <si>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</si>
  <si>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</si>
  <si>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</si>
  <si>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</si>
  <si>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</si>
  <si>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</si>
  <si>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</si>
  <si>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</si>
  <si>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</si>
  <si>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</si>
  <si>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</si>
  <si>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</si>
  <si>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</si>
  <si>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</si>
  <si>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</si>
  <si>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</si>
  <si>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</si>
  <si>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</si>
  <si>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</si>
  <si>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</si>
  <si>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</si>
  <si>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</si>
  <si>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</si>
  <si>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</si>
  <si>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</si>
  <si>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</si>
  <si>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</si>
  <si>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</si>
  <si>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</si>
  <si>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</si>
  <si>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</si>
  <si>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</si>
  <si>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</si>
  <si>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</si>
  <si>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</si>
  <si>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</si>
  <si>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</si>
  <si>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</si>
  <si>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</si>
  <si>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</si>
  <si>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</si>
  <si>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</si>
  <si>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</si>
  <si>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</si>
  <si>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</si>
  <si>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</si>
  <si>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</si>
  <si>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</si>
  <si>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</si>
  <si>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</si>
  <si>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</si>
  <si>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</si>
  <si>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</si>
  <si>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</si>
  <si>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</si>
  <si>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</si>
  <si>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</si>
  <si>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</si>
  <si>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</si>
  <si>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</si>
  <si>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</si>
  <si>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</si>
  <si>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</si>
  <si>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</si>
  <si>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</si>
  <si>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</si>
  <si>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</si>
  <si>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</si>
  <si>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</si>
  <si>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</si>
  <si>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</si>
  <si>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</si>
  <si>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</si>
  <si>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</si>
  <si>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</si>
  <si>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</si>
  <si>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</si>
  <si>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</si>
  <si>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</si>
  <si>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</si>
  <si>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</si>
  <si>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</si>
  <si>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</si>
  <si>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</si>
  <si>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</si>
  <si>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</si>
  <si>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</si>
  <si>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</si>
  <si>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</si>
  <si>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</si>
  <si>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</si>
  <si>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</si>
  <si>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</si>
  <si>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</si>
  <si>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</si>
  <si>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</si>
  <si>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</si>
  <si>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</si>
  <si>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</si>
  <si>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</si>
  <si>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</si>
  <si>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</si>
  <si>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</si>
  <si>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</si>
  <si>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</si>
  <si>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</si>
  <si>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</si>
  <si>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</si>
  <si>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</si>
  <si>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</si>
  <si>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</si>
  <si>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</si>
  <si>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</si>
  <si>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</si>
  <si>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</si>
  <si>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</si>
  <si>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</si>
  <si>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</si>
  <si>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</si>
  <si>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</si>
  <si>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</si>
  <si>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</si>
  <si>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</si>
  <si>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</si>
  <si>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</si>
  <si>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</si>
  <si>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</si>
  <si>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</si>
  <si>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</si>
  <si>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</si>
  <si>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</si>
  <si>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</si>
  <si>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</si>
  <si>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</si>
  <si>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</si>
  <si>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</si>
  <si>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</si>
  <si>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</si>
  <si>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</si>
  <si>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</si>
  <si>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</si>
  <si>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</si>
  <si>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</si>
  <si>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</si>
  <si>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</si>
  <si>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</si>
  <si>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</si>
  <si>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</si>
  <si>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</si>
  <si>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</si>
  <si>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</si>
  <si>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</si>
  <si>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</si>
  <si>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</si>
  <si>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</si>
  <si>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</si>
  <si>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</si>
  <si>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</si>
  <si>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</si>
  <si>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</si>
  <si>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</si>
  <si>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</si>
  <si>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</si>
  <si>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</si>
  <si>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</si>
  <si>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</si>
  <si>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</si>
  <si>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</si>
  <si>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</si>
  <si>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</si>
  <si>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</si>
  <si>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</si>
  <si>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</si>
  <si>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</si>
  <si>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</si>
  <si>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</si>
  <si>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</si>
  <si>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</si>
  <si>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</si>
  <si>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</si>
  <si>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</si>
  <si>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</si>
  <si>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</si>
  <si>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</si>
  <si>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</si>
  <si>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</si>
  <si>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</si>
  <si>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</si>
  <si>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</si>
  <si>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</si>
  <si>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</si>
  <si>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</si>
  <si>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</si>
  <si>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</si>
  <si>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</si>
  <si>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</si>
  <si>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</si>
  <si>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</si>
  <si>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</si>
  <si>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</si>
  <si>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</si>
  <si>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</si>
  <si>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</si>
  <si>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</si>
  <si>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</si>
  <si>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</si>
  <si>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</si>
  <si>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</si>
  <si>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</si>
  <si>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</si>
  <si>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</si>
  <si>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</si>
  <si>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</si>
  <si>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</si>
  <si>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</si>
  <si>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</si>
  <si>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</si>
  <si>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</si>
  <si>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</si>
  <si>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</si>
  <si>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</si>
  <si>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</si>
  <si>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</si>
  <si>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</si>
  <si>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</si>
  <si>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</si>
  <si>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</si>
  <si>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</si>
  <si>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</si>
  <si>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</si>
  <si>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</si>
  <si>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</si>
  <si>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</si>
  <si>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</si>
  <si>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</si>
  <si>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</si>
  <si>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</si>
  <si>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</si>
  <si>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</si>
  <si>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</si>
  <si>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</si>
  <si>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</si>
  <si>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</si>
  <si>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</si>
  <si>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</si>
  <si>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</si>
  <si>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</si>
  <si>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</si>
  <si>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</si>
  <si>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</si>
  <si>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</si>
  <si>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</si>
  <si>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</si>
  <si>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</si>
  <si>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</si>
  <si>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</si>
  <si>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</si>
  <si>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</si>
  <si>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</si>
  <si>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</si>
  <si>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</si>
  <si>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</si>
  <si>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</si>
  <si>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</si>
  <si>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</si>
  <si>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</si>
  <si>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</si>
  <si>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</si>
  <si>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</si>
  <si>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</si>
  <si>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</si>
  <si>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</si>
  <si>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</si>
  <si>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</si>
  <si>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</si>
  <si>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</si>
  <si>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</si>
  <si>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</si>
  <si>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</si>
  <si>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</si>
  <si>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</si>
  <si>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</si>
  <si>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</si>
  <si>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</si>
  <si>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</si>
  <si>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</si>
  <si>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</si>
  <si>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</si>
  <si>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</si>
  <si>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</si>
  <si>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</si>
  <si>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</si>
  <si>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</si>
  <si>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</si>
  <si>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</si>
  <si>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</si>
  <si>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</si>
  <si>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</si>
  <si>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</si>
  <si>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</si>
  <si>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</si>
  <si>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</si>
  <si>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</si>
  <si>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</si>
  <si>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</si>
  <si>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</si>
  <si>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</si>
  <si>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</si>
  <si>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</si>
  <si>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</si>
  <si>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</si>
  <si>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</si>
  <si>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</si>
  <si>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</si>
  <si>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</si>
  <si>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</si>
  <si>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</si>
  <si>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</si>
  <si>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</si>
  <si>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</si>
  <si>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</si>
  <si>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</si>
  <si>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</si>
  <si>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</si>
  <si>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</si>
  <si>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</si>
  <si>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</si>
  <si>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</si>
  <si>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</si>
  <si>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</si>
  <si>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</si>
  <si>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</si>
  <si>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</si>
  <si>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</si>
  <si>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</si>
  <si>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</si>
  <si>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</si>
  <si>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</si>
  <si>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</si>
  <si>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</si>
  <si>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</si>
  <si>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</si>
  <si>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</si>
  <si>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</si>
  <si>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</si>
  <si>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</si>
  <si>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</si>
  <si>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</si>
  <si>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</si>
  <si>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</si>
  <si>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</si>
  <si>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</si>
  <si>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</si>
  <si>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</si>
  <si>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</si>
  <si>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</si>
  <si>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</si>
  <si>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</si>
  <si>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</si>
  <si>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</si>
  <si>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</si>
  <si>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</si>
  <si>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</si>
  <si>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</si>
  <si>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</si>
  <si>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</si>
  <si>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</si>
  <si>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</si>
  <si>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</si>
  <si>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</si>
  <si>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</si>
  <si>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</si>
  <si>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</si>
  <si>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</si>
  <si>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</si>
  <si>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</si>
  <si>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</si>
  <si>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</si>
  <si>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</si>
  <si>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</si>
  <si>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</si>
  <si>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</si>
  <si>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</si>
  <si>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</si>
  <si>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</si>
  <si>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</si>
  <si>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</si>
  <si>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</si>
  <si>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</si>
  <si>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</si>
  <si>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</si>
  <si>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</si>
  <si>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</si>
  <si>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</si>
  <si>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</si>
  <si>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</si>
  <si>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</si>
  <si>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</si>
  <si>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</si>
  <si>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</si>
  <si>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</si>
  <si>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</si>
  <si>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</si>
  <si>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</si>
  <si>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</si>
  <si>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</si>
  <si>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</si>
  <si>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</si>
  <si>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</si>
  <si>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</si>
  <si>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</si>
  <si>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</si>
  <si>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</si>
  <si>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</si>
  <si>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</si>
  <si>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</si>
  <si>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</si>
  <si>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</si>
  <si>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</si>
  <si>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</si>
  <si>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</si>
  <si>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</si>
  <si>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</si>
  <si>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</si>
  <si>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</si>
  <si>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</si>
  <si>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</si>
  <si>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</si>
  <si>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</si>
  <si>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</si>
  <si>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</si>
  <si>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</si>
  <si>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</si>
  <si>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</si>
  <si>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</si>
  <si>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</si>
  <si>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</si>
  <si>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</si>
  <si>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</si>
  <si>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</si>
  <si>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</si>
  <si>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</si>
  <si>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</si>
  <si>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</si>
  <si>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</si>
  <si>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</si>
  <si>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</si>
  <si>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</si>
  <si>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</si>
  <si>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</si>
  <si>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</si>
  <si>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</si>
  <si>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</si>
  <si>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</si>
  <si>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</si>
  <si>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</si>
  <si>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</si>
  <si>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</si>
  <si>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</si>
  <si>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</si>
  <si>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</si>
  <si>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</si>
  <si>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</si>
  <si>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</si>
  <si>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</si>
  <si>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</si>
  <si>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</si>
  <si>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</si>
  <si>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</si>
  <si>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</si>
  <si>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</si>
  <si>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</si>
  <si>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</si>
  <si>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</si>
  <si>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</si>
  <si>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</si>
  <si>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</si>
  <si>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</si>
  <si>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</si>
  <si>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</si>
  <si>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</si>
  <si>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</si>
  <si>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</si>
  <si>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</si>
  <si>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</si>
  <si>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</si>
  <si>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</si>
  <si>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</si>
  <si>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</si>
  <si>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</si>
  <si>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</si>
  <si>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</si>
  <si>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</si>
  <si>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</si>
  <si>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</si>
  <si>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</si>
  <si>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</si>
  <si>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</si>
  <si>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</si>
  <si>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</si>
  <si>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</si>
  <si>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</si>
  <si>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</si>
  <si>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</si>
  <si>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</si>
  <si>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</si>
  <si>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</si>
  <si>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</si>
  <si>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</si>
  <si>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</si>
  <si>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</si>
  <si>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</si>
  <si>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</si>
  <si>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</si>
  <si>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</si>
  <si>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</si>
  <si>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</si>
  <si>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</si>
  <si>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</si>
  <si>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</si>
  <si>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</si>
  <si>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</si>
  <si>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</si>
  <si>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</si>
  <si>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</si>
  <si>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</si>
  <si>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</si>
  <si>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</si>
  <si>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</si>
  <si>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</si>
  <si>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</si>
  <si>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</si>
  <si>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</si>
  <si>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</si>
  <si>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</si>
  <si>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</si>
  <si>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</si>
  <si>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</si>
  <si>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</si>
  <si>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</si>
  <si>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</si>
  <si>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</si>
  <si>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</si>
  <si>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</si>
  <si>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</si>
  <si>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</si>
  <si>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</si>
  <si>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</si>
  <si>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</si>
  <si>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</si>
  <si>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</si>
  <si>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</si>
  <si>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</si>
  <si>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</si>
  <si>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</si>
  <si>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</si>
  <si>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</si>
  <si>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</si>
  <si>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</si>
  <si>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</si>
  <si>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</si>
  <si>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</si>
  <si>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</si>
  <si>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</si>
  <si>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</si>
  <si>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</si>
  <si>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</si>
  <si>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</si>
  <si>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</si>
  <si>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</si>
  <si>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</si>
  <si>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</si>
  <si>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</si>
  <si>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</si>
  <si>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</si>
  <si>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</si>
  <si>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</si>
  <si>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</si>
  <si>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</si>
  <si>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</si>
  <si>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</si>
  <si>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</si>
  <si>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</si>
  <si>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</si>
  <si>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</si>
  <si>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</si>
  <si>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</si>
  <si>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</si>
  <si>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</si>
  <si>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</si>
  <si>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</si>
  <si>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</si>
  <si>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</si>
  <si>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</si>
  <si>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</si>
  <si>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</si>
  <si>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</si>
  <si>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</si>
  <si>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</si>
  <si>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</si>
  <si>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</si>
  <si>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</si>
  <si>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</si>
  <si>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</si>
  <si>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</si>
  <si>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</si>
  <si>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</si>
  <si>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</si>
  <si>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</si>
  <si>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</si>
  <si>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</si>
  <si>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</si>
  <si>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</si>
  <si>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</si>
  <si>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</si>
  <si>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</si>
  <si>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</si>
  <si>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</si>
  <si>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</si>
  <si>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</si>
  <si>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</si>
  <si>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</si>
  <si>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</si>
  <si>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</si>
  <si>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</si>
  <si>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</si>
  <si>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</si>
  <si>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</si>
  <si>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</si>
  <si>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</si>
  <si>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</si>
  <si>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</si>
  <si>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</si>
  <si>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</si>
  <si>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</si>
  <si>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</si>
  <si>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</si>
  <si>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</si>
  <si>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</si>
  <si>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</si>
  <si>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</si>
  <si>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</si>
  <si>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</si>
  <si>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</si>
  <si>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</si>
  <si>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</si>
  <si>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</si>
  <si>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</si>
  <si>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</si>
  <si>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</si>
  <si>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</si>
  <si>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</si>
  <si>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</si>
  <si>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</si>
  <si>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</si>
  <si>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</si>
  <si>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</si>
  <si>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</si>
  <si>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</si>
  <si>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</si>
  <si>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</si>
  <si>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</si>
  <si>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</si>
  <si>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</si>
  <si>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</si>
  <si>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</si>
  <si>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</si>
  <si>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</si>
  <si>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</si>
  <si>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</si>
  <si>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</si>
  <si>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</si>
  <si>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</si>
  <si>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</si>
  <si>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</si>
  <si>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</si>
  <si>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</si>
  <si>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</si>
  <si>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</si>
  <si>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</si>
  <si>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</si>
  <si>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</si>
  <si>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</si>
  <si>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</si>
  <si>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</si>
  <si>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</si>
  <si>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</si>
  <si>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</si>
  <si>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</si>
  <si>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</si>
  <si>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</si>
  <si>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</si>
  <si>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</si>
  <si>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</si>
  <si>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</si>
  <si>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</si>
  <si>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</si>
  <si>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</si>
  <si>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</si>
  <si>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</si>
  <si>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</si>
  <si>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</si>
  <si>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</si>
  <si>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</si>
  <si>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</si>
  <si>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</si>
  <si>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</si>
  <si>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</si>
  <si>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</si>
  <si>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</si>
  <si>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</si>
  <si>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</si>
  <si>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</si>
  <si>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</si>
  <si>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</si>
  <si>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</si>
  <si>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</si>
  <si>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</si>
  <si>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</si>
  <si>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</si>
  <si>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</si>
  <si>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</si>
  <si>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</si>
  <si>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</si>
  <si>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</si>
  <si>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</si>
  <si>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</si>
  <si>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</si>
  <si>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</si>
  <si>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</si>
  <si>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</si>
  <si>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</si>
  <si>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</si>
  <si>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</si>
  <si>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</si>
  <si>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</si>
  <si>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</si>
  <si>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</si>
  <si>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</si>
  <si>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</si>
  <si>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</si>
  <si>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</si>
  <si>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</si>
  <si>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</si>
  <si>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</si>
  <si>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</si>
  <si>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</si>
  <si>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</si>
  <si>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</si>
  <si>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</si>
  <si>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</si>
  <si>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</si>
  <si>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</si>
  <si>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</si>
  <si>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</si>
  <si>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</si>
  <si>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</si>
  <si>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</si>
  <si>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</si>
  <si>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</si>
  <si>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</si>
  <si>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</si>
  <si>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</si>
  <si>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</si>
  <si>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</si>
  <si>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</si>
  <si>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</si>
  <si>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</si>
  <si>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</si>
  <si>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</si>
  <si>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</si>
  <si>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</si>
  <si>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</si>
  <si>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</si>
  <si>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</si>
  <si>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</si>
  <si>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</si>
  <si>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</si>
  <si>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</si>
  <si>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</si>
  <si>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</si>
  <si>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</si>
  <si>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</si>
  <si>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</si>
  <si>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</si>
  <si>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</si>
  <si>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</si>
  <si>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</si>
  <si>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</si>
  <si>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</si>
  <si>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</si>
  <si>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</si>
  <si>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</si>
  <si>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</si>
  <si>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</si>
  <si>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</si>
  <si>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</si>
  <si>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</si>
  <si>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</si>
  <si>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</si>
  <si>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</si>
  <si>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</si>
  <si>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</si>
  <si>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</si>
  <si>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</si>
  <si>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</si>
  <si>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</si>
  <si>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</si>
  <si>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</si>
  <si>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</si>
  <si>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</si>
  <si>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</si>
  <si>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</si>
  <si>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</si>
  <si>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</si>
  <si>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</si>
  <si>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</si>
  <si>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</si>
  <si>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</si>
  <si>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</si>
  <si>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</si>
  <si>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</si>
  <si>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</si>
  <si>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</si>
  <si>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</si>
  <si>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</si>
  <si>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</si>
  <si>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</si>
  <si>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</si>
  <si>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</si>
  <si>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</si>
  <si>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</si>
  <si>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</si>
  <si>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</si>
  <si>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</si>
  <si>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</si>
  <si>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</si>
  <si>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</si>
  <si>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</si>
  <si>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</si>
  <si>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</si>
  <si>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</si>
  <si>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</si>
  <si>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</si>
  <si>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</si>
  <si>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</si>
  <si>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</si>
  <si>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</si>
  <si>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</si>
  <si>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</si>
  <si>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</si>
  <si>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</si>
  <si>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</si>
  <si>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</si>
  <si>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</si>
  <si>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</si>
  <si>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</si>
  <si>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</si>
  <si>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</si>
  <si>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</si>
  <si>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</si>
  <si>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</si>
  <si>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</si>
  <si>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</si>
  <si>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</si>
  <si>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</si>
  <si>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</si>
  <si>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</si>
  <si>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</si>
  <si>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</si>
  <si>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</si>
  <si>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</si>
  <si>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</si>
  <si>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</si>
  <si>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</si>
  <si>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</si>
  <si>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</si>
  <si>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</si>
  <si>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</si>
  <si>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</si>
  <si>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</si>
  <si>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</si>
  <si>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</si>
  <si>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</si>
  <si>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</si>
  <si>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</si>
  <si>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</si>
  <si>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</si>
  <si>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</si>
  <si>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</si>
  <si>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</si>
  <si>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</si>
  <si>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</si>
  <si>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</si>
  <si>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</si>
  <si>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</si>
  <si>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</si>
  <si>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</si>
  <si>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</si>
  <si>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</si>
  <si>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</si>
  <si>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</si>
  <si>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</si>
  <si>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</si>
  <si>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</si>
  <si>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</si>
  <si>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</si>
  <si>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</si>
  <si>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</si>
  <si>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</si>
  <si>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</si>
  <si>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</si>
  <si>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</si>
  <si>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</si>
  <si>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</si>
  <si>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</si>
  <si>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</si>
  <si>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</si>
  <si>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</si>
  <si>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</si>
  <si>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</si>
  <si>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</si>
  <si>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</si>
  <si>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</si>
  <si>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</si>
  <si>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</si>
  <si>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</si>
  <si>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</si>
  <si>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</si>
  <si>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</si>
  <si>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</si>
  <si>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</si>
  <si>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</si>
  <si>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</si>
  <si>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</si>
  <si>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</si>
  <si>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</si>
  <si>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</si>
  <si>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</si>
  <si>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</si>
  <si>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</si>
  <si>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</si>
  <si>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</si>
  <si>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</si>
  <si>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</si>
  <si>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</si>
  <si>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</si>
  <si>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</si>
  <si>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</si>
  <si>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</si>
  <si>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</si>
  <si>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</si>
  <si>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</si>
  <si>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</si>
  <si>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</si>
  <si>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</si>
  <si>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</si>
  <si>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</si>
  <si>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</si>
  <si>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</si>
  <si>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</si>
  <si>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</si>
  <si>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</si>
  <si>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</si>
  <si>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</si>
  <si>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</si>
  <si>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</si>
  <si>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</si>
  <si>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</si>
  <si>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</si>
  <si>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</si>
  <si>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</si>
  <si>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</si>
  <si>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</si>
  <si>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</si>
  <si>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</si>
  <si>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</si>
  <si>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</si>
  <si>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</si>
  <si>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</si>
  <si>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</si>
  <si>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</si>
  <si>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</si>
  <si>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</si>
  <si>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</si>
  <si>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</si>
  <si>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</si>
  <si>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</si>
  <si>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</si>
  <si>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</si>
  <si>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</si>
  <si>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</si>
  <si>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</si>
  <si>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</si>
  <si>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</si>
  <si>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</si>
  <si>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</si>
  <si>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</si>
  <si>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</si>
  <si>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</si>
  <si>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</si>
  <si>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</si>
  <si>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</si>
  <si>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</si>
  <si>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</si>
  <si>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</si>
  <si>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</si>
  <si>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</si>
  <si>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</si>
  <si>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</si>
  <si>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</si>
  <si>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</si>
  <si>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</si>
  <si>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</si>
  <si>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</si>
  <si>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</si>
  <si>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</si>
  <si>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</si>
  <si>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</si>
  <si>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</si>
  <si>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</si>
  <si>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</si>
  <si>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</si>
  <si>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</si>
  <si>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</si>
  <si>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</si>
  <si>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</si>
  <si>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</si>
  <si>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</si>
  <si>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</si>
  <si>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</si>
  <si>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</si>
  <si>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</si>
  <si>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</si>
  <si>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</si>
  <si>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</si>
  <si>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</si>
  <si>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</si>
  <si>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</si>
  <si>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</si>
  <si>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</si>
  <si>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</si>
  <si>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</si>
  <si>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</si>
  <si>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</si>
  <si>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</si>
  <si>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</si>
  <si>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</si>
  <si>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</si>
  <si>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</si>
  <si>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</si>
  <si>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</si>
  <si>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</si>
  <si>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</si>
  <si>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</si>
  <si>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</si>
  <si>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</si>
  <si>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</si>
  <si>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</si>
  <si>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</si>
  <si>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</si>
  <si>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</si>
  <si>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</si>
  <si>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</si>
  <si>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</si>
  <si>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</si>
  <si>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</si>
  <si>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</si>
  <si>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</si>
  <si>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</si>
  <si>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</si>
  <si>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</si>
  <si>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</si>
  <si>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</si>
  <si>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</si>
  <si>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</si>
  <si>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</si>
  <si>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</si>
  <si>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</si>
  <si>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</si>
  <si>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</si>
  <si>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</si>
  <si>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</si>
  <si>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</si>
  <si>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</si>
  <si>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</si>
  <si>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</si>
  <si>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</si>
  <si>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</si>
  <si>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</si>
  <si>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</si>
  <si>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</si>
  <si>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</si>
  <si>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</si>
  <si>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</si>
  <si>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</si>
  <si>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</si>
  <si>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</si>
  <si>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</si>
  <si>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</si>
  <si>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</si>
  <si>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</si>
  <si>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</si>
  <si>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</si>
  <si>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</si>
  <si>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</si>
  <si>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</si>
  <si>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</si>
  <si>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</si>
  <si>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</si>
  <si>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</si>
  <si>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</si>
  <si>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</si>
  <si>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</si>
  <si>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</si>
  <si>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</si>
  <si>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</si>
  <si>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</si>
  <si>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</si>
  <si>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</si>
  <si>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</si>
  <si>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</si>
  <si>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</si>
  <si>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</si>
  <si>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</si>
  <si>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</si>
  <si>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</si>
  <si>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</si>
  <si>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</si>
  <si>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</si>
  <si>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</si>
  <si>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</si>
  <si>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</si>
  <si>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</si>
  <si>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</si>
  <si>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</si>
  <si>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</si>
  <si>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</si>
  <si>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</si>
  <si>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</si>
  <si>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</si>
  <si>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</si>
  <si>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</si>
  <si>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</si>
  <si>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</si>
  <si>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</si>
  <si>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</si>
  <si>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</si>
  <si>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</si>
  <si>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</si>
  <si>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</si>
  <si>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</si>
  <si>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</si>
  <si>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</si>
  <si>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</si>
  <si>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</si>
  <si>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</si>
  <si>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</si>
  <si>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</si>
  <si>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</si>
  <si>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</si>
  <si>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</si>
  <si>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</si>
  <si>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</si>
  <si>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</si>
  <si>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</si>
  <si>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</si>
  <si>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</si>
  <si>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</si>
  <si>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</si>
  <si>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</si>
  <si>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</si>
  <si>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</si>
  <si>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</si>
  <si>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</si>
  <si>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</si>
  <si>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</si>
  <si>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</si>
  <si>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</si>
  <si>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</si>
  <si>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</si>
  <si>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</si>
  <si>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</si>
  <si>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</si>
  <si>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</si>
  <si>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</si>
  <si>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</si>
  <si>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</si>
  <si>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</si>
  <si>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</si>
  <si>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</si>
  <si>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</si>
  <si>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</si>
  <si>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</si>
  <si>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</si>
  <si>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</si>
  <si>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</si>
  <si>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</si>
  <si>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</si>
  <si>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</si>
  <si>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</si>
  <si>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</si>
  <si>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</si>
  <si>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</si>
  <si>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</si>
  <si>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</si>
  <si>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</si>
  <si>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</si>
  <si>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</si>
  <si>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</si>
  <si>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</si>
  <si>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</si>
  <si>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</si>
  <si>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</si>
  <si>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</si>
  <si>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</si>
  <si>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</si>
  <si>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</si>
  <si>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</si>
  <si>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</si>
  <si>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</si>
  <si>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</si>
  <si>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</si>
  <si>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</si>
  <si>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</si>
  <si>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</si>
  <si>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</si>
  <si>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</si>
  <si>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</si>
  <si>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</si>
  <si>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</si>
  <si>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</si>
  <si>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</si>
  <si>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</si>
  <si>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</si>
  <si>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</si>
  <si>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</si>
  <si>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</si>
  <si>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</si>
  <si>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</si>
  <si>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</si>
  <si>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</si>
  <si>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</si>
  <si>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</si>
  <si>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</si>
  <si>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</si>
  <si>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</si>
  <si>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</si>
  <si>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</si>
  <si>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</si>
  <si>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</si>
  <si>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</si>
  <si>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</si>
  <si>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</si>
  <si>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</si>
  <si>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</si>
  <si>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</si>
  <si>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</si>
  <si>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</si>
  <si>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</si>
  <si>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</si>
  <si>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</si>
  <si>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</si>
  <si>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</si>
  <si>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</si>
  <si>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</si>
  <si>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</si>
  <si>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</si>
  <si>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</si>
  <si>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</si>
  <si>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</si>
  <si>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</si>
  <si>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</si>
  <si>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</si>
  <si>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</si>
  <si>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</si>
  <si>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</si>
  <si>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</si>
  <si>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</si>
  <si>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</si>
  <si>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</si>
  <si>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</si>
  <si>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</si>
  <si>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</si>
  <si>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</si>
  <si>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</si>
  <si>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</si>
  <si>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</si>
  <si>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</si>
  <si>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</si>
  <si>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</si>
  <si>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</si>
  <si>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</si>
  <si>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</si>
  <si>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</si>
  <si>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</si>
  <si>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</si>
  <si>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</si>
  <si>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</si>
  <si>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</si>
  <si>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</si>
  <si>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</si>
  <si>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</si>
  <si>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</si>
  <si>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</si>
  <si>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</si>
  <si>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</si>
  <si>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</si>
  <si>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</si>
  <si>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</si>
  <si>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</si>
  <si>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</si>
  <si>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</si>
  <si>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</si>
  <si>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</si>
  <si>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</si>
  <si>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</si>
  <si>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</si>
  <si>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</si>
  <si>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</si>
  <si>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</si>
  <si>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</si>
  <si>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</si>
  <si>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</si>
  <si>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</si>
  <si>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</si>
  <si>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</si>
  <si>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</si>
  <si>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</si>
  <si>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</si>
  <si>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</si>
  <si>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</si>
  <si>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</si>
  <si>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</si>
  <si>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</si>
  <si>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</si>
  <si>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</si>
  <si>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</si>
  <si>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</si>
  <si>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</si>
  <si>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</si>
  <si>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</si>
  <si>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</si>
  <si>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</si>
  <si>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</si>
  <si>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</si>
  <si>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</si>
  <si>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</si>
  <si>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</si>
  <si>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</si>
  <si>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</si>
  <si>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</si>
  <si>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</si>
  <si>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</si>
  <si>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</si>
  <si>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</si>
  <si>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</si>
  <si>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</si>
  <si>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</si>
  <si>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</si>
  <si>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</si>
  <si>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</si>
  <si>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</si>
  <si>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</si>
  <si>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</si>
  <si>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</si>
  <si>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</si>
  <si>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</si>
  <si>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</si>
  <si>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</si>
  <si>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</si>
  <si>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</si>
  <si>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</si>
  <si>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</si>
  <si>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</si>
  <si>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</si>
  <si>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</si>
  <si>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</si>
  <si>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</si>
  <si>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</si>
  <si>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</si>
  <si>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</si>
  <si>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</si>
  <si>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</si>
  <si>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</si>
  <si>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</si>
  <si>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</si>
  <si>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</si>
  <si>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</si>
  <si>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</si>
  <si>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</si>
  <si>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</si>
  <si>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</si>
  <si>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</si>
  <si>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</si>
  <si>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</si>
  <si>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</si>
  <si>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</si>
  <si>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</si>
  <si>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</si>
  <si>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</si>
  <si>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</si>
  <si>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</si>
  <si>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</si>
  <si>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</si>
  <si>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</si>
  <si>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</si>
  <si>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</si>
  <si>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</si>
  <si>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</si>
  <si>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</si>
  <si>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</si>
  <si>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</si>
  <si>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</si>
  <si>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</si>
  <si>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</si>
  <si>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</si>
  <si>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</si>
  <si>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</si>
  <si>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</si>
  <si>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</si>
  <si>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</si>
  <si>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</si>
  <si>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</si>
  <si>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</si>
  <si>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</si>
  <si>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</si>
  <si>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</si>
  <si>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</si>
  <si>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</si>
  <si>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</si>
  <si>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</si>
  <si>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</si>
  <si>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</si>
  <si>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</si>
  <si>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</si>
  <si>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</si>
  <si>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</si>
  <si>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</si>
  <si>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</si>
  <si>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</si>
  <si>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</si>
  <si>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</si>
  <si>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</si>
  <si>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</si>
  <si>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</si>
  <si>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</si>
  <si>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</si>
  <si>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</si>
  <si>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</si>
  <si>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</si>
  <si>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</si>
  <si>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</si>
  <si>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</si>
  <si>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</si>
  <si>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</si>
  <si>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</si>
  <si>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</si>
  <si>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</si>
  <si>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</si>
  <si>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</si>
  <si>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</si>
  <si>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</si>
  <si>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</si>
  <si>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</si>
  <si>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</si>
  <si>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</si>
  <si>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</si>
  <si>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</si>
  <si>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</si>
  <si>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</si>
  <si>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</si>
  <si>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</si>
  <si>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</si>
  <si>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</si>
  <si>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</si>
  <si>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</si>
  <si>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</si>
  <si>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</si>
  <si>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</si>
  <si>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</si>
  <si>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</si>
  <si>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</si>
  <si>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</si>
  <si>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</si>
  <si>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</si>
  <si>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</si>
  <si>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</si>
  <si>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</si>
  <si>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</si>
  <si>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</si>
  <si>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</si>
  <si>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</si>
  <si>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</si>
  <si>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</si>
  <si>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</si>
  <si>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</si>
  <si>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</si>
  <si>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</si>
  <si>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</si>
  <si>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</si>
  <si>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</si>
  <si>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</si>
  <si>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</si>
  <si>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</si>
  <si>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</si>
  <si>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</si>
  <si>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</si>
  <si>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</si>
  <si>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</si>
  <si>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</si>
  <si>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</si>
  <si>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</si>
  <si>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</si>
  <si>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</si>
  <si>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</si>
  <si>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</si>
  <si>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</si>
  <si>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</si>
  <si>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</si>
  <si>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</si>
  <si>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</si>
  <si>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</si>
  <si>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</si>
  <si>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</si>
  <si>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</si>
  <si>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</si>
  <si>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</si>
  <si>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</si>
  <si>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</si>
  <si>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</si>
  <si>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</si>
  <si>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</si>
  <si>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</si>
  <si>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</si>
  <si>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</si>
  <si>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</si>
  <si>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</si>
  <si>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</si>
  <si>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</si>
  <si>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</si>
  <si>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</si>
  <si>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</si>
  <si>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</si>
  <si>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</si>
  <si>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</si>
  <si>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</si>
  <si>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</si>
  <si>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</si>
  <si>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</si>
  <si>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</si>
  <si>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</si>
  <si>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</si>
  <si>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</si>
  <si>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</si>
  <si>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</si>
  <si>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</si>
  <si>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</si>
  <si>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</si>
  <si>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</si>
  <si>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</si>
  <si>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</si>
  <si>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</si>
  <si>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</si>
  <si>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</si>
  <si>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</si>
  <si>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</si>
  <si>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</si>
  <si>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</si>
  <si>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</si>
  <si>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</si>
  <si>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</si>
  <si>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</si>
  <si>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</si>
  <si>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</si>
  <si>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</si>
  <si>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</si>
  <si>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</si>
  <si>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</si>
  <si>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</si>
  <si>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</si>
  <si>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</si>
  <si>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</si>
  <si>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</si>
  <si>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</si>
  <si>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</si>
  <si>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</si>
  <si>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</si>
  <si>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</si>
  <si>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</si>
  <si>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</si>
  <si>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</si>
  <si>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</si>
  <si>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</si>
  <si>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</si>
  <si>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</si>
  <si>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</si>
  <si>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</si>
  <si>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</si>
  <si>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</si>
  <si>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</si>
  <si>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</si>
  <si>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</si>
  <si>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</si>
  <si>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</si>
  <si>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</si>
  <si>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</si>
  <si>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</si>
  <si>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</si>
  <si>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</si>
  <si>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</si>
  <si>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</si>
  <si>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</si>
  <si>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</si>
  <si>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</si>
  <si>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</si>
  <si>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</si>
  <si>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</si>
  <si>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</si>
  <si>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</si>
  <si>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</si>
  <si>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</si>
  <si>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</si>
  <si>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</si>
  <si>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</si>
  <si>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</si>
  <si>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</si>
  <si>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</si>
  <si>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</si>
  <si>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</si>
  <si>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</si>
  <si>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</si>
  <si>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</si>
  <si>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</si>
  <si>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</si>
  <si>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</si>
  <si>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</si>
  <si>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</si>
  <si>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</si>
  <si>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</si>
  <si>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</si>
  <si>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</si>
  <si>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</si>
  <si>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</si>
  <si>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</si>
  <si>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</si>
  <si>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</si>
  <si>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</si>
  <si>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</si>
  <si>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</si>
  <si>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</si>
  <si>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</si>
  <si>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</si>
  <si>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</si>
  <si>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</si>
  <si>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</si>
  <si>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</si>
  <si>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</si>
  <si>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</si>
  <si>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</si>
  <si>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</si>
  <si>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</si>
  <si>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</si>
  <si>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</si>
  <si>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</si>
  <si>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</si>
  <si>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</si>
  <si>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</si>
  <si>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</si>
  <si>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</si>
  <si>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</si>
  <si>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</si>
  <si>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</si>
  <si>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</si>
  <si>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</si>
  <si>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</si>
  <si>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</si>
  <si>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</si>
  <si>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</si>
  <si>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</si>
  <si>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</si>
  <si>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</si>
  <si>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</si>
  <si>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</si>
  <si>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</si>
  <si>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</si>
  <si>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</si>
  <si>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</si>
  <si>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</si>
  <si>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</si>
  <si>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</si>
  <si>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</si>
  <si>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</si>
  <si>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</si>
  <si>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</si>
  <si>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</si>
  <si>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</si>
  <si>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</si>
  <si>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</si>
  <si>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</si>
  <si>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</si>
  <si>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</si>
  <si>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</si>
  <si>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</si>
  <si>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</si>
  <si>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</si>
  <si>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</si>
  <si>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</si>
  <si>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</si>
  <si>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</si>
  <si>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</si>
  <si>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</si>
  <si>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</si>
  <si>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</si>
  <si>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</si>
  <si>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</si>
  <si>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</si>
  <si>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</si>
  <si>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</si>
  <si>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</si>
  <si>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</si>
  <si>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</si>
  <si>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</si>
  <si>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</si>
  <si>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</si>
  <si>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</si>
  <si>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</si>
  <si>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</si>
  <si>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</si>
  <si>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</si>
  <si>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</si>
  <si>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</si>
  <si>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</si>
  <si>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</si>
  <si>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</si>
  <si>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</si>
  <si>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</si>
  <si>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</si>
  <si>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</si>
  <si>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</si>
  <si>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</si>
  <si>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</si>
  <si>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</si>
  <si>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</si>
  <si>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</si>
  <si>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</si>
  <si>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</si>
  <si>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</si>
  <si>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</si>
  <si>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</si>
  <si>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</si>
  <si>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</si>
  <si>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</si>
  <si>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</si>
  <si>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</si>
  <si>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</si>
  <si>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</si>
  <si>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</si>
  <si>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</si>
  <si>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</si>
  <si>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</si>
  <si>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</si>
  <si>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</si>
  <si>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</si>
  <si>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</si>
  <si>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</si>
  <si>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</si>
  <si>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</si>
  <si>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</si>
  <si>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</si>
  <si>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</si>
  <si>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</si>
  <si>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</si>
  <si>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</si>
  <si>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</si>
  <si>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</si>
  <si>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</si>
  <si>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</si>
  <si>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</si>
  <si>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</si>
  <si>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</si>
  <si>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</si>
  <si>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</si>
  <si>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</si>
  <si>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</si>
  <si>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</si>
  <si>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</si>
  <si>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</si>
  <si>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</si>
  <si>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</si>
  <si>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</si>
  <si>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</si>
  <si>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</si>
  <si>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</si>
  <si>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</si>
  <si>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</si>
  <si>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</si>
  <si>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</si>
  <si>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</si>
  <si>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</si>
  <si>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</si>
  <si>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</si>
  <si>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</si>
  <si>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</si>
  <si>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</si>
  <si>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</si>
  <si>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</si>
  <si>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</si>
  <si>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</si>
  <si>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</si>
  <si>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</si>
  <si>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</si>
  <si>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</si>
  <si>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</si>
  <si>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</si>
  <si>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</si>
  <si>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</si>
  <si>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</si>
  <si>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</si>
  <si>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</si>
  <si>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</si>
  <si>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</si>
  <si>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</si>
  <si>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</si>
  <si>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</si>
  <si>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</si>
  <si>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</si>
  <si>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</si>
  <si>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</si>
  <si>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</si>
  <si>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</si>
  <si>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</si>
  <si>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</si>
  <si>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</si>
  <si>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</si>
  <si>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</si>
  <si>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</si>
  <si>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</si>
  <si>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</si>
  <si>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</si>
  <si>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</si>
  <si>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</si>
  <si>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</si>
  <si>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</si>
  <si>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</si>
  <si>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</si>
  <si>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</si>
  <si>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</si>
  <si>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</si>
  <si>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</si>
  <si>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</si>
  <si>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</si>
  <si>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</si>
  <si>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</si>
  <si>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</si>
  <si>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</si>
  <si>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</si>
  <si>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</si>
  <si>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</si>
  <si>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</si>
  <si>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</si>
  <si>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</si>
  <si>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</si>
  <si>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</si>
  <si>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</si>
  <si>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</si>
  <si>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</si>
  <si>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</si>
  <si>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</si>
  <si>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</si>
  <si>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</si>
  <si>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</si>
  <si>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</si>
  <si>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</si>
  <si>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</si>
  <si>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</si>
  <si>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</si>
  <si>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</si>
  <si>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</si>
  <si>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</si>
  <si>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</si>
  <si>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</si>
  <si>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</si>
  <si>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</si>
  <si>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</si>
  <si>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</si>
  <si>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</si>
  <si>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</si>
  <si>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</si>
  <si>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</si>
  <si>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</si>
  <si>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</si>
  <si>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</si>
  <si>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</si>
  <si>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</si>
  <si>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</si>
  <si>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</si>
  <si>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</si>
  <si>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</si>
  <si>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</si>
  <si>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</si>
  <si>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</si>
  <si>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</si>
  <si>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</si>
  <si>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</si>
  <si>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</si>
  <si>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</si>
  <si>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</si>
  <si>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</si>
  <si>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</si>
  <si>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</si>
  <si>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</si>
  <si>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</si>
  <si>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</si>
  <si>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</si>
  <si>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</si>
  <si>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</si>
  <si>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</si>
  <si>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</si>
  <si>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</si>
  <si>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</si>
  <si>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</si>
  <si>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</si>
  <si>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</si>
  <si>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</si>
  <si>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</si>
  <si>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</si>
  <si>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</si>
  <si>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</si>
  <si>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</si>
  <si>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</si>
  <si>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</si>
  <si>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</si>
  <si>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</si>
  <si>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</si>
  <si>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</si>
  <si>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</si>
  <si>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</si>
  <si>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</si>
  <si>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</si>
  <si>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</si>
  <si>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</si>
  <si>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</si>
  <si>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</si>
  <si>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</si>
  <si>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</si>
  <si>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</si>
  <si>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</si>
  <si>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</si>
  <si>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</si>
  <si>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</si>
  <si>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</si>
  <si>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</si>
  <si>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</si>
  <si>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</si>
  <si>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</si>
  <si>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</si>
  <si>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</si>
  <si>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</si>
  <si>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</si>
  <si>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</si>
  <si>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</si>
  <si>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</si>
  <si>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</si>
  <si>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</si>
  <si>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</si>
  <si>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</si>
  <si>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</si>
  <si>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</si>
  <si>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</si>
  <si>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</si>
  <si>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</si>
  <si>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</si>
  <si>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</si>
  <si>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</si>
  <si>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</si>
  <si>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</si>
  <si>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</si>
  <si>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</si>
  <si>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</si>
  <si>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</si>
  <si>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</si>
  <si>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</si>
  <si>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</si>
  <si>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</si>
  <si>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</si>
  <si>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</si>
  <si>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</si>
  <si>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</si>
  <si>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</si>
  <si>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</si>
  <si>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</si>
  <si>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</si>
  <si>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</si>
  <si>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</si>
  <si>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</si>
  <si>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</si>
  <si>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</si>
  <si>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</si>
  <si>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</si>
  <si>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</si>
  <si>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</si>
  <si>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</si>
  <si>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</si>
  <si>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</si>
  <si>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</si>
  <si>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</si>
  <si>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</si>
  <si>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</si>
  <si>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</si>
  <si>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</si>
  <si>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</si>
  <si>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</si>
  <si>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</si>
  <si>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</si>
  <si>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</si>
  <si>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</si>
  <si>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</si>
  <si>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</si>
  <si>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</si>
  <si>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</si>
  <si>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</si>
  <si>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</si>
  <si>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</si>
  <si>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</si>
  <si>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</si>
  <si>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</si>
  <si>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</si>
  <si>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</si>
  <si>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</si>
  <si>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</si>
  <si>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</si>
  <si>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</si>
  <si>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</si>
  <si>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</si>
  <si>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</si>
  <si>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</si>
  <si>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</si>
  <si>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</si>
  <si>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</si>
  <si>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</si>
  <si>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</si>
  <si>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</si>
  <si>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</si>
  <si>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</si>
  <si>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</si>
  <si>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</si>
  <si>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</si>
  <si>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</si>
  <si>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</si>
  <si>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</si>
  <si>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</si>
  <si>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</si>
  <si>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</si>
  <si>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</si>
  <si>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</si>
  <si>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</si>
  <si>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</si>
  <si>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</si>
  <si>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</si>
  <si>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</si>
  <si>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</si>
  <si>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</si>
  <si>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</si>
  <si>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</si>
  <si>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</si>
  <si>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</si>
  <si>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</si>
  <si>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</si>
  <si>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</si>
  <si>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</si>
  <si>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</si>
  <si>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</si>
  <si>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</si>
  <si>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</si>
  <si>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</si>
  <si>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</si>
  <si>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</si>
  <si>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</si>
  <si>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</si>
  <si>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</si>
  <si>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</si>
  <si>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</si>
  <si>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</si>
  <si>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</si>
  <si>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</si>
  <si>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</si>
  <si>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</si>
  <si>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</si>
  <si>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</si>
  <si>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</si>
  <si>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</si>
  <si>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</si>
  <si>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</si>
  <si>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</si>
  <si>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</si>
  <si>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</si>
  <si>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</si>
  <si>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</si>
  <si>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</si>
  <si>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</si>
  <si>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</si>
  <si>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</si>
  <si>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</si>
  <si>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</si>
  <si>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</si>
  <si>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</si>
  <si>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</si>
  <si>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</si>
  <si>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</si>
  <si>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</si>
  <si>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</si>
  <si>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</si>
  <si>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</si>
  <si>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</si>
  <si>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</si>
  <si>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</si>
  <si>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</si>
  <si>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</si>
  <si>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</si>
  <si>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</si>
  <si>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</si>
  <si>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</si>
  <si>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</si>
  <si>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</si>
  <si>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</si>
  <si>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</si>
  <si>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</si>
  <si>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</si>
  <si>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</si>
  <si>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</si>
  <si>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</si>
  <si>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</si>
  <si>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</si>
  <si>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</si>
  <si>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</si>
  <si>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</si>
  <si>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</si>
  <si>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</si>
  <si>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</si>
  <si>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</si>
  <si>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</si>
  <si>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</si>
  <si>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</si>
  <si>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</si>
  <si>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</si>
  <si>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</si>
  <si>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</si>
  <si>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</si>
  <si>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</si>
  <si>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</si>
  <si>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</si>
  <si>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</si>
  <si>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</si>
  <si>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</si>
  <si>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</si>
  <si>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</si>
  <si>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</si>
  <si>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</si>
  <si>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</si>
  <si>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</si>
  <si>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</si>
  <si>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</si>
  <si>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</si>
  <si>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</si>
  <si>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</si>
  <si>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</si>
  <si>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</si>
  <si>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</si>
  <si>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</si>
  <si>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</si>
  <si>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</si>
  <si>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</si>
  <si>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</si>
  <si>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</si>
  <si>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</si>
  <si>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</si>
  <si>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</si>
  <si>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</si>
  <si>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</si>
  <si>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</si>
  <si>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</si>
  <si>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</si>
  <si>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</si>
  <si>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</si>
  <si>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</si>
  <si>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</si>
  <si>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</si>
  <si>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</si>
  <si>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</si>
  <si>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</si>
  <si>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</si>
  <si>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</si>
  <si>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</si>
  <si>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</si>
  <si>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</si>
  <si>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</si>
  <si>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</si>
  <si>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</si>
  <si>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</si>
  <si>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</si>
  <si>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</si>
  <si>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</si>
  <si>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</si>
  <si>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</si>
  <si>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</si>
  <si>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</si>
  <si>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</si>
  <si>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</si>
  <si>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</si>
  <si>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</si>
  <si>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</si>
  <si>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</si>
  <si>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</si>
  <si>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</si>
  <si>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</si>
  <si>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</si>
  <si>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</si>
  <si>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</si>
  <si>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</si>
  <si>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</si>
  <si>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</si>
  <si>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</si>
  <si>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</si>
  <si>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</si>
  <si>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</si>
  <si>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</si>
  <si>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</si>
  <si>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</si>
  <si>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</si>
  <si>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</si>
  <si>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</si>
  <si>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</si>
  <si>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</si>
  <si>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</si>
  <si>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</si>
  <si>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</si>
  <si>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</si>
  <si>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</si>
  <si>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</si>
  <si>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</si>
  <si>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</si>
  <si>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</si>
  <si>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</si>
  <si>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</si>
  <si>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</si>
  <si>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</si>
  <si>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</si>
  <si>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</si>
  <si>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</si>
  <si>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</si>
  <si>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</si>
  <si>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</si>
  <si>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</si>
  <si>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</si>
  <si>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</si>
  <si>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</si>
  <si>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</si>
  <si>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</si>
  <si>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</si>
  <si>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</si>
  <si>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</si>
  <si>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</si>
  <si>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</si>
  <si>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</si>
  <si>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</si>
  <si>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</si>
  <si>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</si>
  <si>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</si>
  <si>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</si>
  <si>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</si>
  <si>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</si>
  <si>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</si>
  <si>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</si>
  <si>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</si>
  <si>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</si>
  <si>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</si>
  <si>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</si>
  <si>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</si>
  <si>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</si>
  <si>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</si>
  <si>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</si>
  <si>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</si>
  <si>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</si>
  <si>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</si>
  <si>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</si>
  <si>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</si>
  <si>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</si>
  <si>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</si>
  <si>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</si>
  <si>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</si>
  <si>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</si>
  <si>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</si>
  <si>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</si>
  <si>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</si>
  <si>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</si>
  <si>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</si>
  <si>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</si>
  <si>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</si>
  <si>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</si>
  <si>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</si>
  <si>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</si>
  <si>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</si>
  <si>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</si>
  <si>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</si>
  <si>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</si>
  <si>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</si>
  <si>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</si>
  <si>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</si>
  <si>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</si>
  <si>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</si>
  <si>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</si>
  <si>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</si>
  <si>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</si>
  <si>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</si>
  <si>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</si>
  <si>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</si>
  <si>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</si>
  <si>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</si>
  <si>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</si>
  <si>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</si>
  <si>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</si>
  <si>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</si>
  <si>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</si>
  <si>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</si>
  <si>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</si>
  <si>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</si>
  <si>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</si>
  <si>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</si>
  <si>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</si>
  <si>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</si>
  <si>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</si>
  <si>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</si>
  <si>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</si>
  <si>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</si>
  <si>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</si>
  <si>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</si>
  <si>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</si>
  <si>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</si>
  <si>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</si>
  <si>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</si>
  <si>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</si>
  <si>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</si>
  <si>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</si>
  <si>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</si>
  <si>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</si>
  <si>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</si>
  <si>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</si>
  <si>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</si>
  <si>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</si>
  <si>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</si>
  <si>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</si>
  <si>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</si>
  <si>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</si>
  <si>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</si>
  <si>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</si>
  <si>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</si>
  <si>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</si>
  <si>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</si>
  <si>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</si>
  <si>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</si>
  <si>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</si>
  <si>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</si>
  <si>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</si>
  <si>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</si>
  <si>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</si>
  <si>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</si>
  <si>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</si>
  <si>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</si>
  <si>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</si>
  <si>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</si>
  <si>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</si>
  <si>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</si>
  <si>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</si>
  <si>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</si>
  <si>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</si>
  <si>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</si>
  <si>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</si>
  <si>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</si>
  <si>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</si>
  <si>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</si>
  <si>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</si>
  <si>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</si>
  <si>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</si>
  <si>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</si>
  <si>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</si>
  <si>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</si>
  <si>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</si>
  <si>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</si>
  <si>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</si>
  <si>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</si>
  <si>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</si>
  <si>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</si>
  <si>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</si>
  <si>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</si>
  <si>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</si>
  <si>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</si>
  <si>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</si>
  <si>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</si>
  <si>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</si>
  <si>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</si>
  <si>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</si>
  <si>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</si>
  <si>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</si>
  <si>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</si>
  <si>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</si>
  <si>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</si>
  <si>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</si>
  <si>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</si>
  <si>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</si>
  <si>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</si>
  <si>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</si>
  <si>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</si>
  <si>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</si>
  <si>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</si>
  <si>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</si>
  <si>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</si>
  <si>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</si>
  <si>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</si>
  <si>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</si>
  <si>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</si>
  <si>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</si>
  <si>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</si>
  <si>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</si>
  <si>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</si>
  <si>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</si>
  <si>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</si>
  <si>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</si>
  <si>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</si>
  <si>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</si>
  <si>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</si>
  <si>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</si>
  <si>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</si>
  <si>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</si>
  <si>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</si>
  <si>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</si>
  <si>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</si>
  <si>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</si>
  <si>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</si>
  <si>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</si>
  <si>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</si>
  <si>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</si>
  <si>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</si>
  <si>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</si>
  <si>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</si>
  <si>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</si>
  <si>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</si>
  <si>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</si>
  <si>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</si>
  <si>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</si>
  <si>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</si>
  <si>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</si>
  <si>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</si>
  <si>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</si>
  <si>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</si>
  <si>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</si>
  <si>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</si>
  <si>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</si>
  <si>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</si>
  <si>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</si>
  <si>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</si>
  <si>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</si>
  <si>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</si>
  <si>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</si>
  <si>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</si>
  <si>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</si>
  <si>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</si>
  <si>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</si>
  <si>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</si>
  <si>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</si>
  <si>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</si>
  <si>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</si>
  <si>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</si>
  <si>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</si>
  <si>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</si>
  <si>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</si>
  <si>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</si>
  <si>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</si>
  <si>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</si>
  <si>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</si>
  <si>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</si>
  <si>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</si>
  <si>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</si>
  <si>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</si>
  <si>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</si>
  <si>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</si>
  <si>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</si>
  <si>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</si>
  <si>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</si>
  <si>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t>北京市</t>
  </si>
  <si>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</si>
  <si>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</si>
  <si>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</si>
  <si>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</si>
  <si>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62.69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</si>
  <si>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00137</t>
    </r>
    <r>
      <rPr>
        <sz val="12"/>
        <color theme="9" tint="-0.249977111117893"/>
        <rFont val="宋体"/>
        <family val="3"/>
        <charset val="134"/>
      </rPr>
      <t>号</t>
    </r>
    <r>
      <rPr>
        <sz val="12"/>
        <color theme="9" tint="-0.249977111117893"/>
        <rFont val="Arial"/>
        <family val="2"/>
      </rPr>
      <t>]</t>
    </r>
    <phoneticPr fontId="6" type="noConversion"/>
  </si>
  <si>
    <t>居住项目</t>
  </si>
  <si>
    <t>在建</t>
  </si>
  <si>
    <t>通路</t>
  </si>
  <si>
    <t>通电</t>
  </si>
  <si>
    <t>通讯</t>
  </si>
  <si>
    <t>通上水</t>
  </si>
  <si>
    <t>通下水</t>
  </si>
  <si>
    <t>通热</t>
  </si>
  <si>
    <t>燃气</t>
  </si>
  <si>
    <t>是</t>
  </si>
  <si>
    <t>地上</t>
  </si>
  <si>
    <t>B-2#楼</t>
  </si>
  <si>
    <t>B-3#楼</t>
  </si>
  <si>
    <t>B-4#楼</t>
  </si>
  <si>
    <t>B-6#楼</t>
  </si>
  <si>
    <t>住宅</t>
    <phoneticPr fontId="7" type="noConversion"/>
  </si>
  <si>
    <t>居住用地（指二类居住用地）</t>
  </si>
  <si>
    <t>不临58条商业街</t>
  </si>
  <si>
    <t>有</t>
  </si>
  <si>
    <t>无</t>
  </si>
  <si>
    <t>500-1000米</t>
  </si>
  <si>
    <t>七通一平</t>
  </si>
  <si>
    <t>一致</t>
  </si>
  <si>
    <t>按公示增长率计算</t>
  </si>
  <si>
    <t>容积率修正</t>
  </si>
  <si>
    <t>未包含在土地购买价格中</t>
  </si>
  <si>
    <t>全部缴纳</t>
  </si>
  <si>
    <t>已包含在土地取得成本中</t>
  </si>
  <si>
    <t>项目局部</t>
  </si>
  <si>
    <t>成本法</t>
  </si>
  <si>
    <t>假设开发法</t>
  </si>
  <si>
    <t>已全部缴纳</t>
  </si>
  <si>
    <t>成本比率</t>
  </si>
  <si>
    <t>情况3</t>
  </si>
  <si>
    <t>买卖合同</t>
  </si>
  <si>
    <t>仅含出让金</t>
  </si>
  <si>
    <t>宗地容积率</t>
  </si>
  <si>
    <t>楼层修正</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</si>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</sst>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271;&#33457;&#2225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住宅"/>
      <sheetName val="基准地价修正商业"/>
      <sheetName val="假设开发法"/>
      <sheetName val="比较法-商业"/>
      <sheetName val="成本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272.81</v>
          </cell>
        </row>
      </sheetData>
      <sheetData sheetId="12"/>
      <sheetData sheetId="13">
        <row r="19">
          <cell r="F19">
            <v>977.85</v>
          </cell>
        </row>
      </sheetData>
      <sheetData sheetId="14"/>
      <sheetData sheetId="15"/>
      <sheetData sheetId="16"/>
      <sheetData sheetId="17">
        <row r="19">
          <cell r="G19">
            <v>2671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京朝国用（2011出）第00137号]，估价对象（分摊）出让国有建设用地使用权面积为19833.08平方米，建筑面积为71089.5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居住项目，该项目尚在开发建设中。根据《国有土地使用证》[京朝国用（2011出）第00137号]，估价对象（分摊）出让国有建设用地使用权面积为19833.08平方米，规划建筑面积为71089.5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2018年7月31日（评估专业人员实地查勘之日）</v>
      </c>
    </row>
    <row r="13" spans="1:2" s="1595" customFormat="1">
      <c r="A13" s="1593" t="s">
        <v>1227</v>
      </c>
      <c r="B13" s="1594" t="str">
        <f>'预评函-1'!A18</f>
        <v>本次估价的“房地产价值”是指在正常市场情况下，在价值时点2018年7月31日，估价对象规划用途为住宅，土地取得方式为出让，出让国有建设用地使用权剩余土地使用年限为住宅62.69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通路、通电、通讯、通上水、通下水、通热、燃气）、红线内场地平整条件下，剩余土地使用年限为住宅62.69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84455</v>
      </c>
    </row>
    <row r="21" spans="1:2" s="1595" customFormat="1">
      <c r="A21" s="1593" t="s">
        <v>1235</v>
      </c>
      <c r="B21" s="1594">
        <f ca="1">'预评函-2'!D7</f>
        <v>11880</v>
      </c>
    </row>
    <row r="22" spans="1:2" s="1595" customFormat="1">
      <c r="A22" s="1593" t="s">
        <v>1236</v>
      </c>
      <c r="B22" s="1594" t="str">
        <f ca="1">'预评函-2'!D6</f>
        <v>捌亿肆仟肆佰伍拾伍万元整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84455</v>
      </c>
    </row>
    <row r="31" spans="1:2" s="1595" customFormat="1">
      <c r="A31" s="1593" t="s">
        <v>1274</v>
      </c>
      <c r="B31" s="1594">
        <f ca="1">'预评函-2'!D15</f>
        <v>11880</v>
      </c>
    </row>
    <row r="32" spans="1:2" s="1595" customFormat="1">
      <c r="A32" s="1593" t="s">
        <v>1241</v>
      </c>
      <c r="B32" s="1594" t="str">
        <f ca="1">'预评函-2'!D14</f>
        <v>捌亿肆仟肆佰伍拾伍万元整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71089.5</v>
      </c>
    </row>
    <row r="44" spans="1:2" s="1595" customFormat="1">
      <c r="A44" s="1593" t="s">
        <v>1273</v>
      </c>
      <c r="B44" s="1594" t="str">
        <f>'预评函-3'!C2</f>
        <v>(分摊)土地面积</v>
      </c>
    </row>
    <row r="45" spans="1:2" s="1595" customFormat="1">
      <c r="A45" s="1593" t="s">
        <v>1245</v>
      </c>
      <c r="B45" s="1594">
        <f>'预评函-3'!C4</f>
        <v>19833.080000000002</v>
      </c>
    </row>
    <row r="46" spans="1:2" s="1595" customFormat="1">
      <c r="A46" s="1593" t="s">
        <v>1271</v>
      </c>
      <c r="B46" s="1594" t="str">
        <f>'预评函-3'!D2</f>
        <v>出让国有建设用地使用权价值</v>
      </c>
    </row>
    <row r="47" spans="1:2" s="1595" customFormat="1">
      <c r="A47" s="1593" t="s">
        <v>1246</v>
      </c>
      <c r="B47" s="1594">
        <f ca="1">'预评函-3'!D4</f>
        <v>74320</v>
      </c>
    </row>
    <row r="48" spans="1:2" s="1595" customFormat="1">
      <c r="A48" s="1593" t="s">
        <v>1247</v>
      </c>
      <c r="B48" s="1594">
        <f ca="1">'预评函-3'!E4</f>
        <v>10454</v>
      </c>
    </row>
    <row r="49" spans="1:2" s="1595" customFormat="1">
      <c r="A49" s="1593" t="s">
        <v>1248</v>
      </c>
      <c r="B49" s="1594" t="str">
        <f ca="1">'预评函-3'!D5</f>
        <v>柒亿肆仟叁佰贰拾万元整</v>
      </c>
    </row>
    <row r="50" spans="1:2" s="1595" customFormat="1">
      <c r="A50" s="1593" t="s">
        <v>1272</v>
      </c>
      <c r="B50" s="1594" t="str">
        <f>'预评函-3'!F2</f>
        <v>在建建筑物价值</v>
      </c>
    </row>
    <row r="51" spans="1:2" s="1595" customFormat="1">
      <c r="A51" s="1593" t="s">
        <v>1249</v>
      </c>
      <c r="B51" s="1594">
        <f ca="1">'预评函-3'!F4</f>
        <v>10135</v>
      </c>
    </row>
    <row r="52" spans="1:2" s="1595" customFormat="1">
      <c r="A52" s="1593" t="s">
        <v>1250</v>
      </c>
      <c r="B52" s="1594">
        <f ca="1">'预评函-3'!G4</f>
        <v>1426</v>
      </c>
    </row>
    <row r="53" spans="1:2" s="1595" customFormat="1">
      <c r="A53" s="1593" t="s">
        <v>1278</v>
      </c>
      <c r="B53" s="1594" t="str">
        <f ca="1">'预评函-3'!F5</f>
        <v>壹亿零壹佰叁拾伍万元整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4" zoomScale="90" zoomScaleNormal="100" zoomScaleSheetLayoutView="90" workbookViewId="0">
      <selection activeCell="G40" sqref="G4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13" t="str">
        <f>IF(B10="北京市","北京市",C10)&amp;F10&amp;IF(结果表住宅!G1="在建","出让国有建设用地使用权及在建建筑物",IF(结果表住宅!G1="土地","出让国有建设用地使用权",))&amp;B9&amp;"预评估"</f>
        <v>北京市出让国有建设用地使用权及在建建筑物房地产抵押价值预评估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IF(B10="北京市","北京市",C10)&amp;F10&amp;IF(结果表住宅!G1="在建","出让国有建设用地使用权及在建建筑物房地产抵押价值",IF(结果表住宅!G1="土地","出让国有建设用地使用权抵押价值",B9))</f>
        <v>北京市出让国有建设用地使用权及在建建筑物房地产抵押价值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IF(B10="北京市","北京市",C10)&amp;F10&amp;IF(结果表住宅!G1="在建","出让国有建设用地使用权及在建建筑物房地产",IF(结果表住宅!G1="土地","出让国有建设用地使用权","房地产"))</f>
        <v>北京市出让国有建设用地使用权及在建建筑物房地产</v>
      </c>
    </row>
    <row r="3" spans="1:19" ht="18" customHeight="1">
      <c r="A3" s="2037" t="s">
        <v>1778</v>
      </c>
      <c r="B3" s="2038">
        <v>43312</v>
      </c>
      <c r="C3" s="2039" t="s">
        <v>1779</v>
      </c>
      <c r="D3" s="2038">
        <v>43312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39">
        <f ca="1">SUMIF(注册房地产估价师,B4,估价师及机构信息!B3:B24)</f>
        <v>1120050019</v>
      </c>
      <c r="D4" s="2041" t="s">
        <v>3048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3049</v>
      </c>
      <c r="C8" s="2058"/>
      <c r="D8" s="3016" t="s">
        <v>1785</v>
      </c>
      <c r="E8" s="2059" t="s">
        <v>3050</v>
      </c>
      <c r="F8" s="2060"/>
      <c r="G8" s="2028"/>
      <c r="H8" s="2028"/>
      <c r="I8" s="2028"/>
      <c r="J8" s="2044"/>
      <c r="K8" s="2045"/>
      <c r="L8" s="2030"/>
      <c r="M8" s="2030"/>
      <c r="N8" s="2031"/>
      <c r="O8" s="2032"/>
      <c r="P8" s="2031"/>
      <c r="Q8" s="2031"/>
      <c r="R8" s="2031"/>
    </row>
    <row r="9" spans="1:19" ht="18" customHeight="1" thickBot="1">
      <c r="A9" s="2042" t="s">
        <v>1786</v>
      </c>
      <c r="B9" s="2061" t="s">
        <v>3050</v>
      </c>
      <c r="C9" s="2062"/>
      <c r="D9" s="3017"/>
      <c r="E9" s="2061"/>
      <c r="F9" s="2063"/>
      <c r="G9" s="2064"/>
      <c r="H9" s="2064"/>
      <c r="I9" s="2064"/>
      <c r="J9" s="2044"/>
      <c r="K9" s="2056"/>
      <c r="L9" s="2030"/>
      <c r="M9" s="2030"/>
      <c r="N9" s="2031"/>
      <c r="O9" s="2032"/>
      <c r="P9" s="2031"/>
      <c r="Q9" s="2031"/>
      <c r="R9" s="2031"/>
    </row>
    <row r="10" spans="1:19" ht="18" customHeight="1" thickTop="1">
      <c r="A10" s="2065" t="s">
        <v>1787</v>
      </c>
      <c r="B10" s="2066" t="s">
        <v>3051</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3052</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3053</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v>66194</v>
      </c>
      <c r="E13" s="2082">
        <v>55236</v>
      </c>
      <c r="F13" s="2082"/>
      <c r="G13" s="2082"/>
      <c r="H13" s="2082"/>
      <c r="I13" s="1049"/>
      <c r="J13" s="2044"/>
      <c r="K13" s="2056"/>
      <c r="L13" s="2030"/>
      <c r="M13" s="2030"/>
      <c r="N13" s="2031"/>
      <c r="O13" s="2032"/>
      <c r="P13" s="2031"/>
      <c r="Q13" s="2031"/>
      <c r="R13" s="2031"/>
    </row>
    <row r="14" spans="1:19" ht="18" customHeight="1">
      <c r="A14" s="2079"/>
      <c r="B14" s="2080"/>
      <c r="C14" s="2081" t="s">
        <v>1799</v>
      </c>
      <c r="D14" s="1052">
        <v>70</v>
      </c>
      <c r="E14" s="1052">
        <v>40</v>
      </c>
      <c r="F14" s="1052"/>
      <c r="G14" s="1052"/>
      <c r="H14" s="1052"/>
      <c r="I14" s="1052"/>
      <c r="J14" s="2044"/>
      <c r="K14" s="2083"/>
      <c r="L14" s="2030"/>
      <c r="M14" s="2030"/>
      <c r="N14" s="2031"/>
      <c r="O14" s="2032"/>
      <c r="P14" s="2031"/>
      <c r="Q14" s="2031"/>
      <c r="R14" s="2031"/>
    </row>
    <row r="15" spans="1:19" ht="18" customHeight="1">
      <c r="A15" s="2065"/>
      <c r="B15" s="2084"/>
      <c r="C15" s="2081" t="s">
        <v>1800</v>
      </c>
      <c r="D15" s="1051">
        <f>IF(B12="出让",IF(D13="","",ROUNDDOWN(MIN((D13-$D$3)/365,D14),2)),D14)</f>
        <v>62.69</v>
      </c>
      <c r="E15" s="1051">
        <f>IF(B12="出让",IF(E13="","",ROUNDDOWN(MIN((E13-$D$3)/365,E14),2)),E14)</f>
        <v>32.659999999999997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23" t="s">
        <v>3055</v>
      </c>
      <c r="C16" s="3024"/>
      <c r="D16" s="3025"/>
      <c r="E16" s="2088" t="s">
        <v>1802</v>
      </c>
      <c r="F16" s="3026" t="s">
        <v>3056</v>
      </c>
      <c r="G16" s="3027"/>
      <c r="H16" s="3027"/>
      <c r="I16" s="3028"/>
      <c r="J16" s="2031"/>
      <c r="K16" s="2085"/>
      <c r="L16" s="2086"/>
      <c r="M16" s="2086"/>
      <c r="N16" s="2087"/>
      <c r="O16" s="2086"/>
      <c r="P16" s="2087"/>
      <c r="Q16" s="2031"/>
      <c r="R16" s="2031"/>
    </row>
    <row r="17" spans="1:22" ht="18" customHeight="1">
      <c r="A17" s="2089" t="s">
        <v>1803</v>
      </c>
      <c r="B17" s="2037" t="s">
        <v>1804</v>
      </c>
      <c r="C17" s="1056">
        <f>'数据-汇总表'!E3</f>
        <v>71089.5</v>
      </c>
      <c r="D17" s="2090" t="s">
        <v>1805</v>
      </c>
      <c r="E17" s="3029" t="s">
        <v>1806</v>
      </c>
      <c r="F17" s="3030"/>
      <c r="G17" s="3030"/>
      <c r="H17" s="3030"/>
      <c r="I17" s="3031"/>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19833.080000000002</v>
      </c>
      <c r="D18" s="2093" t="s">
        <v>1805</v>
      </c>
      <c r="E18" s="3032" t="s">
        <v>3057</v>
      </c>
      <c r="F18" s="3033"/>
      <c r="G18" s="3033"/>
      <c r="H18" s="3033"/>
      <c r="I18" s="3034"/>
      <c r="J18" s="2031"/>
      <c r="K18" s="2091"/>
      <c r="L18" s="2086"/>
      <c r="M18" s="2086"/>
      <c r="N18" s="2087"/>
      <c r="O18" s="2086"/>
      <c r="P18" s="2087"/>
      <c r="Q18" s="2031"/>
      <c r="R18" s="2031"/>
      <c r="S18" s="2031"/>
      <c r="T18" s="2031"/>
      <c r="U18" s="2031"/>
      <c r="V18" s="2031"/>
    </row>
    <row r="19" spans="1:22" ht="37.5" customHeight="1" thickTop="1" thickBot="1">
      <c r="A19" s="372" t="s">
        <v>1809</v>
      </c>
      <c r="B19" s="351" t="s">
        <v>1810</v>
      </c>
      <c r="C19" s="2094"/>
      <c r="D19" s="2095" t="s">
        <v>1811</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1812</v>
      </c>
      <c r="B20" s="3019" t="s">
        <v>1813</v>
      </c>
      <c r="C20" s="3020"/>
      <c r="D20" s="3021" t="s">
        <v>1814</v>
      </c>
      <c r="E20" s="3022"/>
      <c r="F20" s="2100" t="s">
        <v>1815</v>
      </c>
      <c r="G20" s="2044"/>
      <c r="H20" s="2044"/>
      <c r="I20" s="2044"/>
      <c r="J20" s="2044"/>
      <c r="K20" s="3018"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1817</v>
      </c>
      <c r="C21" s="2102" t="s">
        <v>1818</v>
      </c>
      <c r="D21" s="2103" t="s">
        <v>1819</v>
      </c>
      <c r="E21" s="2104" t="s">
        <v>1818</v>
      </c>
      <c r="F21" s="2105"/>
      <c r="G21" s="2044"/>
      <c r="H21" s="2044"/>
      <c r="I21" s="2044"/>
      <c r="J21" s="2044"/>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1820</v>
      </c>
      <c r="C22" s="2102" t="s">
        <v>1821</v>
      </c>
      <c r="D22" s="2028"/>
      <c r="E22" s="2028"/>
      <c r="F22" s="2107"/>
      <c r="G22" s="2044"/>
      <c r="H22" s="2044"/>
      <c r="I22" s="2044"/>
      <c r="J22" s="2044"/>
      <c r="K22" s="3018"/>
      <c r="L22" s="74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1822</v>
      </c>
      <c r="B23" s="183" t="s">
        <v>1823</v>
      </c>
      <c r="C23" s="2109"/>
      <c r="D23" s="2110" t="s">
        <v>1823</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3" t="s">
        <v>1824</v>
      </c>
      <c r="C24" s="2114"/>
      <c r="D24" s="2108" t="s">
        <v>1824</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3" t="s">
        <v>1825</v>
      </c>
      <c r="C25" s="2114"/>
      <c r="D25" s="2108" t="s">
        <v>1825</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1826</v>
      </c>
      <c r="C26" s="2118"/>
      <c r="D26" s="2119" t="s">
        <v>1827</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06" t="s">
        <v>1828</v>
      </c>
      <c r="B27" s="2065" t="s">
        <v>1829</v>
      </c>
      <c r="C27" s="2122" t="s">
        <v>3058</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06"/>
      <c r="B28" s="2037" t="s">
        <v>1830</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06"/>
      <c r="B29" s="2037" t="s">
        <v>1831</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07"/>
      <c r="B30" s="2037" t="s">
        <v>1832</v>
      </c>
      <c r="C30" s="3008"/>
      <c r="D30" s="300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10" t="s">
        <v>1833</v>
      </c>
      <c r="B31" s="2129" t="s">
        <v>3059</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1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1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1834</v>
      </c>
      <c r="B34" s="2136" t="s">
        <v>3060</v>
      </c>
      <c r="C34" s="2136" t="s">
        <v>3061</v>
      </c>
      <c r="D34" s="2136" t="s">
        <v>3062</v>
      </c>
      <c r="E34" s="2136" t="s">
        <v>3063</v>
      </c>
      <c r="F34" s="2136" t="s">
        <v>3064</v>
      </c>
      <c r="G34" s="2136" t="s">
        <v>3065</v>
      </c>
      <c r="H34" s="2136" t="s">
        <v>3066</v>
      </c>
      <c r="I34" s="2044"/>
      <c r="J34" s="2044"/>
      <c r="K34" s="1797">
        <f>COUNTIF(B34:H34,"——")</f>
        <v>0</v>
      </c>
      <c r="L34" s="2077" t="s">
        <v>1835</v>
      </c>
      <c r="M34" s="2077" t="s">
        <v>1836</v>
      </c>
      <c r="N34" s="2077" t="s">
        <v>1837</v>
      </c>
      <c r="O34" s="2077" t="s">
        <v>1838</v>
      </c>
      <c r="P34" s="2077" t="s">
        <v>1839</v>
      </c>
      <c r="Q34" s="2077" t="s">
        <v>1840</v>
      </c>
      <c r="R34" s="2077" t="s">
        <v>1841</v>
      </c>
      <c r="S34" s="3005" t="s">
        <v>1842</v>
      </c>
      <c r="T34" s="2137" t="str">
        <f>NUMBERSTRING(7-K34,1)&amp;"通"</f>
        <v>七通</v>
      </c>
      <c r="U34" s="2031"/>
      <c r="V34" s="2031"/>
    </row>
    <row r="35" spans="1:22" ht="18" customHeight="1">
      <c r="A35" s="2138"/>
      <c r="B35" s="3012" t="s">
        <v>1843</v>
      </c>
      <c r="C35" s="3012"/>
      <c r="D35" s="3012"/>
      <c r="E35" s="3012"/>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5"/>
      <c r="T35" s="48" t="str">
        <f>IF(T34="一通",L35,IF(T34="二通",M35,IF(T34="三通",N35,IF(T34="四通",O35,IF(T34="五通",P35,IF(T34="六通",Q35,R35))))))</f>
        <v>通路、通电、通讯、通上水、通下水、通热、燃气</v>
      </c>
      <c r="U35" s="2031"/>
      <c r="V35" s="2031"/>
    </row>
    <row r="36" spans="1:22" ht="18" customHeight="1">
      <c r="A36" s="2140"/>
      <c r="B36" s="2139" t="s">
        <v>1844</v>
      </c>
      <c r="C36" s="2139" t="s">
        <v>1845</v>
      </c>
      <c r="D36" s="2139" t="s">
        <v>1846</v>
      </c>
      <c r="E36" s="2139" t="s">
        <v>1847</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1848</v>
      </c>
      <c r="B37" s="2143" t="s">
        <v>56</v>
      </c>
      <c r="C37" s="2143"/>
      <c r="D37" s="2143" t="s">
        <v>56</v>
      </c>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1849</v>
      </c>
      <c r="B38" s="2145" t="s">
        <v>386</v>
      </c>
      <c r="C38" s="2145"/>
      <c r="D38" s="2145" t="s">
        <v>386</v>
      </c>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1851</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1852</v>
      </c>
      <c r="B42" s="1797" t="s">
        <v>1853</v>
      </c>
      <c r="C42" s="1797" t="s">
        <v>1854</v>
      </c>
      <c r="D42" s="1797" t="s">
        <v>1855</v>
      </c>
      <c r="E42" s="1797" t="s">
        <v>1856</v>
      </c>
      <c r="F42" s="1797" t="s">
        <v>1857</v>
      </c>
      <c r="G42" s="1797" t="s">
        <v>1858</v>
      </c>
      <c r="H42" s="1797" t="s">
        <v>1859</v>
      </c>
      <c r="I42" s="1797" t="s">
        <v>1860</v>
      </c>
      <c r="J42" s="2155" t="s">
        <v>1861</v>
      </c>
      <c r="K42" s="2078" t="s">
        <v>1862</v>
      </c>
      <c r="L42" s="2078" t="s">
        <v>1863</v>
      </c>
      <c r="M42" s="2078" t="s">
        <v>1864</v>
      </c>
      <c r="N42" s="1797" t="s">
        <v>1865</v>
      </c>
      <c r="O42" s="1797" t="s">
        <v>1866</v>
      </c>
      <c r="P42" s="1797" t="s">
        <v>1867</v>
      </c>
      <c r="Q42" s="2077" t="s">
        <v>1868</v>
      </c>
      <c r="R42" s="2077" t="s">
        <v>1869</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ROUND(I5/162213.5*45255.53,2)</f>
        <v>19833.080000000002</v>
      </c>
      <c r="B3" s="14">
        <f>IF(C3="否",G5-AT5,G5)</f>
        <v>71089.5</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5"/>
      <c r="C5" s="1805"/>
      <c r="D5" s="1808"/>
      <c r="E5" s="16" t="s">
        <v>1</v>
      </c>
      <c r="F5" s="16">
        <f>SUM(F13:F587)</f>
        <v>0</v>
      </c>
      <c r="G5" s="16">
        <f>SUM(G13:G587)</f>
        <v>71089.5</v>
      </c>
      <c r="H5" s="16">
        <f t="shared" ref="H5:AT5" si="0">SUM(H13:H656)</f>
        <v>71089.5</v>
      </c>
      <c r="I5" s="16">
        <f t="shared" si="0"/>
        <v>71089.5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71089.5</v>
      </c>
      <c r="BA5" s="18">
        <f t="shared" si="1"/>
        <v>71089.5</v>
      </c>
      <c r="BB5" s="18">
        <f t="shared" si="1"/>
        <v>71089.5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19833.080000000002</v>
      </c>
      <c r="F6" s="16" t="s">
        <v>1</v>
      </c>
      <c r="G6" s="16" t="s">
        <v>2</v>
      </c>
      <c r="H6" s="20">
        <f>SUMIF(I$12:AB$12,"总值",I6:AB6)</f>
        <v>19833.080000000002</v>
      </c>
      <c r="I6" s="16">
        <f t="shared" ref="I6:AB6" si="2">ROUND($A$3*I5/$B$3,2)</f>
        <v>19833.080000000002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19833.080000000002</v>
      </c>
      <c r="AZ6" s="16" t="s">
        <v>3</v>
      </c>
      <c r="BA6" s="16">
        <f>ROUND($AY$6*BA5/$AZ$5,2)</f>
        <v>19833.080000000002</v>
      </c>
      <c r="BB6" s="16">
        <f>ROUND($AY$6*BB5/$AZ$5,2)</f>
        <v>19833.080000000002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1888</v>
      </c>
      <c r="AV7" s="23" t="s">
        <v>1889</v>
      </c>
      <c r="AW7" s="2169" t="s">
        <v>1890</v>
      </c>
      <c r="AX7" s="23" t="s">
        <v>1883</v>
      </c>
      <c r="AY7" s="1805"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0"/>
      <c r="K8" s="1820"/>
      <c r="L8" s="1820"/>
      <c r="M8" s="1820"/>
      <c r="N8" s="1820"/>
      <c r="O8" s="1820"/>
      <c r="P8" s="1820"/>
      <c r="Q8" s="1820"/>
      <c r="R8" s="1820"/>
      <c r="S8" s="1820"/>
      <c r="T8" s="1820"/>
      <c r="U8" s="1820"/>
      <c r="V8" s="2189"/>
      <c r="W8" s="1820"/>
      <c r="X8" s="1820"/>
      <c r="Y8" s="1820"/>
      <c r="Z8" s="1820"/>
      <c r="AA8" s="2189"/>
      <c r="AB8" s="2190"/>
      <c r="AC8" s="983" t="s">
        <v>1894</v>
      </c>
      <c r="AD8" s="2191"/>
      <c r="AE8" s="2183"/>
      <c r="AF8" s="1820"/>
      <c r="AG8" s="1820"/>
      <c r="AH8" s="1820"/>
      <c r="AI8" s="1820"/>
      <c r="AJ8" s="1820"/>
      <c r="AK8" s="1820"/>
      <c r="AL8" s="1820"/>
      <c r="AM8" s="1820"/>
      <c r="AN8" s="1820"/>
      <c r="AO8" s="1820"/>
      <c r="AP8" s="1820"/>
      <c r="AQ8" s="1820"/>
      <c r="AR8" s="1820"/>
      <c r="AS8" s="1820"/>
      <c r="AT8" s="1294" t="s">
        <v>1895</v>
      </c>
      <c r="AU8" s="2185" t="s">
        <v>1896</v>
      </c>
      <c r="AV8" s="1294"/>
      <c r="AW8" s="2168"/>
      <c r="AX8" s="1294"/>
      <c r="AY8" s="2169"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1899</v>
      </c>
      <c r="I9" s="2194" t="s">
        <v>3068</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0"/>
      <c r="BN9" s="2188"/>
      <c r="BO9" s="1820"/>
      <c r="BP9" s="1820"/>
      <c r="BQ9" s="1820"/>
      <c r="BR9" s="1820"/>
      <c r="BS9" s="1820"/>
      <c r="BT9" s="26"/>
    </row>
    <row r="10" spans="1:72" s="2192" customFormat="1" ht="12.75">
      <c r="A10" s="2185"/>
      <c r="B10" s="2185"/>
      <c r="C10" s="2185"/>
      <c r="D10" s="2185"/>
      <c r="E10" s="2185"/>
      <c r="F10" s="2185"/>
      <c r="G10" s="1294"/>
      <c r="H10" s="28"/>
      <c r="I10" s="2194" t="s">
        <v>3054</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地上</v>
      </c>
      <c r="BD10" s="29">
        <f>M9</f>
        <v>0</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1"/>
      <c r="AF11" s="2207" t="s">
        <v>1909</v>
      </c>
      <c r="AG11" s="1821"/>
      <c r="AH11" s="2207" t="s">
        <v>1910</v>
      </c>
      <c r="AI11" s="2208"/>
      <c r="AJ11" s="2207" t="s">
        <v>1910</v>
      </c>
      <c r="AK11" s="1821"/>
      <c r="AL11" s="1819"/>
      <c r="AM11" s="1821"/>
      <c r="AN11" s="1819"/>
      <c r="AO11" s="1821"/>
      <c r="AP11" s="1819"/>
      <c r="AQ11" s="1821"/>
      <c r="AR11" s="1819"/>
      <c r="AS11" s="1821"/>
      <c r="AT11" s="2168"/>
      <c r="AU11" s="2185"/>
      <c r="AV11" s="1294"/>
      <c r="AW11" s="2168"/>
      <c r="AX11" s="1294"/>
      <c r="AY11" s="28"/>
      <c r="AZ11" s="28"/>
      <c r="BA11" s="28"/>
      <c r="BB11" s="2190" t="str">
        <f>I10</f>
        <v>住宅</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12"/>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48" t="s">
        <v>3069</v>
      </c>
      <c r="D13" s="2216" t="s">
        <v>3067</v>
      </c>
      <c r="E13" s="16">
        <f>IF($C$3="是",ROUND($A$3*G13/$B$3,2),ROUND($A$3*(G13-AT13)/$B$3,2))</f>
        <v>4813.2</v>
      </c>
      <c r="F13" s="32"/>
      <c r="G13" s="33">
        <f>H13+AC13+AT13</f>
        <v>17252.40000000002</v>
      </c>
      <c r="H13" s="20">
        <f>SUMIF(I$12:AB$12,"总值",I13:AB13)</f>
        <v>17252.40000000002</v>
      </c>
      <c r="I13" s="2217">
        <v>17252.40000000002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B-2#楼</v>
      </c>
      <c r="AY13" s="1808">
        <f>ROUND($AY$6*AZ13/$AZ$5,2)</f>
        <v>4813.2</v>
      </c>
      <c r="AZ13" s="16">
        <f>BA13+BL13</f>
        <v>17252.40000000002</v>
      </c>
      <c r="BA13" s="16">
        <f>SUM(BB13:BK13)</f>
        <v>17252.40000000002</v>
      </c>
      <c r="BB13" s="16">
        <f>IF($D13="是",I13-J13,0)</f>
        <v>17252.40000000002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
        <v>3070</v>
      </c>
      <c r="D14" s="2216" t="s">
        <v>3067</v>
      </c>
      <c r="E14" s="16">
        <f>IF($C$3="是",ROUND($A$3*G14/$B$3,2),ROUND($A$3*(G14-AT14)/$B$3,2))</f>
        <v>4924.7</v>
      </c>
      <c r="F14" s="32"/>
      <c r="G14" s="33">
        <f>H14+AC14+AT14</f>
        <v>17652.040000000015</v>
      </c>
      <c r="H14" s="20">
        <f>SUMIF(I$12:AB$12,"总值",I14:AB14)</f>
        <v>17652.040000000015</v>
      </c>
      <c r="I14" s="2217">
        <v>17652.040000000015</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B-3#楼</v>
      </c>
      <c r="AY14" s="1808">
        <f>ROUND($AY$6*AZ14/$AZ$5,2)</f>
        <v>4924.7</v>
      </c>
      <c r="AZ14" s="16">
        <f>BA14+BL14</f>
        <v>17652.040000000015</v>
      </c>
      <c r="BA14" s="16">
        <f>SUM(BB14:BK14)</f>
        <v>17652.040000000015</v>
      </c>
      <c r="BB14" s="16">
        <f>IF($D14="是",I14-J14,0)</f>
        <v>17652.040000000015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
        <v>3071</v>
      </c>
      <c r="D15" s="2216" t="s">
        <v>3067</v>
      </c>
      <c r="E15" s="16">
        <f>IF($C$3="是",ROUND($A$3*G15/$B$3,2),ROUND($A$3*(G15-AT15)/$B$3,2))</f>
        <v>2889.53</v>
      </c>
      <c r="F15" s="32"/>
      <c r="G15" s="33">
        <f>H15+AC15+AT15</f>
        <v>10357.220000000005</v>
      </c>
      <c r="H15" s="20">
        <f>SUMIF(I$12:AB$12,"总值",I15:AB15)</f>
        <v>10357.220000000005</v>
      </c>
      <c r="I15" s="2217">
        <v>10357.220000000005</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B-4#楼</v>
      </c>
      <c r="AY15" s="1808">
        <f>ROUND($AY$6*AZ15/$AZ$5,2)</f>
        <v>2889.53</v>
      </c>
      <c r="AZ15" s="16">
        <f>BA15+BL15</f>
        <v>10357.220000000005</v>
      </c>
      <c r="BA15" s="16">
        <f>SUM(BB15:BK15)</f>
        <v>10357.220000000005</v>
      </c>
      <c r="BB15" s="16">
        <f>IF($D15="是",I15-J15,0)</f>
        <v>10357.220000000005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
        <v>3072</v>
      </c>
      <c r="D16" s="2216" t="s">
        <v>3067</v>
      </c>
      <c r="E16" s="16">
        <f>IF($C$3="是",ROUND($A$3*G16/$B$3,2),ROUND($A$3*(G16-AT16)/$B$3,2))</f>
        <v>7205.64</v>
      </c>
      <c r="F16" s="32"/>
      <c r="G16" s="33">
        <f>H16+AC16+AT16</f>
        <v>25827.839999999975</v>
      </c>
      <c r="H16" s="20">
        <f>SUMIF(I$12:AB$12,"总值",I16:AB16)</f>
        <v>25827.839999999975</v>
      </c>
      <c r="I16" s="2217">
        <v>25827.839999999975</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B-6#楼</v>
      </c>
      <c r="AY16" s="1808">
        <f>ROUND($AY$6*AZ16/$AZ$5,2)</f>
        <v>7205.64</v>
      </c>
      <c r="AZ16" s="16">
        <f>BA16+BL16</f>
        <v>25827.839999999975</v>
      </c>
      <c r="BA16" s="16">
        <f>SUM(BB16:BK16)</f>
        <v>25827.839999999975</v>
      </c>
      <c r="BB16" s="16">
        <f>IF($D16="是",I16-J16,0)</f>
        <v>25827.839999999975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960"/>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4"/>
      <c r="C1" s="1394"/>
      <c r="D1" s="1394"/>
      <c r="E1" s="1394"/>
      <c r="F1" s="1394"/>
      <c r="G1" s="1394"/>
      <c r="H1" s="1394"/>
      <c r="I1" s="1394"/>
      <c r="J1" s="1394"/>
      <c r="K1" s="1394"/>
      <c r="L1" s="1394"/>
      <c r="M1" s="1394"/>
      <c r="N1" s="1394"/>
      <c r="O1" s="1394"/>
      <c r="P1" s="1394"/>
    </row>
    <row r="2" spans="1:16" ht="15">
      <c r="A2" s="3046" t="s">
        <v>1939</v>
      </c>
      <c r="B2" s="3046"/>
      <c r="C2" s="3046"/>
      <c r="D2" s="969" t="s">
        <v>1915</v>
      </c>
      <c r="E2" s="2230" t="s">
        <v>1916</v>
      </c>
      <c r="F2" s="1394"/>
      <c r="G2" s="2231"/>
      <c r="H2" s="2232"/>
      <c r="I2" s="2233" t="s">
        <v>1940</v>
      </c>
      <c r="J2" s="1394"/>
      <c r="K2" s="1394"/>
      <c r="L2" s="1394"/>
      <c r="M2" s="1394"/>
      <c r="N2" s="1429"/>
      <c r="O2" s="1394"/>
      <c r="P2" s="1394"/>
    </row>
    <row r="3" spans="1:16" ht="15.75" thickBot="1">
      <c r="A3" s="3047" t="s">
        <v>1913</v>
      </c>
      <c r="B3" s="3047"/>
      <c r="C3" s="3047"/>
      <c r="D3" s="46">
        <f>'数据-基础表'!AY6</f>
        <v>19833.080000000002</v>
      </c>
      <c r="E3" s="46">
        <f>'数据-基础表'!AZ5</f>
        <v>71089.5</v>
      </c>
      <c r="F3" s="1394"/>
      <c r="G3" s="1401"/>
      <c r="H3" s="1249" t="s">
        <v>1914</v>
      </c>
      <c r="I3" s="55">
        <f>ROUND('数据-基础表'!B3/'数据-基础表'!A3,2)</f>
        <v>3.58</v>
      </c>
      <c r="J3" s="1394"/>
      <c r="K3" s="1394"/>
      <c r="L3" s="1394"/>
      <c r="M3" s="1394"/>
      <c r="N3" s="1429"/>
      <c r="O3" s="1394"/>
      <c r="P3" s="1394"/>
    </row>
    <row r="4" spans="1:16" ht="15">
      <c r="A4" s="3048"/>
      <c r="B4" s="3049"/>
      <c r="C4" s="3050"/>
      <c r="D4" s="2234" t="s">
        <v>1915</v>
      </c>
      <c r="E4" s="2235" t="s">
        <v>1916</v>
      </c>
      <c r="F4" s="1394"/>
      <c r="G4" s="2236" t="s">
        <v>1941</v>
      </c>
      <c r="H4" s="1249" t="s">
        <v>1921</v>
      </c>
      <c r="I4" s="55">
        <f>ROUND(SUMIF('数据-基础表'!I9:AS9,"地上",'数据-基础表'!I5:AS5)/'数据-基础表'!A3,2)</f>
        <v>3.58</v>
      </c>
      <c r="J4" s="1394"/>
      <c r="K4" s="1394"/>
      <c r="L4" s="1394"/>
      <c r="M4" s="1394"/>
      <c r="N4" s="1429"/>
      <c r="O4" s="1394"/>
      <c r="P4" s="1394"/>
    </row>
    <row r="5" spans="1:16">
      <c r="A5" s="47" t="s">
        <v>1917</v>
      </c>
      <c r="B5" s="3051" t="s">
        <v>1918</v>
      </c>
      <c r="C5" s="3051"/>
      <c r="D5" s="48">
        <f>ROUND($D$3*E5/$E$3,2)</f>
        <v>19833.080000000002</v>
      </c>
      <c r="E5" s="49">
        <f>SUMIF('数据-基础表'!$11:$11,"住宅",'数据-基础表'!$5:$5)</f>
        <v>71089.5</v>
      </c>
      <c r="F5" s="1394"/>
      <c r="G5" s="1401"/>
      <c r="H5" s="1249" t="s">
        <v>1914</v>
      </c>
      <c r="I5" s="55">
        <f>ROUND(E31/D31,2)</f>
        <v>3.58</v>
      </c>
      <c r="J5" s="1394"/>
      <c r="K5" s="1394"/>
      <c r="L5" s="1394"/>
      <c r="M5" s="1394"/>
      <c r="N5" s="1394"/>
      <c r="O5" s="1394"/>
      <c r="P5" s="1394"/>
    </row>
    <row r="6" spans="1:16" ht="15" thickBot="1">
      <c r="A6" s="2237"/>
      <c r="B6" s="3051" t="s">
        <v>1919</v>
      </c>
      <c r="C6" s="3051"/>
      <c r="D6" s="48">
        <f>ROUND($D$3*E6/$E$3,2)</f>
        <v>0</v>
      </c>
      <c r="E6" s="49">
        <f>E3-E5</f>
        <v>0</v>
      </c>
      <c r="F6" s="1394"/>
      <c r="G6" s="2238" t="s">
        <v>1920</v>
      </c>
      <c r="H6" s="1401" t="s">
        <v>1921</v>
      </c>
      <c r="I6" s="941">
        <f>ROUND(F31/D31,2)</f>
        <v>3.58</v>
      </c>
      <c r="J6" s="1394"/>
      <c r="K6" s="1394"/>
      <c r="L6" s="1394"/>
      <c r="M6" s="1394"/>
      <c r="N6" s="1394"/>
      <c r="O6" s="1394"/>
      <c r="P6" s="1394"/>
    </row>
    <row r="7" spans="1:16" ht="15">
      <c r="A7" s="3043"/>
      <c r="B7" s="3044"/>
      <c r="C7" s="3045"/>
      <c r="D7" s="2234" t="s">
        <v>1915</v>
      </c>
      <c r="E7" s="2239" t="s">
        <v>1922</v>
      </c>
      <c r="F7" s="1394"/>
      <c r="G7" s="2231" t="s">
        <v>1923</v>
      </c>
      <c r="H7" s="64"/>
      <c r="I7" s="419">
        <v>4.09</v>
      </c>
      <c r="J7" s="1394"/>
      <c r="K7" s="1394"/>
      <c r="L7" s="1394"/>
      <c r="M7" s="1394"/>
      <c r="N7" s="1394"/>
      <c r="O7" s="1394"/>
      <c r="P7" s="1394"/>
    </row>
    <row r="8" spans="1:16">
      <c r="A8" s="47" t="s">
        <v>1924</v>
      </c>
      <c r="B8" s="50" t="s">
        <v>1925</v>
      </c>
      <c r="C8" s="48" t="s">
        <v>1926</v>
      </c>
      <c r="D8" s="48">
        <f t="shared" ref="D8:D15" si="0">ROUND($D$3*E8/$E$3,2)</f>
        <v>19833.080000000002</v>
      </c>
      <c r="E8" s="51">
        <f>SUMIF('数据-基础表'!BB10:BK10,"地上",'数据-基础表'!BB5:BK5)</f>
        <v>71089.5</v>
      </c>
      <c r="F8" s="1394"/>
      <c r="G8" s="2240"/>
      <c r="H8" s="2240"/>
      <c r="I8" s="1394"/>
      <c r="J8" s="1394"/>
      <c r="K8" s="1394"/>
      <c r="L8" s="1394"/>
      <c r="M8" s="1394"/>
      <c r="N8" s="1394"/>
      <c r="O8" s="1394"/>
      <c r="P8" s="1394"/>
    </row>
    <row r="9" spans="1:16">
      <c r="A9" s="2241"/>
      <c r="B9" s="2242"/>
      <c r="C9" s="48" t="s">
        <v>1927</v>
      </c>
      <c r="D9" s="48">
        <f t="shared" si="0"/>
        <v>0</v>
      </c>
      <c r="E9" s="52">
        <v>0</v>
      </c>
      <c r="F9" s="1394"/>
      <c r="G9" s="2240"/>
      <c r="H9" s="2240"/>
      <c r="I9" s="1394"/>
      <c r="J9" s="1394"/>
      <c r="K9" s="1394"/>
      <c r="L9" s="1394"/>
      <c r="M9" s="1394"/>
      <c r="N9" s="1394"/>
      <c r="O9" s="1394"/>
      <c r="P9" s="1394"/>
    </row>
    <row r="10" spans="1:16">
      <c r="A10" s="2241"/>
      <c r="B10" s="2242"/>
      <c r="C10" s="48" t="s">
        <v>1936</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1928</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1929</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1930</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1942</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1937</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1931</v>
      </c>
      <c r="D16" s="50">
        <f>SUM(D8:D15)</f>
        <v>19833.080000000002</v>
      </c>
      <c r="E16" s="53">
        <f>SUM(E8:E15)</f>
        <v>71089.5</v>
      </c>
      <c r="F16" s="1394"/>
      <c r="G16" s="2240"/>
      <c r="H16" s="2243" t="s">
        <v>1943</v>
      </c>
      <c r="I16" s="2244"/>
      <c r="J16" s="1394"/>
      <c r="K16" s="3040" t="s">
        <v>1943</v>
      </c>
      <c r="L16" s="3041"/>
      <c r="M16" s="3041"/>
      <c r="N16" s="3041"/>
      <c r="O16" s="3041"/>
      <c r="P16" s="3042"/>
    </row>
    <row r="17" spans="1:19" ht="15">
      <c r="A17" s="2245" t="s">
        <v>1944</v>
      </c>
      <c r="B17" s="2246" t="s">
        <v>1945</v>
      </c>
      <c r="C17" s="2247" t="s">
        <v>1946</v>
      </c>
      <c r="D17" s="2248" t="s">
        <v>1934</v>
      </c>
      <c r="E17" s="2249" t="s">
        <v>1935</v>
      </c>
      <c r="F17" s="2250"/>
      <c r="G17" s="2251"/>
      <c r="H17" s="2252" t="s">
        <v>1947</v>
      </c>
      <c r="I17" s="2253" t="s">
        <v>1932</v>
      </c>
      <c r="J17" s="1394"/>
      <c r="K17" s="3037" t="s">
        <v>1948</v>
      </c>
      <c r="L17" s="3038"/>
      <c r="M17" s="3039"/>
      <c r="N17" s="3037" t="s">
        <v>1949</v>
      </c>
      <c r="O17" s="3038"/>
      <c r="P17" s="3039"/>
      <c r="R17" s="2231" t="s">
        <v>1950</v>
      </c>
      <c r="S17" s="64"/>
    </row>
    <row r="18" spans="1:19" ht="15">
      <c r="A18" s="2241"/>
      <c r="B18" s="2254"/>
      <c r="C18" s="2255"/>
      <c r="D18" s="2256"/>
      <c r="E18" s="2257" t="s">
        <v>1951</v>
      </c>
      <c r="F18" s="2258" t="s">
        <v>1952</v>
      </c>
      <c r="G18" s="2259" t="s">
        <v>1953</v>
      </c>
      <c r="H18" s="1264" t="s">
        <v>1954</v>
      </c>
      <c r="I18" s="2260" t="s">
        <v>1955</v>
      </c>
      <c r="J18" s="1394"/>
      <c r="K18" s="1264" t="s">
        <v>1956</v>
      </c>
      <c r="L18" s="2261" t="s">
        <v>1957</v>
      </c>
      <c r="M18" s="1048" t="s">
        <v>1958</v>
      </c>
      <c r="N18" s="1264" t="s">
        <v>1956</v>
      </c>
      <c r="O18" s="2261" t="s">
        <v>1957</v>
      </c>
      <c r="P18" s="1048" t="s">
        <v>1958</v>
      </c>
      <c r="R18" s="1249" t="s">
        <v>1959</v>
      </c>
      <c r="S18" s="1249" t="s">
        <v>1960</v>
      </c>
    </row>
    <row r="19" spans="1:19">
      <c r="A19" s="2262"/>
      <c r="B19" s="50" t="s">
        <v>1933</v>
      </c>
      <c r="C19" s="2949" t="s">
        <v>3073</v>
      </c>
      <c r="D19" s="48">
        <f>ROUND($D$3*E19/$E$3,2)</f>
        <v>19833.080000000002</v>
      </c>
      <c r="E19" s="56">
        <f t="shared" ref="E19:E26" si="1">SUM(F19:G19)</f>
        <v>71089.5</v>
      </c>
      <c r="F19" s="57">
        <f>'数据-基础表'!I5</f>
        <v>71089.5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19833.080000000002</v>
      </c>
      <c r="S19" s="1250">
        <f t="shared" si="5"/>
        <v>71089.5</v>
      </c>
    </row>
    <row r="20" spans="1:19">
      <c r="A20" s="2266"/>
      <c r="B20" s="50" t="s">
        <v>1961</v>
      </c>
      <c r="C20" s="294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1961</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1962</v>
      </c>
      <c r="D27" s="1395">
        <f>SUM(D19:D26)</f>
        <v>19833.080000000002</v>
      </c>
      <c r="E27" s="1396">
        <f>IF(SUM(E19:E26)='数据-基础表'!BA5,SUM(E19:E26),IF(F27="地上面积有误","面积有误","地下面积有误"))</f>
        <v>71089.5</v>
      </c>
      <c r="F27" s="1395">
        <f>IF(SUM(F19:F26)=E8,SUM(F19:F26),"地上面积有误")</f>
        <v>71089.5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19833.080000000002</v>
      </c>
      <c r="S27" s="1249">
        <f>IF(SUM(S19:S26)=$E$3,SUM(S19:S26),SUM(S19:S26)&amp;"误差"&amp;ROUND(SUM(S19:S26)-E3,2))</f>
        <v>71089.5</v>
      </c>
    </row>
    <row r="28" spans="1:19">
      <c r="A28" s="2266"/>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1963</v>
      </c>
      <c r="C29" s="2270"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1966</v>
      </c>
      <c r="D31" s="728">
        <f>D27+D30</f>
        <v>19833.080000000002</v>
      </c>
      <c r="E31" s="728">
        <f>E27+E30</f>
        <v>71089.5</v>
      </c>
      <c r="F31" s="729">
        <f>F27+F30</f>
        <v>71089.5</v>
      </c>
      <c r="G31" s="730">
        <f>G27+G30</f>
        <v>0</v>
      </c>
      <c r="H31" s="1394"/>
      <c r="I31" s="1394"/>
      <c r="J31" s="1394"/>
      <c r="K31" s="1394"/>
      <c r="L31" s="1394"/>
      <c r="M31" s="1394"/>
      <c r="N31" s="1394"/>
      <c r="O31" s="1394"/>
      <c r="P31" s="1394"/>
    </row>
    <row r="32" spans="1:19">
      <c r="A32" s="2236"/>
      <c r="B32" s="2236" t="s">
        <v>1967</v>
      </c>
      <c r="C32" s="2236"/>
      <c r="D32" s="2236"/>
      <c r="E32" s="1276">
        <f>SUMIF(C19:C26,"*住宅*",E19:E26)</f>
        <v>71089.5</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1"/>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1969</v>
      </c>
      <c r="B2" s="1268">
        <f>项目基本情况!D3</f>
        <v>43312</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7" t="s">
        <v>1974</v>
      </c>
      <c r="AA4" s="2247"/>
      <c r="AB4" s="2247"/>
      <c r="AC4" s="2247"/>
      <c r="AD4" s="2247"/>
      <c r="AE4" s="2245" t="s">
        <v>1975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1976</v>
      </c>
      <c r="B5" s="2293" t="s">
        <v>1977</v>
      </c>
      <c r="C5" s="2294" t="s">
        <v>1978</v>
      </c>
      <c r="D5" s="2295" t="s">
        <v>1979</v>
      </c>
      <c r="E5" s="1270" t="s">
        <v>1980</v>
      </c>
      <c r="F5" s="2296" t="s">
        <v>1981</v>
      </c>
      <c r="G5" s="1270" t="s">
        <v>1982</v>
      </c>
      <c r="H5" s="1270" t="s">
        <v>1983</v>
      </c>
      <c r="I5" s="1270"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3054</v>
      </c>
      <c r="D6" s="1053">
        <f>SUMIF(项目基本情况!D$12:I$12,C6,项目基本情况!D$14:I$14)</f>
        <v>70</v>
      </c>
      <c r="E6" s="1050">
        <f>IF(B6="","",SUMIF(项目基本情况!D$12:I$12,C6,项目基本情况!D$13:I$13))</f>
        <v>66194</v>
      </c>
      <c r="F6" s="72">
        <f>SUMIF(项目基本情况!D$12:I$12,C6,项目基本情况!D$15:I$15)</f>
        <v>62.69</v>
      </c>
      <c r="G6" s="73">
        <f>IF(ISERROR(ROUND(POWER(1+H6,D6-F6)*(POWER(1+H6,F6)-1)/(POWER(1+H6,D6)-1),3)),0,ROUND(POWER(1+H6,D6-F6)*(POWER(1+H6,F6)-1)/(POWER(1+H6,D6)-1),3))</f>
        <v>0.98199999999999998</v>
      </c>
      <c r="H6" s="801">
        <v>4.4999999999999998E-2</v>
      </c>
      <c r="I6" s="801">
        <v>0.05</v>
      </c>
      <c r="J6" s="74">
        <v>8.5000000000000006E-2</v>
      </c>
      <c r="K6" s="1253">
        <f>SUMIF('数据-汇总表'!C$19:C$33,A6,'数据-汇总表'!E$19:E$33)</f>
        <v>71089.5</v>
      </c>
      <c r="L6" s="802">
        <v>2500</v>
      </c>
      <c r="M6" s="75">
        <f t="shared" ref="M6:M14" si="0">ROUND(K6*L6/10000,0)</f>
        <v>17772</v>
      </c>
      <c r="N6" s="800">
        <v>0.95</v>
      </c>
      <c r="O6" s="75">
        <f>IF($N$5="成新度","——",ROUND(M6*N6,0))</f>
        <v>16883</v>
      </c>
      <c r="P6" s="76">
        <f>IF($N$5="成新度","——",M6-O6)</f>
        <v>889</v>
      </c>
      <c r="Q6" s="803">
        <v>0.03</v>
      </c>
      <c r="R6" s="77">
        <f ca="1">SUMIF('数据-汇总表'!C$19:C$33,A6,'数据-汇总表'!R$19:R$27)</f>
        <v>19833.080000000002</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7">
        <f>IF(AF6="",0,AE6-AF6)</f>
        <v>0</v>
      </c>
      <c r="AH6" s="83"/>
      <c r="AI6" s="85">
        <v>365</v>
      </c>
      <c r="AJ6" s="86"/>
      <c r="AK6" s="87">
        <v>1.4999999999999999E-2</v>
      </c>
      <c r="AL6" s="88">
        <v>1.5E-3</v>
      </c>
      <c r="AM6" s="89">
        <v>0.01</v>
      </c>
      <c r="AN6" s="2312"/>
      <c r="AO6" s="55" t="e">
        <f ca="1">SUMIF(INDIRECT("'"&amp;AN6&amp;"'"&amp;"!A:A"),"总价",INDIRECT("'"&amp;AN6&amp;"'"&amp;"!B:B"))</f>
        <v>#REF!</v>
      </c>
      <c r="AP6" s="2313">
        <f>IF(C6="住宅",K6*L6,0)</f>
        <v>177723750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0.98199999999999998</v>
      </c>
      <c r="H16" s="99">
        <f>ROUND(SUMPRODUCT(H6:H13,K6:K13)/SUMPRODUCT((H6:H13&gt;0)*(K6:K13)),3)</f>
        <v>4.4999999999999998E-2</v>
      </c>
      <c r="I16" s="100"/>
      <c r="J16" s="100"/>
      <c r="K16" s="101">
        <f>SUM(K6:K15)</f>
        <v>71089.5</v>
      </c>
      <c r="L16" s="102">
        <f>ROUND(M16*10000/SUM(K6:K14),0)</f>
        <v>2500</v>
      </c>
      <c r="M16" s="102">
        <f>SUM(M6:M14)</f>
        <v>17772</v>
      </c>
      <c r="N16" s="103">
        <f>ROUND(SUMPRODUCT(M6:M14,N6:N14)/M16,3)</f>
        <v>0.95</v>
      </c>
      <c r="O16" s="102">
        <f>SUM(O6:O14)</f>
        <v>16883</v>
      </c>
      <c r="P16" s="102">
        <f>SUM(P6:P14)</f>
        <v>889</v>
      </c>
      <c r="Q16" s="104">
        <f>ROUND(SUMPRODUCT(Q6:Q13,K6:K13)/SUMPRODUCT((Q6:Q13&gt;0)*(K6:K13)),2)</f>
        <v>0.03</v>
      </c>
      <c r="R16" s="1257">
        <f ca="1">SUM(R6:R13)</f>
        <v>19833.080000000002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1.9</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1.9</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0.10000000000000009</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160</v>
      </c>
      <c r="C27" s="1766" t="s">
        <v>2032</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f ca="1">成本法!C9</f>
        <v>1137</v>
      </c>
      <c r="C29" s="1766" t="s">
        <v>2035</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723">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v>0.03</v>
      </c>
      <c r="C34" s="1765" t="s">
        <v>2042</v>
      </c>
      <c r="D34" s="2281" t="s">
        <v>2043</v>
      </c>
      <c r="E34" s="731"/>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0.02</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1">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1.5</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56</v>
      </c>
      <c r="C53" s="1429"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v>1.5</v>
      </c>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2" t="s">
        <v>2085</v>
      </c>
      <c r="B1" s="3053"/>
      <c r="C1" s="3053"/>
      <c r="D1" s="3053"/>
      <c r="E1" s="3053"/>
      <c r="F1" s="3053"/>
      <c r="G1" s="305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4" t="s">
        <v>2088</v>
      </c>
      <c r="B3" s="1270" t="s">
        <v>2089</v>
      </c>
      <c r="C3" s="2373" t="s">
        <v>2090</v>
      </c>
      <c r="D3" s="2374"/>
      <c r="E3" s="430" t="s">
        <v>2088</v>
      </c>
      <c r="F3" s="2375" t="s">
        <v>2091</v>
      </c>
      <c r="G3" s="2376" t="s">
        <v>2092</v>
      </c>
      <c r="H3" s="2371"/>
      <c r="I3" s="2371"/>
      <c r="J3" s="2371"/>
      <c r="K3" s="2371"/>
      <c r="L3" s="2371"/>
      <c r="M3" s="2371"/>
      <c r="N3" s="2371"/>
      <c r="O3" s="2371"/>
      <c r="P3" s="2371"/>
      <c r="Q3" s="2371"/>
      <c r="R3" s="2371"/>
    </row>
    <row r="4" spans="1:29" ht="41.25">
      <c r="A4" s="430"/>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0"/>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0"/>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0"/>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0"/>
      <c r="B8" s="1797" t="s">
        <v>2102</v>
      </c>
      <c r="C8" s="2379" t="s">
        <v>2103</v>
      </c>
      <c r="D8" s="2380"/>
      <c r="E8" s="2380"/>
      <c r="F8" s="1135"/>
      <c r="G8" s="1135"/>
      <c r="H8" s="2371"/>
      <c r="I8" s="2371"/>
      <c r="J8" s="2371"/>
      <c r="K8" s="2371"/>
      <c r="L8" s="2371"/>
      <c r="M8" s="2371"/>
      <c r="N8" s="2371"/>
      <c r="O8" s="2371"/>
      <c r="P8" s="2371"/>
      <c r="Q8" s="2371"/>
      <c r="R8" s="2371"/>
    </row>
    <row r="9" spans="1:29" ht="27">
      <c r="A9" s="430"/>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5" t="str">
        <f>G3</f>
        <v>估价对象位于XX开发区，园区建设成熟度XX，产业集聚程度XX</v>
      </c>
    </row>
    <row r="16" spans="1:29" ht="42.75">
      <c r="A16" s="644"/>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4"/>
      <c r="B17" s="2408" t="s">
        <v>2097</v>
      </c>
      <c r="C17" s="2409" t="str">
        <f>C5</f>
        <v>估价对象位于XX商圈，周边办公楼项目较多，入驻率高，办公集聚程度较好</v>
      </c>
      <c r="D17" s="2380"/>
      <c r="E17" s="2410"/>
      <c r="F17" s="2411" t="s">
        <v>2115</v>
      </c>
      <c r="G17" s="1571"/>
    </row>
    <row r="18" spans="1:18" ht="57">
      <c r="A18" s="644"/>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4"/>
      <c r="B19" s="2411" t="s">
        <v>2116</v>
      </c>
      <c r="C19" s="1571"/>
      <c r="D19" s="2374"/>
      <c r="E19" s="2410"/>
      <c r="F19" s="1797" t="s">
        <v>2099</v>
      </c>
      <c r="G19" s="136" t="str">
        <f>G5</f>
        <v>估价对象所在区域公共配套设施齐备情况</v>
      </c>
    </row>
    <row r="20" spans="1:18" ht="28.5">
      <c r="A20" s="644"/>
      <c r="B20" s="2411" t="s">
        <v>2117</v>
      </c>
      <c r="C20" s="2409" t="str">
        <f>C9</f>
        <v>区域自然环境：；人文环境；综合评价环境状况一般</v>
      </c>
      <c r="D20" s="2380"/>
      <c r="E20" s="2410"/>
      <c r="F20" s="1797" t="s">
        <v>2118</v>
      </c>
      <c r="G20" s="136" t="str">
        <f>G6</f>
        <v>估价对象所在区域基础设施水平</v>
      </c>
    </row>
    <row r="21" spans="1:18" ht="28.5">
      <c r="A21" s="644"/>
      <c r="B21" s="1797" t="s">
        <v>2099</v>
      </c>
      <c r="C21" s="136" t="str">
        <f>C7</f>
        <v>估价对象所在区域公共配套设施齐备情况</v>
      </c>
      <c r="D21" s="2374"/>
      <c r="E21" s="2410"/>
      <c r="F21" s="2411" t="s">
        <v>2119</v>
      </c>
      <c r="G21" s="2412"/>
    </row>
    <row r="22" spans="1:18" ht="13.5" customHeight="1">
      <c r="A22" s="644"/>
      <c r="B22" s="1797" t="s">
        <v>2102</v>
      </c>
      <c r="C22" s="136" t="str">
        <f>C8</f>
        <v>估价对象所在区域基础设施水平</v>
      </c>
      <c r="D22" s="2374"/>
      <c r="E22" s="2410"/>
      <c r="F22" s="2411" t="s">
        <v>2108</v>
      </c>
      <c r="G22" s="1571"/>
    </row>
    <row r="23" spans="1:18" s="2371" customFormat="1" ht="15.75" thickBot="1">
      <c r="A23" s="644"/>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5" sqref="E35"/>
    </sheetView>
  </sheetViews>
  <sheetFormatPr defaultRowHeight="13.5"/>
  <cols>
    <col min="1" max="1" width="23.375" style="1740" customWidth="1"/>
    <col min="2" max="9" width="15.75" style="1740" customWidth="1"/>
    <col min="10" max="16384" width="9" style="1740"/>
  </cols>
  <sheetData>
    <row r="1" spans="1:10" ht="16.5">
      <c r="A1" s="1745" t="s">
        <v>1365</v>
      </c>
      <c r="B1" s="1745">
        <f>SUM(B14:B23)</f>
        <v>72067.350000000006</v>
      </c>
      <c r="C1" s="1744"/>
      <c r="D1" s="1744"/>
      <c r="E1" s="1744"/>
      <c r="F1" s="1744"/>
      <c r="G1" s="1742"/>
    </row>
    <row r="2" spans="1:10" ht="16.5">
      <c r="A2" s="1745" t="s">
        <v>1353</v>
      </c>
      <c r="B2" s="1745">
        <f>SUM(C14:C23)</f>
        <v>20105.890000000003</v>
      </c>
      <c r="C2" s="1744"/>
      <c r="D2" s="1744"/>
      <c r="E2" s="1744"/>
      <c r="F2" s="1744"/>
      <c r="G2" s="1742"/>
    </row>
    <row r="3" spans="1:10" ht="16.5">
      <c r="A3" s="1745" t="s">
        <v>1362</v>
      </c>
      <c r="B3" s="1746">
        <f>项目基本情况!D3</f>
        <v>43312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87126</v>
      </c>
      <c r="C5" s="1745">
        <f ca="1">ROUND(B5*10000/$B$1,0)</f>
        <v>12090</v>
      </c>
      <c r="D5" s="1745">
        <f ca="1">ROUND(B5*10000/$B$2,0)</f>
        <v>43334</v>
      </c>
      <c r="E5" s="1744"/>
      <c r="F5" s="1742"/>
      <c r="G5" s="1742"/>
    </row>
    <row r="6" spans="1:10" ht="16.5">
      <c r="A6" s="1745" t="s">
        <v>1356</v>
      </c>
      <c r="B6" s="1745">
        <f ca="1">SUM(G14:G23)</f>
        <v>87126</v>
      </c>
      <c r="C6" s="1745">
        <f ca="1">ROUND(B6*10000/$B$1,0)</f>
        <v>12090</v>
      </c>
      <c r="D6" s="1745">
        <f ca="1">ROUND(B6*10000/$B$2,0)</f>
        <v>43334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结果表住宅!B118</f>
        <v>71089.5</v>
      </c>
      <c r="C14" s="1743">
        <f>结果表住宅!C118</f>
        <v>19833.080000000002</v>
      </c>
      <c r="D14" s="1743">
        <f ca="1">结果表住宅!H118</f>
        <v>84455</v>
      </c>
      <c r="E14" s="1743">
        <f ca="1">ROUND(D14*10000/B14,0)</f>
        <v>11880</v>
      </c>
      <c r="F14" s="1743">
        <f ca="1">ROUND(D14*10000/C14,0)</f>
        <v>42583</v>
      </c>
      <c r="G14" s="1743">
        <f ca="1">结果表住宅!D122</f>
        <v>84455</v>
      </c>
      <c r="H14" s="1743" t="str">
        <f>结果表住宅!D124</f>
        <v>——</v>
      </c>
      <c r="I14" s="1743" t="str">
        <f>结果表住宅!D126</f>
        <v>——</v>
      </c>
      <c r="J14" s="1742"/>
    </row>
    <row r="15" spans="1:10" ht="16.5">
      <c r="A15" s="1741" t="s">
        <v>1349</v>
      </c>
      <c r="B15" s="1748">
        <f>'[1]数据-汇总表'!$F$19</f>
        <v>977.85</v>
      </c>
      <c r="C15" s="1748">
        <f>'[1]数据-基础表'!$A$3</f>
        <v>272.81</v>
      </c>
      <c r="D15" s="1748">
        <f ca="1">[1]结果表!$G$19</f>
        <v>2671</v>
      </c>
      <c r="E15" s="1743">
        <f t="shared" ref="E15:E23" ca="1" si="0">ROUND(D15*10000/B15,0)</f>
        <v>27315</v>
      </c>
      <c r="F15" s="1743">
        <f t="shared" ref="F15:F23" ca="1" si="1">ROUND(D15*10000/C15,0)</f>
        <v>97907</v>
      </c>
      <c r="G15" s="1749">
        <f ca="1">D15</f>
        <v>2671</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C118" sqref="C118"/>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t="s">
        <v>3054</v>
      </c>
      <c r="D1" s="2422"/>
      <c r="E1" s="2422"/>
      <c r="F1" s="2424" t="s">
        <v>2123</v>
      </c>
      <c r="G1" s="2073" t="s">
        <v>2124</v>
      </c>
      <c r="H1" s="2425" t="str">
        <f>IF(G1="现房","——","估价对象范围")</f>
        <v>估价对象范围</v>
      </c>
      <c r="I1" s="2426" t="s">
        <v>3086</v>
      </c>
    </row>
    <row r="2" spans="1:12" ht="21.75" customHeight="1" thickBot="1">
      <c r="A2" s="3087" t="str">
        <f>项目基本情况!S2</f>
        <v>北京市出让国有建设用地使用权及在建建筑物房地产</v>
      </c>
      <c r="B2" s="3088"/>
      <c r="C2" s="3088"/>
      <c r="D2" s="3088"/>
      <c r="E2" s="3088"/>
      <c r="F2" s="3088"/>
      <c r="G2" s="3088"/>
      <c r="H2" s="3088"/>
      <c r="I2" s="3089"/>
    </row>
    <row r="3" spans="1:12" ht="12.75">
      <c r="A3" s="3091" t="s">
        <v>2125</v>
      </c>
      <c r="B3" s="3092"/>
      <c r="C3" s="3092"/>
      <c r="D3" s="3092"/>
      <c r="E3" s="3092"/>
      <c r="F3" s="3092"/>
      <c r="G3" s="3092"/>
      <c r="H3" s="3092"/>
      <c r="I3" s="3092"/>
    </row>
    <row r="4" spans="1:12" ht="14.25">
      <c r="A4" s="2429" t="s">
        <v>2126</v>
      </c>
      <c r="B4" s="2430" t="s">
        <v>2127</v>
      </c>
      <c r="C4" s="2431" t="s">
        <v>3087</v>
      </c>
      <c r="D4" s="2431" t="s">
        <v>3088</v>
      </c>
      <c r="E4" s="3084" t="s">
        <v>2128</v>
      </c>
      <c r="F4" s="3085"/>
      <c r="G4" s="3085"/>
      <c r="H4" s="3085"/>
      <c r="I4" s="3093"/>
      <c r="K4" s="2432" t="str">
        <f>IF(ISNUMBER(FIND("比较法",结果表住宅!C4)),"比较法",IF(ISNUMBER(FIND("成本法",结果表住宅!C4)),"成本法",IF(ISNUMBER(FIND("假设开发法",结果表住宅!C4)),"假设开发法",IF(ISNUMBER(FIND("收益法",结果表住宅!C4)),"收益法","基准地价系数修正法"))))</f>
        <v>成本法</v>
      </c>
      <c r="L4" s="2432" t="str">
        <f>IF(ISNUMBER(FIND("比较法",结果表住宅!D4)),"比较法",IF(ISNUMBER(FIND("成本法",结果表住宅!D4)),"成本法",IF(ISNUMBER(FIND("假设开发法",结果表住宅!D4)),"假设开发法",IF(ISNUMBER(FIND("收益法",结果表住宅!D4)),"收益法","基准地价系数修正法"))))</f>
        <v>假设开发法</v>
      </c>
    </row>
    <row r="5" spans="1:12" ht="12.75">
      <c r="A5" s="3067" t="s">
        <v>2129</v>
      </c>
      <c r="B5" s="3005">
        <v>25</v>
      </c>
      <c r="C5" s="3070"/>
      <c r="D5" s="3090"/>
      <c r="E5" s="140" t="s">
        <v>2130</v>
      </c>
      <c r="F5" s="2433"/>
      <c r="G5" s="2433"/>
      <c r="H5" s="2433"/>
      <c r="I5" s="1833"/>
    </row>
    <row r="6" spans="1:12" ht="12.75">
      <c r="A6" s="3067"/>
      <c r="B6" s="3005"/>
      <c r="C6" s="3071"/>
      <c r="D6" s="3090"/>
      <c r="E6" s="140" t="s">
        <v>2131</v>
      </c>
      <c r="F6" s="2433"/>
      <c r="G6" s="2433"/>
      <c r="H6" s="2433"/>
      <c r="I6" s="1833"/>
    </row>
    <row r="7" spans="1:12" ht="12.75">
      <c r="A7" s="3067"/>
      <c r="B7" s="3005"/>
      <c r="C7" s="3072"/>
      <c r="D7" s="3090"/>
      <c r="E7" s="140" t="s">
        <v>2132</v>
      </c>
      <c r="F7" s="2433"/>
      <c r="G7" s="2433"/>
      <c r="H7" s="2433"/>
      <c r="I7" s="1833"/>
    </row>
    <row r="8" spans="1:12" ht="12.75">
      <c r="A8" s="3067" t="s">
        <v>2133</v>
      </c>
      <c r="B8" s="3005">
        <v>15</v>
      </c>
      <c r="C8" s="3070"/>
      <c r="D8" s="3090"/>
      <c r="E8" s="140" t="s">
        <v>2134</v>
      </c>
      <c r="F8" s="2433"/>
      <c r="G8" s="2433"/>
      <c r="H8" s="2433"/>
      <c r="I8" s="1833"/>
    </row>
    <row r="9" spans="1:12" ht="12.75">
      <c r="A9" s="3067"/>
      <c r="B9" s="3005"/>
      <c r="C9" s="3072"/>
      <c r="D9" s="3090"/>
      <c r="E9" s="140" t="s">
        <v>2135</v>
      </c>
      <c r="F9" s="2433"/>
      <c r="G9" s="2433"/>
      <c r="H9" s="2433"/>
      <c r="I9" s="1833"/>
    </row>
    <row r="10" spans="1:12" ht="12.75">
      <c r="A10" s="3067" t="s">
        <v>2136</v>
      </c>
      <c r="B10" s="3005">
        <v>15</v>
      </c>
      <c r="C10" s="3070"/>
      <c r="D10" s="3090"/>
      <c r="E10" s="140" t="s">
        <v>2137</v>
      </c>
      <c r="F10" s="2433"/>
      <c r="G10" s="2433"/>
      <c r="H10" s="2433"/>
      <c r="I10" s="1833"/>
    </row>
    <row r="11" spans="1:12" ht="12.75">
      <c r="A11" s="3067"/>
      <c r="B11" s="3005"/>
      <c r="C11" s="3072"/>
      <c r="D11" s="3090"/>
      <c r="E11" s="140" t="s">
        <v>2138</v>
      </c>
      <c r="F11" s="2433"/>
      <c r="G11" s="2433"/>
      <c r="H11" s="2433"/>
      <c r="I11" s="1833"/>
    </row>
    <row r="12" spans="1:12" ht="12.75">
      <c r="A12" s="3067" t="s">
        <v>2139</v>
      </c>
      <c r="B12" s="3005">
        <v>15</v>
      </c>
      <c r="C12" s="3070"/>
      <c r="D12" s="3090"/>
      <c r="E12" s="140" t="s">
        <v>2140</v>
      </c>
      <c r="F12" s="2433"/>
      <c r="G12" s="2433"/>
      <c r="H12" s="2433"/>
      <c r="I12" s="1833"/>
    </row>
    <row r="13" spans="1:12" ht="12.75">
      <c r="A13" s="3067"/>
      <c r="B13" s="3005"/>
      <c r="C13" s="3072"/>
      <c r="D13" s="3090"/>
      <c r="E13" s="140" t="s">
        <v>2141</v>
      </c>
      <c r="F13" s="2433"/>
      <c r="G13" s="2433"/>
      <c r="H13" s="2433"/>
      <c r="I13" s="1833"/>
    </row>
    <row r="14" spans="1:12" ht="12.75">
      <c r="A14" s="3067" t="s">
        <v>2142</v>
      </c>
      <c r="B14" s="3005">
        <v>30</v>
      </c>
      <c r="C14" s="3070">
        <v>0</v>
      </c>
      <c r="D14" s="3090">
        <f>1-C14</f>
        <v>1</v>
      </c>
      <c r="E14" s="140" t="s">
        <v>2143</v>
      </c>
      <c r="F14" s="2433"/>
      <c r="G14" s="2433"/>
      <c r="H14" s="2433"/>
      <c r="I14" s="1833"/>
    </row>
    <row r="15" spans="1:12" ht="12.75">
      <c r="A15" s="3067"/>
      <c r="B15" s="3005"/>
      <c r="C15" s="3071"/>
      <c r="D15" s="3090"/>
      <c r="E15" s="140" t="s">
        <v>2144</v>
      </c>
      <c r="F15" s="2433"/>
      <c r="G15" s="2433"/>
      <c r="H15" s="2433"/>
      <c r="I15" s="1833"/>
    </row>
    <row r="16" spans="1:12" ht="12.75">
      <c r="A16" s="3067"/>
      <c r="B16" s="3005"/>
      <c r="C16" s="3072"/>
      <c r="D16" s="3090"/>
      <c r="E16" s="140" t="s">
        <v>2145</v>
      </c>
      <c r="F16" s="2433"/>
      <c r="G16" s="2433"/>
      <c r="H16" s="2433"/>
      <c r="I16" s="1833"/>
    </row>
    <row r="17" spans="1:35" ht="15">
      <c r="A17" s="2434" t="s">
        <v>2146</v>
      </c>
      <c r="B17" s="64"/>
      <c r="C17" s="141">
        <f>SUM(C5:C16)</f>
        <v>0</v>
      </c>
      <c r="D17" s="141">
        <f>SUM(D5:D16)</f>
        <v>1</v>
      </c>
      <c r="E17" s="138"/>
      <c r="F17" s="138"/>
      <c r="G17" s="138"/>
      <c r="H17" s="138"/>
      <c r="I17" s="138"/>
      <c r="K17" s="2432"/>
      <c r="L17" s="2435" t="s">
        <v>2147</v>
      </c>
      <c r="M17" s="2435" t="s">
        <v>2148</v>
      </c>
    </row>
    <row r="18" spans="1:35" ht="15.75" thickBot="1">
      <c r="A18" s="2436" t="s">
        <v>2149</v>
      </c>
      <c r="B18" s="2437"/>
      <c r="C18" s="142">
        <f>ROUND(C17/SUM(C17:D17),2)</f>
        <v>0</v>
      </c>
      <c r="D18" s="142">
        <f>1-C18</f>
        <v>1</v>
      </c>
      <c r="E18" s="138"/>
      <c r="F18" s="138"/>
      <c r="G18" s="138"/>
      <c r="H18" s="138"/>
      <c r="I18" s="138"/>
      <c r="K18" s="2432" t="s">
        <v>2150</v>
      </c>
      <c r="L18" s="2432">
        <f>IF(C1="",'数据-汇总表'!E3,SUMIF(项目类型,C1,'数据-汇总表'!E17:E26)+SUMIF(项目类型,C1,'数据-汇总表'!I17:I26))</f>
        <v>71089.5</v>
      </c>
      <c r="M18" s="2432">
        <f>IF(C1="",'数据-汇总表'!E3,SUMIF(项目类型,C1,'数据-汇总表'!E17:E26))</f>
        <v>71089.5</v>
      </c>
    </row>
    <row r="19" spans="1:35" ht="15">
      <c r="A19" s="2438" t="s">
        <v>2151</v>
      </c>
      <c r="B19" s="2439" t="s">
        <v>2152</v>
      </c>
      <c r="C19" s="143">
        <f ca="1">SUMIF(INDIRECT("'"&amp;C4&amp;"'"&amp;"!A:A"),结果表住宅!B19,INDIRECT("'"&amp;C4&amp;"'"&amp;"!B:B"))</f>
        <v>188693</v>
      </c>
      <c r="D19" s="144">
        <f ca="1">SUMIF(INDIRECT("'"&amp;D4&amp;"'"&amp;"!A:A"),结果表住宅!B19,INDIRECT("'"&amp;D4&amp;"'"&amp;"!B:B"))</f>
        <v>84455</v>
      </c>
      <c r="E19" s="2438" t="s">
        <v>2153</v>
      </c>
      <c r="F19" s="2439" t="s">
        <v>2152</v>
      </c>
      <c r="G19" s="145">
        <f ca="1">ROUND(C19*$C$18+D19*$D$18,0)</f>
        <v>84455</v>
      </c>
      <c r="H19" s="2440" t="s">
        <v>2154</v>
      </c>
      <c r="I19" s="138"/>
      <c r="K19" s="2432" t="s">
        <v>2155</v>
      </c>
      <c r="L19" s="2432">
        <f>IF(C1="",'数据-汇总表'!D3,SUMIF(项目类型,C1,'数据-汇总表'!D17:D26)+SUMIF(项目类型,C1,'数据-汇总表'!H17:H27))</f>
        <v>19833.080000000002</v>
      </c>
      <c r="M19" s="2432">
        <f>IF(C1="",'数据-汇总表'!D3,SUMIF(项目类型,C1,'数据-汇总表'!D17:D26))</f>
        <v>19833.080000000002</v>
      </c>
    </row>
    <row r="20" spans="1:35" ht="15">
      <c r="A20" s="2441"/>
      <c r="B20" s="1249" t="s">
        <v>2156</v>
      </c>
      <c r="C20" s="146">
        <f ca="1">SUMIF(INDIRECT("'"&amp;C4&amp;"'"&amp;"!A:A"),结果表住宅!B20,INDIRECT("'"&amp;C4&amp;"'"&amp;"!B:B"))</f>
        <v>26543</v>
      </c>
      <c r="D20" s="147">
        <f ca="1">SUMIF(INDIRECT("'"&amp;D4&amp;"'"&amp;"!A:A"),结果表住宅!B20,INDIRECT("'"&amp;D4&amp;"'"&amp;"!B:B"))</f>
        <v>11880</v>
      </c>
      <c r="E20" s="2441"/>
      <c r="F20" s="1249" t="s">
        <v>2156</v>
      </c>
      <c r="G20" s="148">
        <f ca="1">ROUND(C20*$C$18+D20*$D$18,0)</f>
        <v>11880</v>
      </c>
      <c r="H20" s="982" t="s">
        <v>2157</v>
      </c>
      <c r="I20" s="138"/>
    </row>
    <row r="21" spans="1:35" ht="15" customHeight="1" thickBot="1">
      <c r="A21" s="1002"/>
      <c r="B21" s="2442" t="s">
        <v>2158</v>
      </c>
      <c r="C21" s="788">
        <f ca="1">ROUND(C19*10000/L19,0)</f>
        <v>95141</v>
      </c>
      <c r="D21" s="789">
        <f ca="1">ROUND(D19*10000/L19,0)</f>
        <v>42583</v>
      </c>
      <c r="E21" s="1002"/>
      <c r="F21" s="2442" t="s">
        <v>2158</v>
      </c>
      <c r="G21" s="149">
        <f ca="1">ROUND(G19*10000/L19,0)</f>
        <v>42583</v>
      </c>
      <c r="H21" s="2443" t="s">
        <v>2157</v>
      </c>
      <c r="I21" s="138"/>
    </row>
    <row r="22" spans="1:35" ht="15" thickBot="1">
      <c r="A22" s="2284" t="s">
        <v>2159</v>
      </c>
      <c r="B22" s="2444"/>
      <c r="C22" s="2445"/>
      <c r="D22" s="790">
        <f ca="1">IF(C19&lt;D19,D19/C19-1,C19/D19-1)</f>
        <v>1.2342430880350483</v>
      </c>
      <c r="E22" s="138"/>
      <c r="F22" s="138"/>
      <c r="G22" s="138"/>
      <c r="H22" s="138"/>
      <c r="I22" s="138"/>
    </row>
    <row r="23" spans="1:35" ht="13.5" thickBot="1">
      <c r="A23" s="2422"/>
      <c r="B23" s="2422"/>
      <c r="C23" s="2422"/>
      <c r="D23" s="2422"/>
      <c r="E23" s="138"/>
      <c r="F23" s="138"/>
      <c r="G23" s="138"/>
      <c r="H23" s="138"/>
      <c r="I23" s="138"/>
    </row>
    <row r="24" spans="1:35" ht="14.25">
      <c r="A24" s="3061" t="s">
        <v>2160</v>
      </c>
      <c r="B24" s="2439" t="s">
        <v>2152</v>
      </c>
      <c r="C24" s="145">
        <f>IF(B30=0,0,D30)</f>
        <v>0</v>
      </c>
      <c r="D24" s="2446"/>
      <c r="E24" s="138"/>
      <c r="F24" s="138"/>
      <c r="G24" s="138"/>
      <c r="H24" s="138"/>
      <c r="I24" s="138"/>
    </row>
    <row r="25" spans="1:35" ht="14.25">
      <c r="A25" s="3062"/>
      <c r="B25" s="1249"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3036</v>
      </c>
      <c r="F30" s="138"/>
      <c r="G30" s="138"/>
      <c r="H30" s="138"/>
      <c r="I30" s="138"/>
    </row>
    <row r="31" spans="1:35" s="2450" customFormat="1" ht="15" thickBot="1">
      <c r="A31" s="2449"/>
      <c r="B31" s="2449"/>
      <c r="C31" s="2449"/>
      <c r="D31" s="2449"/>
      <c r="E31" s="138"/>
      <c r="F31" s="138"/>
      <c r="G31" s="138"/>
      <c r="H31" s="138"/>
      <c r="I31" s="138"/>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2166</v>
      </c>
      <c r="B32" s="2452"/>
      <c r="C32" s="153">
        <f ca="1">IF(D32="总价",G19-C24,G20-C25)</f>
        <v>84455</v>
      </c>
      <c r="D32" s="2453" t="s">
        <v>2167</v>
      </c>
      <c r="E32" s="138"/>
      <c r="F32" s="138"/>
      <c r="G32" s="138"/>
      <c r="H32" s="138"/>
      <c r="I32" s="138"/>
    </row>
    <row r="33" spans="1:15" ht="15">
      <c r="A33" s="959" t="s">
        <v>2168</v>
      </c>
      <c r="B33" s="2454"/>
      <c r="C33" s="2455" t="s">
        <v>3090</v>
      </c>
      <c r="D33" s="2456" t="s">
        <v>3087</v>
      </c>
      <c r="E33" s="2457" t="s">
        <v>2169</v>
      </c>
      <c r="F33" s="2458" t="str">
        <f>IF(D32="楼面单价","取值（单价）","取值（总价）")</f>
        <v>取值（总价）</v>
      </c>
      <c r="G33" s="138"/>
      <c r="H33" s="138"/>
      <c r="I33" s="138"/>
    </row>
    <row r="34" spans="1:15" ht="15">
      <c r="A34" s="2459"/>
      <c r="B34" s="2460" t="s">
        <v>2170</v>
      </c>
      <c r="C34" s="157">
        <f ca="1">IF(C33="自定义",F34,C32-C35)</f>
        <v>74320</v>
      </c>
      <c r="D34" s="1057">
        <f ca="1">IF(C33="自定义",ROUND(C34/C32,3),IF(C33="收益比率",SUMIF(INDIRECT("'"&amp;D33&amp;"'"&amp;"!b:b"),"土地收益比率",INDIRECT("'"&amp;D33&amp;"'"&amp;"!c:c")),SUMIF(INDIRECT("'"&amp;D33&amp;"'"&amp;"!b:b"),"土地成本比率",INDIRECT("'"&amp;D33&amp;"'"&amp;"!c:c"))))</f>
        <v>0.88</v>
      </c>
      <c r="E34" s="2461" t="s">
        <v>2171</v>
      </c>
      <c r="F34" s="1738"/>
      <c r="G34" s="138"/>
      <c r="H34" s="138"/>
      <c r="I34" s="138"/>
    </row>
    <row r="35" spans="1:15" ht="15.75" thickBot="1">
      <c r="A35" s="2462"/>
      <c r="B35" s="2463" t="s">
        <v>2172</v>
      </c>
      <c r="C35" s="1443">
        <f ca="1">IF(C33="自定义",F35,ROUND(C32*D35,0))</f>
        <v>10135</v>
      </c>
      <c r="D35" s="1444">
        <f ca="1">IF(C33="自定义",ROUND(C35/C32,3),IF(C33="收益比率",SUMIF(INDIRECT("'"&amp;D33&amp;"'"&amp;"!b:b"),"建筑物收益比率",INDIRECT("'"&amp;D33&amp;"'"&amp;"!c:c")),SUMIF(INDIRECT("'"&amp;D33&amp;"'"&amp;"!b:b"),"建筑物成本比率",INDIRECT("'"&amp;D33&amp;"'"&amp;"!c:c"))))</f>
        <v>0.12</v>
      </c>
      <c r="E35" s="2464" t="s">
        <v>2173</v>
      </c>
      <c r="F35" s="163"/>
      <c r="G35" s="138"/>
      <c r="H35" s="138"/>
      <c r="I35" s="138"/>
    </row>
    <row r="36" spans="1:15" ht="15.75" thickBot="1">
      <c r="A36" s="3079" t="s">
        <v>2174</v>
      </c>
      <c r="B36" s="2465" t="s">
        <v>2175</v>
      </c>
      <c r="C36" s="154"/>
      <c r="D36" s="2466"/>
      <c r="E36" s="2467"/>
      <c r="F36" s="2468"/>
      <c r="G36" s="138"/>
      <c r="H36" s="138"/>
      <c r="I36" s="138"/>
    </row>
    <row r="37" spans="1:15" ht="15.75" thickBot="1">
      <c r="A37" s="3080"/>
      <c r="B37" s="2270" t="s">
        <v>2176</v>
      </c>
      <c r="C37" s="156"/>
      <c r="D37" s="1394"/>
      <c r="E37" s="1394"/>
      <c r="F37" s="2468"/>
      <c r="G37" s="138"/>
      <c r="H37" s="138"/>
      <c r="I37" s="138"/>
    </row>
    <row r="38" spans="1:15" ht="15.75" thickBot="1">
      <c r="A38" s="3081"/>
      <c r="B38" s="2469" t="s">
        <v>2177</v>
      </c>
      <c r="C38" s="726"/>
      <c r="D38" s="2470" t="s">
        <v>2178</v>
      </c>
      <c r="E38" s="1394"/>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58" t="s">
        <v>2188</v>
      </c>
      <c r="B45" s="3059"/>
      <c r="C45" s="3060"/>
      <c r="D45" s="164">
        <f ca="1">ROUND(H101*F45,0)</f>
        <v>54051</v>
      </c>
      <c r="E45" s="165" t="s">
        <v>2189</v>
      </c>
      <c r="F45" s="166">
        <v>0.64</v>
      </c>
      <c r="G45" s="167" t="s">
        <v>2190</v>
      </c>
      <c r="H45" s="138"/>
      <c r="I45" s="138"/>
      <c r="J45" s="3118" t="s">
        <v>2191</v>
      </c>
      <c r="K45" s="3118"/>
      <c r="L45" s="3118"/>
      <c r="M45" s="3118"/>
      <c r="N45" s="3118"/>
      <c r="O45" s="3118"/>
    </row>
    <row r="46" spans="1:15" ht="14.25" customHeight="1">
      <c r="A46" s="3055" t="s">
        <v>2192</v>
      </c>
      <c r="B46" s="3056"/>
      <c r="C46" s="3056"/>
      <c r="D46" s="3056"/>
      <c r="E46" s="3056"/>
      <c r="F46" s="3056"/>
      <c r="G46" s="3057"/>
      <c r="H46" s="2484"/>
      <c r="I46" s="168"/>
      <c r="J46" s="1811">
        <v>1</v>
      </c>
      <c r="K46" s="3118" t="s">
        <v>2193</v>
      </c>
      <c r="L46" s="3118"/>
      <c r="M46" s="3138"/>
      <c r="N46" s="3138"/>
      <c r="O46" s="3138"/>
    </row>
    <row r="47" spans="1:15" ht="12" customHeight="1">
      <c r="A47" s="169" t="s">
        <v>2194</v>
      </c>
      <c r="B47" s="170"/>
      <c r="C47" s="171"/>
      <c r="D47" s="172" t="s">
        <v>2195</v>
      </c>
      <c r="E47" s="24" t="s">
        <v>2196</v>
      </c>
      <c r="F47" s="173" t="s">
        <v>2197</v>
      </c>
      <c r="G47" s="174" t="s">
        <v>2198</v>
      </c>
      <c r="H47" s="2484"/>
      <c r="I47" s="168"/>
      <c r="J47" s="1811">
        <v>2</v>
      </c>
      <c r="K47" s="3118" t="s">
        <v>2199</v>
      </c>
      <c r="L47" s="3118"/>
      <c r="M47" s="3139">
        <f>'数据-取费表'!B2</f>
        <v>43312</v>
      </c>
      <c r="N47" s="3139"/>
      <c r="O47" s="3139"/>
    </row>
    <row r="48" spans="1:15" ht="25.5">
      <c r="A48" s="3086" t="s">
        <v>2200</v>
      </c>
      <c r="B48" s="3069"/>
      <c r="C48" s="3069"/>
      <c r="D48" s="140">
        <f ca="1">IF(H48="情况1",0,IF(H48="情况2",D52,IF(H48="情况3",D53,IF(H48="情况4",D54))))</f>
        <v>2883</v>
      </c>
      <c r="E48" s="1800" t="str">
        <f>IF(H48="情况4","(销售额-原购置价)×税（费）率","销售额×税（费）率")</f>
        <v>销售额×税（费）率</v>
      </c>
      <c r="F48" s="175">
        <f>IF(H48="情况1","免征",'数据-取费表'!B41)</f>
        <v>5.6000000000000001E-2</v>
      </c>
      <c r="G48" s="2485" t="s">
        <v>2201</v>
      </c>
      <c r="H48" s="2486" t="s">
        <v>3091</v>
      </c>
      <c r="I48" s="2484"/>
      <c r="J48" s="1811">
        <v>3</v>
      </c>
      <c r="K48" s="3118" t="s">
        <v>2202</v>
      </c>
      <c r="L48" s="3118"/>
      <c r="M48" s="3140">
        <f ca="1">H101</f>
        <v>84455</v>
      </c>
      <c r="N48" s="3140"/>
      <c r="O48" s="3140"/>
    </row>
    <row r="49" spans="1:35" ht="25.5" customHeight="1">
      <c r="A49" s="176" t="s">
        <v>2203</v>
      </c>
      <c r="B49" s="3054" t="s">
        <v>2204</v>
      </c>
      <c r="C49" s="3054"/>
      <c r="D49" s="177">
        <v>0</v>
      </c>
      <c r="E49" s="23" t="s">
        <v>2205</v>
      </c>
      <c r="F49" s="28" t="s">
        <v>34</v>
      </c>
      <c r="G49" s="3124"/>
      <c r="H49" s="138"/>
      <c r="I49" s="2487"/>
      <c r="J49" s="1811">
        <v>4</v>
      </c>
      <c r="K49" s="3118" t="str">
        <f>IF(项目基本情况!E8="房地产抵押价值","房地产抵押价值","抵押担保权已注销时的房地产抵押价值")</f>
        <v>房地产抵押价值</v>
      </c>
      <c r="L49" s="3118"/>
      <c r="M49" s="3140">
        <f ca="1">IF(项目基本情况!E8="房地产抵押价值",H107,H109)</f>
        <v>84455</v>
      </c>
      <c r="N49" s="3140"/>
      <c r="O49" s="3140"/>
    </row>
    <row r="50" spans="1:35" ht="25.5" customHeight="1">
      <c r="A50" s="178"/>
      <c r="B50" s="3054" t="s">
        <v>2206</v>
      </c>
      <c r="C50" s="3054"/>
      <c r="D50" s="179"/>
      <c r="E50" s="31"/>
      <c r="F50" s="180"/>
      <c r="G50" s="3125"/>
      <c r="H50" s="138"/>
      <c r="I50" s="2487"/>
      <c r="J50" s="3118" t="s">
        <v>2207</v>
      </c>
      <c r="K50" s="3118"/>
      <c r="L50" s="3118"/>
      <c r="M50" s="3118"/>
      <c r="N50" s="3118"/>
      <c r="O50" s="3118"/>
    </row>
    <row r="51" spans="1:35" ht="12" customHeight="1">
      <c r="A51" s="181"/>
      <c r="B51" s="3054" t="s">
        <v>2208</v>
      </c>
      <c r="C51" s="3054"/>
      <c r="D51" s="182"/>
      <c r="E51" s="30"/>
      <c r="F51" s="180"/>
      <c r="G51" s="3126"/>
      <c r="H51" s="138"/>
      <c r="I51" s="2487"/>
      <c r="J51" s="2488" t="s">
        <v>2209</v>
      </c>
      <c r="K51" s="3118" t="s">
        <v>2210</v>
      </c>
      <c r="L51" s="3118"/>
      <c r="M51" s="2488" t="s">
        <v>2211</v>
      </c>
      <c r="N51" s="2488" t="s">
        <v>2212</v>
      </c>
      <c r="O51" s="2488" t="s">
        <v>2213</v>
      </c>
    </row>
    <row r="52" spans="1:35" ht="24" customHeight="1">
      <c r="A52" s="183" t="s">
        <v>2214</v>
      </c>
      <c r="B52" s="3054" t="s">
        <v>2215</v>
      </c>
      <c r="C52" s="3054"/>
      <c r="D52" s="182">
        <f ca="1">ROUND(D45*'数据-取费表'!B41/(1+'数据-取费表'!C42),0)</f>
        <v>2883</v>
      </c>
      <c r="E52" s="11" t="s">
        <v>2216</v>
      </c>
      <c r="F52" s="184">
        <f>'数据-取费表'!B41</f>
        <v>5.6000000000000001E-2</v>
      </c>
      <c r="G52" s="2489"/>
      <c r="H52" s="138"/>
      <c r="I52" s="2487"/>
      <c r="J52" s="1811">
        <v>1</v>
      </c>
      <c r="K52" s="3119" t="s">
        <v>2217</v>
      </c>
      <c r="L52" s="3119"/>
      <c r="M52" s="1753">
        <f ca="1">D48</f>
        <v>2883</v>
      </c>
      <c r="N52" s="1811" t="str">
        <f>E48</f>
        <v>销售额×税（费）率</v>
      </c>
      <c r="O52" s="1754">
        <f>F48</f>
        <v>5.6000000000000001E-2</v>
      </c>
    </row>
    <row r="53" spans="1:35" ht="12" customHeight="1">
      <c r="A53" s="183" t="s">
        <v>2218</v>
      </c>
      <c r="B53" s="3077" t="s">
        <v>2219</v>
      </c>
      <c r="C53" s="3078"/>
      <c r="D53" s="182">
        <f ca="1">ROUND(D45*'数据-取费表'!B41/(1+'数据-取费表'!C42),0)</f>
        <v>2883</v>
      </c>
      <c r="E53" s="11" t="s">
        <v>2216</v>
      </c>
      <c r="F53" s="184">
        <f>'数据-取费表'!B41</f>
        <v>5.6000000000000001E-2</v>
      </c>
      <c r="G53" s="2489"/>
      <c r="H53" s="138"/>
      <c r="I53" s="2487"/>
      <c r="J53" s="1811">
        <v>2</v>
      </c>
      <c r="K53" s="3119" t="s">
        <v>2220</v>
      </c>
      <c r="L53" s="3119"/>
      <c r="M53" s="1753">
        <f t="shared" ref="M53:O54" ca="1" si="0">D55</f>
        <v>27</v>
      </c>
      <c r="N53" s="1811" t="str">
        <f t="shared" si="0"/>
        <v>销售额×税（费）率</v>
      </c>
      <c r="O53" s="1754">
        <f t="shared" si="0"/>
        <v>5.0000000000000001E-4</v>
      </c>
    </row>
    <row r="54" spans="1:35" ht="12" customHeight="1">
      <c r="A54" s="183" t="s">
        <v>2221</v>
      </c>
      <c r="B54" s="3077" t="s">
        <v>2222</v>
      </c>
      <c r="C54" s="3078"/>
      <c r="D54" s="182">
        <f ca="1">C68</f>
        <v>2883</v>
      </c>
      <c r="E54" s="30" t="s">
        <v>2223</v>
      </c>
      <c r="F54" s="184">
        <f>'数据-取费表'!B41</f>
        <v>5.6000000000000001E-2</v>
      </c>
      <c r="G54" s="2489"/>
      <c r="H54" s="2490"/>
      <c r="I54" s="2487"/>
      <c r="J54" s="1811">
        <v>3</v>
      </c>
      <c r="K54" s="3119" t="s">
        <v>2224</v>
      </c>
      <c r="L54" s="3119"/>
      <c r="M54" s="1753">
        <f t="shared" ca="1" si="0"/>
        <v>6216</v>
      </c>
      <c r="N54" s="1811" t="str">
        <f t="shared" si="0"/>
        <v>增值额×税（费）率</v>
      </c>
      <c r="O54" s="1755" t="str">
        <f t="shared" si="0"/>
        <v>——</v>
      </c>
    </row>
    <row r="55" spans="1:35" ht="24" customHeight="1">
      <c r="A55" s="3068" t="s">
        <v>2225</v>
      </c>
      <c r="B55" s="3069"/>
      <c r="C55" s="3069"/>
      <c r="D55" s="185">
        <f ca="1">IF(H55="个人住宅",0,ROUND(D45*I55,0))</f>
        <v>27</v>
      </c>
      <c r="E55" s="11" t="s">
        <v>2226</v>
      </c>
      <c r="F55" s="184">
        <f>IF(H55="正常",I55,"免征")</f>
        <v>5.0000000000000001E-4</v>
      </c>
      <c r="G55" s="2489"/>
      <c r="H55" s="2486" t="s">
        <v>2227</v>
      </c>
      <c r="I55" s="186">
        <f>'数据-取费表'!B49</f>
        <v>5.0000000000000001E-4</v>
      </c>
      <c r="J55" s="1811" t="str">
        <f>IF(H59="非个人房产","",4)</f>
        <v/>
      </c>
      <c r="K55" s="3119" t="str">
        <f>IF(H59="非个人房产","——","个人所得税")</f>
        <v>——</v>
      </c>
      <c r="L55" s="3119"/>
      <c r="M55" s="1756" t="str">
        <f>D59</f>
        <v>——</v>
      </c>
      <c r="N55" s="1809" t="str">
        <f>E59</f>
        <v>——</v>
      </c>
      <c r="O55" s="1757" t="str">
        <f>F59</f>
        <v>——</v>
      </c>
    </row>
    <row r="56" spans="1:35" ht="24.75">
      <c r="A56" s="3068" t="s">
        <v>2228</v>
      </c>
      <c r="B56" s="3069"/>
      <c r="C56" s="3069"/>
      <c r="D56" s="185">
        <f ca="1">IF(H56="个人住宅",D57,D58)</f>
        <v>6216</v>
      </c>
      <c r="E56" s="11" t="s">
        <v>2229</v>
      </c>
      <c r="F56" s="184" t="str">
        <f>IF(H56="正常",F58,"免征")</f>
        <v>——</v>
      </c>
      <c r="G56" s="2491" t="s">
        <v>2230</v>
      </c>
      <c r="H56" s="2492" t="s">
        <v>2227</v>
      </c>
      <c r="I56" s="2493"/>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3" t="s">
        <v>2203</v>
      </c>
      <c r="B57" s="3084" t="s">
        <v>2231</v>
      </c>
      <c r="C57" s="3093"/>
      <c r="D57" s="187">
        <v>0</v>
      </c>
      <c r="E57" s="23" t="s">
        <v>2205</v>
      </c>
      <c r="F57" s="155"/>
      <c r="G57" s="2489"/>
      <c r="H57" s="2493"/>
      <c r="I57" s="2493"/>
      <c r="J57" s="3119">
        <f>IF(AND(J55="",J56=""),4,IF(项目基本情况!K6="上海银行",结果表住宅!J56+1,结果表住宅!J55+1))</f>
        <v>4</v>
      </c>
      <c r="K57" s="3119" t="s">
        <v>2232</v>
      </c>
      <c r="L57" s="2494" t="s">
        <v>2233</v>
      </c>
      <c r="M57" s="1758"/>
      <c r="N57" s="1759">
        <f ca="1">SUMIF(M52:M56,"&lt;9e307")</f>
        <v>9126</v>
      </c>
      <c r="O57" s="2495"/>
      <c r="P57" s="1752">
        <f ca="1">N57/M49</f>
        <v>0.10805754543839914</v>
      </c>
    </row>
    <row r="58" spans="1:35" ht="24.75">
      <c r="A58" s="183" t="s">
        <v>2214</v>
      </c>
      <c r="B58" s="3084" t="s">
        <v>2234</v>
      </c>
      <c r="C58" s="3085"/>
      <c r="D58" s="185">
        <f ca="1">IF(H58="转让取得",C81,C97)</f>
        <v>6216</v>
      </c>
      <c r="E58" s="11" t="s">
        <v>2229</v>
      </c>
      <c r="F58" s="24" t="s">
        <v>34</v>
      </c>
      <c r="G58" s="2489"/>
      <c r="H58" s="2492" t="s">
        <v>2235</v>
      </c>
      <c r="I58" s="2493"/>
      <c r="J58" s="3119"/>
      <c r="K58" s="3119"/>
      <c r="L58" s="2494" t="s">
        <v>2236</v>
      </c>
      <c r="M58" s="1760"/>
      <c r="N58" s="2496" t="str">
        <f ca="1">NUMBERSTRING(INT(N57*10000),2)&amp;"元整"</f>
        <v>玖仟壹佰贰拾陆万元整</v>
      </c>
      <c r="O58" s="2497"/>
    </row>
    <row r="59" spans="1:35" ht="24.75" thickBot="1">
      <c r="A59" s="3122" t="s">
        <v>2237</v>
      </c>
      <c r="B59" s="3123"/>
      <c r="C59" s="3123"/>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20">
        <f>J57+1</f>
        <v>5</v>
      </c>
      <c r="K59" s="3119" t="s">
        <v>2239</v>
      </c>
      <c r="L59" s="1811" t="s">
        <v>2233</v>
      </c>
      <c r="M59" s="1761"/>
      <c r="N59" s="1762">
        <f ca="1">M49-N57</f>
        <v>75329</v>
      </c>
      <c r="O59" s="2499"/>
    </row>
    <row r="60" spans="1:35" ht="12" customHeight="1">
      <c r="A60" s="2500"/>
      <c r="B60" s="2422"/>
      <c r="C60" s="2422"/>
      <c r="D60" s="2422"/>
      <c r="E60" s="2169"/>
      <c r="F60" s="2493"/>
      <c r="G60" s="2493"/>
      <c r="H60" s="2501"/>
      <c r="I60" s="138"/>
      <c r="J60" s="3121"/>
      <c r="K60" s="3119"/>
      <c r="L60" s="2494" t="s">
        <v>2236</v>
      </c>
      <c r="M60" s="1760"/>
      <c r="N60" s="2496" t="str">
        <f ca="1">NUMBERSTRING(INT(N59*10000),2)&amp;"元整"</f>
        <v>柒亿伍仟叁佰贰拾玖万元整</v>
      </c>
      <c r="O60" s="2497"/>
    </row>
    <row r="61" spans="1:35" ht="13.5" thickBot="1">
      <c r="A61" s="3066" t="s">
        <v>2240</v>
      </c>
      <c r="B61" s="3066"/>
      <c r="C61" s="3066"/>
      <c r="D61" s="3066"/>
      <c r="E61" s="3066"/>
      <c r="F61" s="2493"/>
      <c r="G61" s="2493"/>
      <c r="H61" s="2501"/>
      <c r="I61" s="138"/>
      <c r="J61" s="1811">
        <f>J59+1</f>
        <v>6</v>
      </c>
      <c r="K61" s="3119" t="s">
        <v>2241</v>
      </c>
      <c r="L61" s="3119"/>
      <c r="M61" s="1763"/>
      <c r="N61" s="1764">
        <f ca="1">ROUND(N59*10000/'数据-汇总表'!E3,0)</f>
        <v>10596</v>
      </c>
      <c r="O61" s="2502"/>
    </row>
    <row r="62" spans="1:35" ht="12.75">
      <c r="A62" s="3082" t="s">
        <v>2242</v>
      </c>
      <c r="B62" s="3083"/>
      <c r="C62" s="1803"/>
      <c r="D62" s="1803" t="s">
        <v>2243</v>
      </c>
      <c r="E62" s="192" t="s">
        <v>2244</v>
      </c>
      <c r="F62" s="2493"/>
      <c r="G62" s="2493"/>
      <c r="H62" s="2501"/>
      <c r="I62" s="138"/>
    </row>
    <row r="63" spans="1:35" ht="12.75">
      <c r="A63" s="203" t="s">
        <v>775</v>
      </c>
      <c r="B63" s="193" t="s">
        <v>2245</v>
      </c>
      <c r="C63" s="194">
        <f ca="1">ROUND((C64+C65)/(1+'数据-取费表'!C42),0)</f>
        <v>51477</v>
      </c>
      <c r="D63" s="195"/>
      <c r="E63" s="196"/>
      <c r="F63" s="2493"/>
      <c r="G63" s="2493"/>
      <c r="H63" s="2501"/>
      <c r="I63" s="138"/>
      <c r="J63" s="3144" t="s">
        <v>2246</v>
      </c>
      <c r="K63" s="2503" t="s">
        <v>2247</v>
      </c>
      <c r="L63" s="1751">
        <f ca="1">IF(M49&gt;10000,M49*0.5%,IF(AND(M49&gt;1000,M49&lt;=10000),M49*1%,IF(AND(M49&gt;100,M49&lt;=1000),M49*3%,IF(AND(M49&gt;10,M49&lt;=100),M49*5%,M49*8%))))</f>
        <v>422.27500000000003</v>
      </c>
      <c r="M63" s="24">
        <f ca="1">ROUND(L63,1)</f>
        <v>422.3</v>
      </c>
      <c r="Z63" s="2427"/>
      <c r="AI63" s="2428"/>
    </row>
    <row r="64" spans="1:35" ht="14.25" customHeight="1">
      <c r="A64" s="197" t="s">
        <v>770</v>
      </c>
      <c r="B64" s="198" t="s">
        <v>2248</v>
      </c>
      <c r="C64" s="199">
        <f ca="1">D45</f>
        <v>54051</v>
      </c>
      <c r="D64" s="200" t="s">
        <v>32</v>
      </c>
      <c r="E64" s="201"/>
      <c r="F64" s="2493"/>
      <c r="G64" s="2493"/>
      <c r="H64" s="2501"/>
      <c r="I64" s="138"/>
      <c r="J64" s="3144"/>
      <c r="K64" s="2503" t="s">
        <v>2249</v>
      </c>
      <c r="L64" s="1751">
        <f ca="1">IF(M49&gt;2000,M49*0.5%,IF(AND(M49&gt;1000,M49&lt;=2000),M49*0.6%,IF(AND(M49&gt;500,M49&lt;=1000),M49*0.7%,IF(AND(M49&gt;200,M49&lt;=500),M49*0.8%,IF(AND(M49&gt;100,M49&lt;=200),M49*0.9%,IF(AND(M49&gt;50,M49&lt;=100),M49*1%,IF(AND(M49&gt;20,M49&lt;=50),M49*1.5%,IF(AND(M49&gt;10,M49&lt;=20),M49*2%,IF(AND(M49&gt;1,M49&lt;=10),M49*2.5%)))))))))</f>
        <v>422.27500000000003</v>
      </c>
      <c r="M64" s="24">
        <f t="shared" ref="M64:M65" ca="1" si="1">ROUND(L64,1)</f>
        <v>422.3</v>
      </c>
      <c r="N64" s="138" t="s">
        <v>2250</v>
      </c>
      <c r="Z64" s="2427"/>
      <c r="AI64" s="2428"/>
    </row>
    <row r="65" spans="1:35" ht="14.25" customHeight="1">
      <c r="A65" s="197" t="s">
        <v>771</v>
      </c>
      <c r="B65" s="198" t="s">
        <v>2251</v>
      </c>
      <c r="C65" s="202"/>
      <c r="D65" s="200"/>
      <c r="E65" s="201"/>
      <c r="F65" s="2493"/>
      <c r="G65" s="2493"/>
      <c r="H65" s="2501"/>
      <c r="I65" s="138"/>
      <c r="J65" s="3144"/>
      <c r="K65" s="2503" t="s">
        <v>2252</v>
      </c>
      <c r="L65" s="1751">
        <f ca="1">IF(M49&gt;1000,M49*0.1%,IF(AND(M49&gt;500,M49&lt;=1000),M49*0.5%,IF(AND(M49&gt;50,M49&lt;=500),M49*1%,IF(AND(M49&gt;1,M49&lt;=50),M49*1.5%))))</f>
        <v>84.454999999999998</v>
      </c>
      <c r="M65" s="24">
        <f t="shared" ca="1" si="1"/>
        <v>84.5</v>
      </c>
      <c r="N65" s="138" t="s">
        <v>2250</v>
      </c>
      <c r="Z65" s="2427"/>
      <c r="AI65" s="2428"/>
    </row>
    <row r="66" spans="1:35" ht="14.25" customHeight="1">
      <c r="A66" s="203" t="s">
        <v>772</v>
      </c>
      <c r="B66" s="204" t="s">
        <v>2253</v>
      </c>
      <c r="C66" s="2959"/>
      <c r="D66" s="205" t="s">
        <v>32</v>
      </c>
      <c r="E66" s="1775" t="s">
        <v>1371</v>
      </c>
      <c r="F66" s="2493"/>
      <c r="G66" s="2493"/>
      <c r="H66" s="2501"/>
      <c r="I66" s="138"/>
      <c r="J66" s="3144"/>
      <c r="K66" s="2503" t="s">
        <v>2254</v>
      </c>
      <c r="L66" s="1751">
        <f ca="1">M49*0.5%</f>
        <v>422.27500000000003</v>
      </c>
      <c r="M66" s="24">
        <f ca="1">IF(L66&gt;0.5,0.5,ROUND(L66,0))</f>
        <v>0.5</v>
      </c>
      <c r="N66" s="138" t="s">
        <v>2255</v>
      </c>
      <c r="Z66" s="2427"/>
      <c r="AI66" s="2428"/>
    </row>
    <row r="67" spans="1:35" ht="14.25" customHeight="1">
      <c r="A67" s="203" t="s">
        <v>773</v>
      </c>
      <c r="B67" s="204" t="s">
        <v>2256</v>
      </c>
      <c r="C67" s="206">
        <f ca="1">C63-C66</f>
        <v>51477</v>
      </c>
      <c r="D67" s="200" t="s">
        <v>32</v>
      </c>
      <c r="E67" s="201"/>
      <c r="F67" s="2493"/>
      <c r="G67" s="2493"/>
      <c r="H67" s="2501"/>
      <c r="I67" s="138"/>
      <c r="J67" s="3144"/>
      <c r="K67" s="2503" t="s">
        <v>2257</v>
      </c>
      <c r="L67" s="1751">
        <f ca="1">IF(M49&gt;=10000,(8.25+(M49-10000)*0.01%),IF(AND(M49&gt;=8000,M49&lt;10000),(7.85+(M49-8000)*0.02%),IF(AND(M49&gt;=5000,M49&lt;8000),(6.65+(M49-5000)*0.04%),IF(AND(M49&gt;=2000,M49&lt;5000),(4.25+(PM49-2000)*0.08%),IF(AND(M49&gt;=1000,M49&lt;2000),(2.75+(M49-1000)*0.15%),IF(AND(M49&gt;=100,M49&lt;1000),(0.5+(M49-100)*0.25%),IF(AND(M49&gt;0,M49&lt;100),M49*0.5%)))))))</f>
        <v>15.695499999999999</v>
      </c>
      <c r="M67" s="24">
        <f ca="1">ROUND(L67*0.9,1)</f>
        <v>14.1</v>
      </c>
      <c r="Z67" s="2427"/>
      <c r="AI67" s="2428"/>
    </row>
    <row r="68" spans="1:35" ht="14.25" customHeight="1" thickBot="1">
      <c r="A68" s="207" t="s">
        <v>774</v>
      </c>
      <c r="B68" s="208" t="s">
        <v>2258</v>
      </c>
      <c r="C68" s="209">
        <f ca="1">IF(C67&lt;=0,0,ROUND(C67*D68,0))</f>
        <v>2883</v>
      </c>
      <c r="D68" s="210">
        <f>'数据-取费表'!B41</f>
        <v>5.6000000000000001E-2</v>
      </c>
      <c r="E68" s="211"/>
      <c r="F68" s="2493"/>
      <c r="G68" s="2493"/>
      <c r="H68" s="2501"/>
      <c r="I68" s="138"/>
      <c r="J68" s="3144"/>
      <c r="K68" s="2503" t="s">
        <v>2259</v>
      </c>
      <c r="L68" s="1751">
        <f ca="1">IF(M49&gt;10000,M49*0.5%,IF(AND(M49&gt;5000,M49&lt;=10000),M49*1%,IF(AND(M49&gt;1000,M49&lt;=5000),M49*2%,IF(AND(M49&gt;200,M49&lt;=1000),M49*3%,M49*5%))))</f>
        <v>422.27500000000003</v>
      </c>
      <c r="M68" s="24">
        <f ca="1">ROUND(L68,1)</f>
        <v>422.3</v>
      </c>
      <c r="Z68" s="2427"/>
      <c r="AI68" s="2428"/>
    </row>
    <row r="69" spans="1:35" s="2450" customFormat="1" ht="16.5" customHeight="1">
      <c r="A69" s="2504"/>
      <c r="B69" s="2505"/>
      <c r="C69" s="2506"/>
      <c r="D69" s="2507"/>
      <c r="E69" s="2508"/>
      <c r="F69" s="2169"/>
      <c r="G69" s="2169"/>
      <c r="H69" s="2168"/>
      <c r="I69" s="2422"/>
      <c r="J69" s="3144"/>
      <c r="K69" s="2503" t="s">
        <v>2260</v>
      </c>
      <c r="L69" s="2509"/>
      <c r="M69" s="24">
        <f ca="1">ROUND(SUM(M63:M68),0)</f>
        <v>1366</v>
      </c>
      <c r="N69" s="1752">
        <f ca="1">M69/M49</f>
        <v>1.6174294002723345E-2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03" t="s">
        <v>2261</v>
      </c>
      <c r="B70" s="3104"/>
      <c r="C70" s="3104"/>
      <c r="D70" s="3104"/>
      <c r="E70" s="3104"/>
      <c r="F70" s="3104"/>
      <c r="G70" s="3104"/>
      <c r="H70" s="31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2" t="s">
        <v>2242</v>
      </c>
      <c r="B71" s="3083"/>
      <c r="C71" s="1803"/>
      <c r="D71" s="1803" t="s">
        <v>2243</v>
      </c>
      <c r="E71" s="212" t="s">
        <v>2244</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6">
        <f ca="1">ROUND(D45/(1+'数据-取费表'!C42),0)</f>
        <v>51477</v>
      </c>
      <c r="D72" s="200"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6">
        <f ca="1">C74+C78</f>
        <v>309</v>
      </c>
      <c r="D73" s="200"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8" t="s">
        <v>2264</v>
      </c>
      <c r="C74" s="200">
        <f>ROUND(IF(G77="2016年5月1日后购买",C75/(1+'数据-取费表'!C42)+C76+C77,C75+C76+C77),0)</f>
        <v>0</v>
      </c>
      <c r="D74" s="200"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8" t="s">
        <v>2265</v>
      </c>
      <c r="C75" s="217"/>
      <c r="D75" s="200" t="s">
        <v>32</v>
      </c>
      <c r="E75" s="218" t="s">
        <v>2266</v>
      </c>
      <c r="F75" s="2515" t="s">
        <v>3092</v>
      </c>
      <c r="G75" s="218" t="s">
        <v>2267</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2268</v>
      </c>
      <c r="C76" s="200">
        <f>IF(F75="购房发票",ROUND(C75*H75*D76,0),0)</f>
        <v>0</v>
      </c>
      <c r="D76" s="221">
        <v>0.05</v>
      </c>
      <c r="E76" s="3077" t="s">
        <v>2269</v>
      </c>
      <c r="F76" s="3054"/>
      <c r="G76" s="3054"/>
      <c r="H76" s="31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8" t="s">
        <v>2270</v>
      </c>
      <c r="C77" s="200">
        <f>ROUND(IF(G77="个人住宅",0,IF(G77="2016年5月1日前购买",C75*D77,C75*D77/(1+'数据-取费表'!C42))),0)</f>
        <v>0</v>
      </c>
      <c r="D77" s="222">
        <f>'数据-取费表'!B48+'数据-取费表'!B49</f>
        <v>3.0499999999999999E-2</v>
      </c>
      <c r="E77" s="15" t="s">
        <v>2271</v>
      </c>
      <c r="F77" s="223"/>
      <c r="G77" s="2517" t="s">
        <v>2272</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8" t="s">
        <v>2273</v>
      </c>
      <c r="C78" s="224">
        <f ca="1">ROUND(D45*D78/(1+'数据-取费表'!C42),0)</f>
        <v>309</v>
      </c>
      <c r="D78" s="225">
        <f>'数据-取费表'!B43</f>
        <v>6.000000000000001E-3</v>
      </c>
      <c r="E78" s="3063" t="s">
        <v>2274</v>
      </c>
      <c r="F78" s="3064"/>
      <c r="G78" s="3064"/>
      <c r="H78" s="307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6">
        <f ca="1">C72-C73</f>
        <v>51168</v>
      </c>
      <c r="D79" s="200"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6">
        <f ca="1">IF(C79&lt;=0,0,C79/C73)</f>
        <v>165.59223300970874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2277</v>
      </c>
      <c r="C81" s="227">
        <f ca="1">ROUND(IF(C79&lt;=0,0,IF(C80&gt;=200%,C79*60%-C73*35%,IF(C80&gt;=100%,C79*50%-C73*15%,IF(C80&gt;=50%,C79*40%-C73*5%,IF(C80&lt;50%,C79*30%,0))))),0)</f>
        <v>30593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3" t="s">
        <v>2278</v>
      </c>
      <c r="B83" s="3104"/>
      <c r="C83" s="3104"/>
      <c r="D83" s="3104"/>
      <c r="E83" s="3104"/>
      <c r="F83" s="3104"/>
      <c r="G83" s="3104"/>
      <c r="H83" s="31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2" t="s">
        <v>2242</v>
      </c>
      <c r="B84" s="3083"/>
      <c r="C84" s="1803"/>
      <c r="D84" s="1803" t="s">
        <v>2243</v>
      </c>
      <c r="E84" s="212" t="s">
        <v>2244</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6">
        <f ca="1">ROUND(D45/(1+'数据-取费表'!C42),0)</f>
        <v>51477</v>
      </c>
      <c r="D85" s="200"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6">
        <f ca="1">IF(H88="仅含出让金",C87+C90+C91+C92+C93+C94,C87+C91+C92+C93+C94)</f>
        <v>31943</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8" t="s">
        <v>2279</v>
      </c>
      <c r="C87" s="224">
        <f>C88+C89</f>
        <v>4835</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8" t="s">
        <v>2280</v>
      </c>
      <c r="C88" s="235">
        <f>ROUND(660*'数据-汇总表'!F19/10000,0)</f>
        <v>4692</v>
      </c>
      <c r="D88" s="225"/>
      <c r="E88" s="236" t="s">
        <v>2281</v>
      </c>
      <c r="F88" s="1799"/>
      <c r="G88" s="237" t="s">
        <v>2282</v>
      </c>
      <c r="H88" s="2521" t="s">
        <v>3093</v>
      </c>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8" t="s">
        <v>2270</v>
      </c>
      <c r="C89" s="224">
        <f>ROUND(C88*D89,0)</f>
        <v>143</v>
      </c>
      <c r="D89" s="225">
        <f>'数据-取费表'!B48+'数据-取费表'!B49</f>
        <v>3.0499999999999999E-2</v>
      </c>
      <c r="E89" s="236"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8" t="s">
        <v>2284</v>
      </c>
      <c r="C90" s="235"/>
      <c r="D90" s="225"/>
      <c r="E90" s="236"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2285</v>
      </c>
      <c r="B91" s="198" t="s">
        <v>2286</v>
      </c>
      <c r="C91" s="224">
        <f ca="1">IF(H91="——",成本法!C33,I91)</f>
        <v>19499</v>
      </c>
      <c r="D91" s="225"/>
      <c r="E91" s="3063" t="s">
        <v>2287</v>
      </c>
      <c r="F91" s="3064"/>
      <c r="G91" s="3064"/>
      <c r="H91" s="2522" t="s">
        <v>70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2288</v>
      </c>
      <c r="B92" s="198" t="s">
        <v>2289</v>
      </c>
      <c r="C92" s="224">
        <f ca="1">ROUND((C87+C90+C91)*D92,0)</f>
        <v>2433</v>
      </c>
      <c r="D92" s="225">
        <v>0.1</v>
      </c>
      <c r="E92" s="3063" t="s">
        <v>2290</v>
      </c>
      <c r="F92" s="3064"/>
      <c r="G92" s="3064"/>
      <c r="H92" s="307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2291</v>
      </c>
      <c r="B93" s="198" t="s">
        <v>2273</v>
      </c>
      <c r="C93" s="224">
        <f ca="1">ROUND(D45*D93/(1+'数据-取费表'!C42),0)</f>
        <v>309</v>
      </c>
      <c r="D93" s="225">
        <f>'数据-取费表'!B43</f>
        <v>6.000000000000001E-3</v>
      </c>
      <c r="E93" s="3063" t="s">
        <v>2274</v>
      </c>
      <c r="F93" s="3064"/>
      <c r="G93" s="3064"/>
      <c r="H93" s="307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2292</v>
      </c>
      <c r="B94" s="198" t="s">
        <v>2293</v>
      </c>
      <c r="C94" s="235">
        <f ca="1">ROUND((C87+C90+C91)*D94,0)</f>
        <v>4867</v>
      </c>
      <c r="D94" s="225">
        <v>0.2</v>
      </c>
      <c r="E94" s="3074" t="s">
        <v>2294</v>
      </c>
      <c r="F94" s="3075"/>
      <c r="G94" s="3075"/>
      <c r="H94" s="307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6">
        <f ca="1">ROUND(C85-C86,0)</f>
        <v>19534</v>
      </c>
      <c r="D95" s="200"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6">
        <f ca="1">IF(C95&lt;=0,0,C95/C86)</f>
        <v>0.61152678208058109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2277</v>
      </c>
      <c r="C97" s="227">
        <f ca="1">ROUND(IF(C95&lt;=0,0,IF(C96&gt;=200%,C95*60%-C86*35%,IF(C96&gt;=100%,C95*50%-C86*15%,IF(C96&gt;=50%,C95*40%-C86*5%,IF(C96&lt;50%,C95*30%,0))))),0)</f>
        <v>6216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48" t="s">
        <v>2296</v>
      </c>
      <c r="B100" s="3049"/>
      <c r="C100" s="3049"/>
      <c r="D100" s="3065"/>
      <c r="E100" s="3049" t="s">
        <v>2297</v>
      </c>
      <c r="F100" s="3049"/>
      <c r="G100" s="3049"/>
      <c r="H100" s="3065"/>
      <c r="I100" s="138"/>
    </row>
    <row r="101" spans="1:35" ht="18.75" customHeight="1">
      <c r="A101" s="3127" t="s">
        <v>2298</v>
      </c>
      <c r="B101" s="3128"/>
      <c r="C101" s="735" t="str">
        <f>C4</f>
        <v>成本法</v>
      </c>
      <c r="D101" s="736" t="str">
        <f>D4</f>
        <v>假设开发法</v>
      </c>
      <c r="E101" s="3141" t="s">
        <v>2299</v>
      </c>
      <c r="F101" s="3095"/>
      <c r="G101" s="2524" t="s">
        <v>2300</v>
      </c>
      <c r="H101" s="1047">
        <f ca="1">H118</f>
        <v>84455</v>
      </c>
      <c r="I101" s="138"/>
    </row>
    <row r="102" spans="1:35" ht="18.75" customHeight="1">
      <c r="A102" s="3097" t="s">
        <v>2301</v>
      </c>
      <c r="B102" s="2524" t="s">
        <v>2300</v>
      </c>
      <c r="C102" s="735">
        <f ca="1">C19</f>
        <v>188693</v>
      </c>
      <c r="D102" s="736">
        <f ca="1">D19</f>
        <v>84455</v>
      </c>
      <c r="E102" s="3141"/>
      <c r="F102" s="3095"/>
      <c r="G102" s="2524" t="s">
        <v>2302</v>
      </c>
      <c r="H102" s="370">
        <f ca="1">I118</f>
        <v>11880</v>
      </c>
      <c r="I102" s="138"/>
    </row>
    <row r="103" spans="1:35" ht="42.75" customHeight="1">
      <c r="A103" s="3097"/>
      <c r="B103" s="2524" t="s">
        <v>2302</v>
      </c>
      <c r="C103" s="737">
        <f ca="1">C20</f>
        <v>26543</v>
      </c>
      <c r="D103" s="738">
        <f ca="1">D20</f>
        <v>11880</v>
      </c>
      <c r="E103" s="3136" t="s">
        <v>2303</v>
      </c>
      <c r="F103" s="3137"/>
      <c r="G103" s="2525" t="s">
        <v>2304</v>
      </c>
      <c r="H103" s="1047">
        <f>IF(D36="正常操作",H104+H105+H106,H105+H106)</f>
        <v>0</v>
      </c>
      <c r="I103" s="138"/>
    </row>
    <row r="104" spans="1:35" ht="18.75" customHeight="1">
      <c r="A104" s="3097" t="s">
        <v>2305</v>
      </c>
      <c r="B104" s="2526" t="s">
        <v>2300</v>
      </c>
      <c r="C104" s="739">
        <f ca="1">H118</f>
        <v>84455</v>
      </c>
      <c r="D104" s="740"/>
      <c r="E104" s="2270" t="s">
        <v>2306</v>
      </c>
      <c r="F104" s="2261"/>
      <c r="G104" s="2525" t="s">
        <v>2304</v>
      </c>
      <c r="H104" s="1048">
        <f>IF(D36="同一抵押权人同一抵押物续贷",C36&amp;"（未扣减，详见特别提示）",C36)</f>
        <v>0</v>
      </c>
      <c r="I104" s="138"/>
    </row>
    <row r="105" spans="1:35" ht="18.75" customHeight="1" thickBot="1">
      <c r="A105" s="3098"/>
      <c r="B105" s="2527" t="s">
        <v>2302</v>
      </c>
      <c r="C105" s="741">
        <f ca="1">I118</f>
        <v>11880</v>
      </c>
      <c r="D105" s="742"/>
      <c r="E105" s="2270" t="s">
        <v>2307</v>
      </c>
      <c r="F105" s="2261"/>
      <c r="G105" s="2525" t="s">
        <v>2304</v>
      </c>
      <c r="H105" s="1048">
        <f>C37</f>
        <v>0</v>
      </c>
      <c r="I105" s="138"/>
    </row>
    <row r="106" spans="1:35" ht="18.75" customHeight="1">
      <c r="A106" s="2422" t="s">
        <v>2308</v>
      </c>
      <c r="B106" s="2422"/>
      <c r="C106" s="2422"/>
      <c r="D106" s="2422"/>
      <c r="E106" s="2528" t="s">
        <v>2309</v>
      </c>
      <c r="F106" s="2261"/>
      <c r="G106" s="2525" t="s">
        <v>2304</v>
      </c>
      <c r="H106" s="1048">
        <f>C38</f>
        <v>0</v>
      </c>
      <c r="I106" s="138"/>
    </row>
    <row r="107" spans="1:35" ht="18.75" customHeight="1">
      <c r="A107" s="138"/>
      <c r="B107" s="138"/>
      <c r="C107" s="138"/>
      <c r="D107" s="138"/>
      <c r="E107" s="3094" t="str">
        <f>IF(项目基本情况!E8="已注销","——","3.房地产抵押价值")</f>
        <v>3.房地产抵押价值</v>
      </c>
      <c r="F107" s="3095"/>
      <c r="G107" s="2524" t="s">
        <v>2300</v>
      </c>
      <c r="H107" s="1047">
        <f ca="1">IF(E107="——","——",H101-H103)</f>
        <v>84455</v>
      </c>
      <c r="I107" s="138"/>
    </row>
    <row r="108" spans="1:35" ht="18.75" customHeight="1">
      <c r="A108" s="138"/>
      <c r="B108" s="138"/>
      <c r="C108" s="138"/>
      <c r="D108" s="138"/>
      <c r="E108" s="3094"/>
      <c r="F108" s="3095"/>
      <c r="G108" s="2524" t="s">
        <v>2302</v>
      </c>
      <c r="H108" s="370">
        <f ca="1">ROUND(H107*10000/'数据-汇总表'!E3,0)</f>
        <v>11880</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24" t="s">
        <v>2300</v>
      </c>
      <c r="H109" s="347" t="str">
        <f>IF(E109="——","——",H101-H105-H106)</f>
        <v>——</v>
      </c>
      <c r="I109" s="138"/>
    </row>
    <row r="110" spans="1:35" ht="18.75" customHeight="1">
      <c r="A110" s="138"/>
      <c r="B110" s="138"/>
      <c r="C110" s="138"/>
      <c r="D110" s="138"/>
      <c r="E110" s="3094"/>
      <c r="F110" s="3095"/>
      <c r="G110" s="2524" t="s">
        <v>2302</v>
      </c>
      <c r="H110" s="370"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24" t="s">
        <v>2300</v>
      </c>
      <c r="H111" s="1047" t="str">
        <f>IF(E111="——","——",N59)</f>
        <v>——</v>
      </c>
      <c r="I111" s="138"/>
    </row>
    <row r="112" spans="1:35" ht="18.75" customHeight="1" thickBot="1">
      <c r="A112" s="138"/>
      <c r="B112" s="138"/>
      <c r="C112" s="138"/>
      <c r="D112" s="138"/>
      <c r="E112" s="3131"/>
      <c r="F112" s="3132"/>
      <c r="G112" s="2529" t="s">
        <v>2302</v>
      </c>
      <c r="H112" s="789" t="str">
        <f>IF(E111="——","——",N61)</f>
        <v>——</v>
      </c>
      <c r="I112" s="138"/>
    </row>
    <row r="113" spans="1:11" ht="18.75" customHeight="1">
      <c r="A113" s="138"/>
      <c r="B113" s="138"/>
      <c r="C113" s="138"/>
      <c r="D113" s="138"/>
      <c r="E113" s="3099" t="s">
        <v>2308</v>
      </c>
      <c r="F113" s="3099"/>
      <c r="G113" s="3099"/>
      <c r="H113" s="3099"/>
      <c r="I113" s="138"/>
    </row>
    <row r="114" spans="1:11" ht="3.75" customHeight="1">
      <c r="A114" s="2422"/>
      <c r="B114" s="2422"/>
      <c r="C114" s="2422"/>
      <c r="D114" s="2422"/>
      <c r="E114" s="2500"/>
      <c r="F114" s="2500"/>
      <c r="G114" s="2500"/>
      <c r="H114" s="2500"/>
      <c r="I114" s="2422"/>
    </row>
    <row r="115" spans="1:11" ht="18.75" customHeight="1">
      <c r="A115" s="3112" t="s">
        <v>2310</v>
      </c>
      <c r="B115" s="3113"/>
      <c r="C115" s="3113"/>
      <c r="D115" s="3113"/>
      <c r="E115" s="3113"/>
      <c r="F115" s="3113"/>
      <c r="G115" s="3113"/>
      <c r="H115" s="3113"/>
      <c r="I115" s="3114"/>
    </row>
    <row r="116" spans="1:11" ht="27" customHeight="1">
      <c r="A116" s="3005" t="s">
        <v>2311</v>
      </c>
      <c r="B116" s="3100" t="s">
        <v>2312</v>
      </c>
      <c r="C116" s="3100" t="s">
        <v>2313</v>
      </c>
      <c r="D116" s="3116" t="s">
        <v>2314</v>
      </c>
      <c r="E116" s="3117"/>
      <c r="F116" s="3108" t="s">
        <v>2315</v>
      </c>
      <c r="G116" s="3108"/>
      <c r="H116" s="3005" t="s">
        <v>2316</v>
      </c>
      <c r="I116" s="3005"/>
    </row>
    <row r="117" spans="1:11" ht="18.75" customHeight="1">
      <c r="A117" s="3005"/>
      <c r="B117" s="3101"/>
      <c r="C117" s="3101"/>
      <c r="D117" s="1797" t="s">
        <v>2317</v>
      </c>
      <c r="E117" s="1797" t="s">
        <v>2318</v>
      </c>
      <c r="F117" s="1797" t="s">
        <v>2317</v>
      </c>
      <c r="G117" s="1797" t="s">
        <v>2319</v>
      </c>
      <c r="H117" s="1797" t="s">
        <v>2317</v>
      </c>
      <c r="I117" s="1797" t="s">
        <v>2319</v>
      </c>
    </row>
    <row r="118" spans="1:11" ht="24.75" customHeight="1">
      <c r="A118" s="2530" t="str">
        <f>项目基本情况!S2</f>
        <v>北京市出让国有建设用地使用权及在建建筑物房地产</v>
      </c>
      <c r="B118" s="1797">
        <f>M18</f>
        <v>71089.5</v>
      </c>
      <c r="C118" s="1797">
        <f>M19</f>
        <v>19833.080000000002</v>
      </c>
      <c r="D118" s="1797">
        <f ca="1">ROUND(IF(D32="总价",C34,E118*B118/10000),0)</f>
        <v>74320</v>
      </c>
      <c r="E118" s="1797">
        <f ca="1">ROUND(IF(C33="自定义",IF(D32="楼面单价",C34,D118*10000/B118),I118-G118),0)</f>
        <v>10454</v>
      </c>
      <c r="F118" s="1797">
        <f ca="1">ROUND(IF(D32="总价",C35,G118*B118/10000),0)</f>
        <v>10135</v>
      </c>
      <c r="G118" s="1797">
        <f ca="1">ROUND(IF(D32="楼面单价",C35,F118*10000/B118),0)</f>
        <v>1426</v>
      </c>
      <c r="H118" s="1797">
        <f ca="1">ROUND(IF(D32="总价",C32,I118*B118/10000),0)</f>
        <v>84455</v>
      </c>
      <c r="I118" s="1797">
        <f ca="1">ROUND(IF(D32="楼面单价",C32,H118*10000/B118),0)</f>
        <v>11880</v>
      </c>
    </row>
    <row r="119" spans="1:11" ht="18.75" customHeight="1">
      <c r="A119" s="3005" t="s">
        <v>2320</v>
      </c>
      <c r="B119" s="3005"/>
      <c r="C119" s="3005"/>
      <c r="D119" s="3105" t="str">
        <f ca="1">NUMBERSTRING(INT(D118*10000),2)&amp;"元整"</f>
        <v>柒亿肆仟叁佰贰拾万元整</v>
      </c>
      <c r="E119" s="3107"/>
      <c r="F119" s="3105" t="str">
        <f ca="1">NUMBERSTRING(INT(F118*10000),2)&amp;"元整"</f>
        <v>壹亿零壹佰叁拾伍万元整</v>
      </c>
      <c r="G119" s="3107"/>
      <c r="H119" s="3105" t="str">
        <f ca="1">NUMBERSTRING(INT(H118*10000),2)&amp;"元整"</f>
        <v>捌亿肆仟肆佰伍拾伍万元整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7" t="str">
        <f>IF(D120=0,"故，本次评估不存在"&amp;A120,"故，本次评估"&amp;A120&amp;"为人民币"&amp;D120&amp;"万元整。")</f>
        <v>故，本次评估不存在估价师知悉的法定优先受偿款</v>
      </c>
    </row>
    <row r="121" spans="1:11" ht="18.75" customHeight="1">
      <c r="A121" s="3109" t="s">
        <v>2320</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84455</v>
      </c>
      <c r="E122" s="3134"/>
      <c r="F122" s="3134"/>
      <c r="G122" s="3134"/>
      <c r="H122" s="3134"/>
      <c r="I122" s="3135"/>
    </row>
    <row r="123" spans="1:11" ht="18.75" customHeight="1">
      <c r="A123" s="3005" t="s">
        <v>2320</v>
      </c>
      <c r="B123" s="3005"/>
      <c r="C123" s="3005"/>
      <c r="D123" s="3105" t="str">
        <f ca="1">NUMBERSTRING(INT(D122*10000),2)&amp;"元整"</f>
        <v>捌亿肆仟肆佰伍拾伍万元整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2320</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2320</v>
      </c>
      <c r="B127" s="3005"/>
      <c r="C127" s="3005"/>
      <c r="D127" s="3105" t="e">
        <f>NUMBERSTRING(INT(D126*10000),2)&amp;"元整"</f>
        <v>#VALUE!</v>
      </c>
      <c r="E127" s="3106"/>
      <c r="F127" s="3106"/>
      <c r="G127" s="3106"/>
      <c r="H127" s="3106"/>
      <c r="I127" s="3107"/>
    </row>
    <row r="128" spans="1:11" ht="21.75" customHeight="1">
      <c r="A128" s="3115" t="s">
        <v>2321</v>
      </c>
      <c r="B128" s="3115"/>
      <c r="C128" s="3115"/>
      <c r="D128" s="3115"/>
      <c r="E128" s="3115"/>
      <c r="F128" s="3115"/>
      <c r="G128" s="3115"/>
      <c r="H128" s="3115"/>
      <c r="I128" s="3115"/>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2324</v>
      </c>
      <c r="G135" s="2548"/>
      <c r="H135" s="2548"/>
      <c r="I135" s="2549" t="s">
        <v>2325</v>
      </c>
    </row>
    <row r="136" spans="1:35" ht="21.75" customHeight="1">
      <c r="A136" s="794"/>
      <c r="B136" s="255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2327</v>
      </c>
    </row>
    <row r="139" spans="1:35" ht="21.75" customHeight="1">
      <c r="A139" s="794"/>
      <c r="B139" s="2550" t="s">
        <v>2328</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2327</v>
      </c>
    </row>
    <row r="142" spans="1:35" ht="21.75" customHeight="1">
      <c r="A142" s="794"/>
      <c r="B142" s="2550"/>
      <c r="C142" s="2551"/>
      <c r="D142" s="2552"/>
      <c r="E142" s="2552"/>
      <c r="F142" s="2344"/>
      <c r="G142" s="794"/>
      <c r="H142" s="794"/>
      <c r="I142" s="794"/>
    </row>
    <row r="143" spans="1:35" s="139"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8"/>
  <sheetViews>
    <sheetView topLeftCell="A37" workbookViewId="0">
      <selection activeCell="E58" sqref="E5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3054</v>
      </c>
      <c r="C1" s="241"/>
      <c r="D1" s="241"/>
      <c r="E1" s="241"/>
      <c r="F1" s="241"/>
      <c r="G1" s="1381">
        <f>MATCH(B1,'数据-取费表'!A6:A16,0)+5</f>
        <v>6</v>
      </c>
    </row>
    <row r="2" spans="1:9" s="243" customFormat="1" ht="18" customHeight="1">
      <c r="A2" s="244" t="s">
        <v>2330</v>
      </c>
      <c r="B2" s="245">
        <f ca="1">IF(D2="——",C52,C52-E2)</f>
        <v>188693</v>
      </c>
      <c r="C2" s="242" t="s">
        <v>2331</v>
      </c>
      <c r="D2" s="2553" t="s">
        <v>70</v>
      </c>
      <c r="E2" s="1442" t="e">
        <f ca="1">SUMIF(INDIRECT("'"&amp;G2&amp;"'"&amp;"!A:A"),"承租人权益价值",INDIRECT("'"&amp;G2&amp;"'"&amp;"!c:c"))</f>
        <v>#REF!</v>
      </c>
      <c r="F2" s="2554" t="s">
        <v>2331</v>
      </c>
      <c r="G2" s="2555"/>
    </row>
    <row r="3" spans="1:9" s="243" customFormat="1" ht="18" customHeight="1" thickBot="1">
      <c r="A3" s="246" t="s">
        <v>2332</v>
      </c>
      <c r="B3" s="247">
        <f ca="1">ROUND(B2*10000/(IF(B1="",'数据-汇总表'!E3,INDIRECT("'数据-取费表'!k"&amp;$G$1))),0)</f>
        <v>26543</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137682</v>
      </c>
      <c r="D5" s="254" t="s">
        <v>2337</v>
      </c>
      <c r="E5" s="255" t="s">
        <v>2338</v>
      </c>
      <c r="F5" s="255" t="s">
        <v>2339</v>
      </c>
      <c r="G5" s="256"/>
    </row>
    <row r="6" spans="1:9" s="257" customFormat="1" ht="13.5" customHeight="1">
      <c r="A6" s="951" t="s">
        <v>2340</v>
      </c>
      <c r="B6" s="258" t="s">
        <v>2341</v>
      </c>
      <c r="C6" s="259">
        <f ca="1">基准地价修正住宅!E29</f>
        <v>132504</v>
      </c>
      <c r="D6" s="260"/>
      <c r="E6" s="261"/>
      <c r="F6" s="261"/>
      <c r="G6" s="262"/>
    </row>
    <row r="7" spans="1:9" s="257" customFormat="1" ht="13.5" customHeight="1">
      <c r="A7" s="951" t="s">
        <v>2342</v>
      </c>
      <c r="B7" s="258" t="s">
        <v>2343</v>
      </c>
      <c r="C7" s="263">
        <f ca="1">ROUND(C6*F7,0)</f>
        <v>4041</v>
      </c>
      <c r="D7" s="263"/>
      <c r="E7" s="261"/>
      <c r="F7" s="264">
        <f>'数据-取费表'!B48+'数据-取费表'!B49</f>
        <v>3.0499999999999999E-2</v>
      </c>
      <c r="G7" s="262"/>
    </row>
    <row r="8" spans="1:9" s="266" customFormat="1">
      <c r="A8" s="951" t="s">
        <v>2344</v>
      </c>
      <c r="B8" s="258" t="s">
        <v>2345</v>
      </c>
      <c r="C8" s="263">
        <f ca="1">IF(G8="已包含在土地购买价格中","0",IF(B1="",'数据-取费表'!B29,IF(G9="全部缴纳",C9+C10,H9)))</f>
        <v>1137</v>
      </c>
      <c r="D8" s="265"/>
      <c r="E8" s="263"/>
      <c r="F8" s="264"/>
      <c r="G8" s="2556" t="s">
        <v>3083</v>
      </c>
    </row>
    <row r="9" spans="1:9" s="257" customFormat="1" ht="13.5" customHeight="1">
      <c r="A9" s="952" t="s">
        <v>800</v>
      </c>
      <c r="B9" s="267" t="s">
        <v>2346</v>
      </c>
      <c r="C9" s="268">
        <f ca="1">ROUND(D9*E9/10000,0)</f>
        <v>1137</v>
      </c>
      <c r="D9" s="1034">
        <f ca="1">IF(B1="",'数据-汇总表'!E5,IF(INDIRECT("'数据-取费表'!c"&amp;$G$1)="住宅",INDIRECT("'数据-取费表'!k"&amp;$G$1),0))</f>
        <v>71089.5</v>
      </c>
      <c r="E9" s="268">
        <f>'数据-取费表'!B27</f>
        <v>160</v>
      </c>
      <c r="F9" s="264"/>
      <c r="G9" s="2557" t="s">
        <v>3084</v>
      </c>
      <c r="H9" s="1392"/>
      <c r="I9" s="2558"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71089.5</v>
      </c>
      <c r="E19" s="254">
        <f>'数据-取费表'!B31</f>
        <v>200</v>
      </c>
      <c r="F19" s="274"/>
      <c r="G19" s="2556" t="s">
        <v>3085</v>
      </c>
    </row>
    <row r="20" spans="1:7" s="257" customFormat="1" ht="13.5" customHeight="1">
      <c r="A20" s="298" t="s">
        <v>2361</v>
      </c>
      <c r="B20" s="253" t="s">
        <v>2362</v>
      </c>
      <c r="C20" s="275">
        <f ca="1">ROUND((C5+C19)*F20,0)</f>
        <v>2754</v>
      </c>
      <c r="D20" s="275"/>
      <c r="E20" s="275"/>
      <c r="F20" s="276">
        <f>'数据-取费表'!B37</f>
        <v>0.02</v>
      </c>
      <c r="G20" s="277" t="s">
        <v>2363</v>
      </c>
    </row>
    <row r="21" spans="1:7" s="257" customFormat="1" ht="13.5" customHeight="1">
      <c r="A21" s="298" t="s">
        <v>2364</v>
      </c>
      <c r="B21" s="253" t="s">
        <v>2365</v>
      </c>
      <c r="C21" s="278">
        <f>F21</f>
        <v>0</v>
      </c>
      <c r="D21" s="279" t="s">
        <v>2366</v>
      </c>
      <c r="E21" s="275"/>
      <c r="F21" s="276">
        <f>'数据-取费表'!B38</f>
        <v>0</v>
      </c>
      <c r="G21" s="277" t="s">
        <v>2367</v>
      </c>
    </row>
    <row r="22" spans="1:7" s="257" customFormat="1" ht="13.5" customHeight="1">
      <c r="A22" s="298" t="s">
        <v>2368</v>
      </c>
      <c r="B22" s="253" t="s">
        <v>2369</v>
      </c>
      <c r="C22" s="1356">
        <f ca="1">ROUND(SUM(C23:C25),0)</f>
        <v>12815</v>
      </c>
      <c r="D22" s="278">
        <f ca="1">C26</f>
        <v>0</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12691</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124</v>
      </c>
      <c r="D25" s="281"/>
      <c r="E25" s="284"/>
      <c r="F25" s="282"/>
      <c r="G25" s="285" t="s">
        <v>2378</v>
      </c>
    </row>
    <row r="26" spans="1:7" s="257" customFormat="1">
      <c r="A26" s="953" t="s">
        <v>795</v>
      </c>
      <c r="B26" s="258" t="s">
        <v>2379</v>
      </c>
      <c r="C26" s="281">
        <f ca="1">ROUND(IF('数据-取费表'!B22&lt;=1,F21*F22*'数据-取费表'!B23/2,F21*(POWER((1+F22),'数据-取费表'!B23/2)-1)),4)</f>
        <v>0</v>
      </c>
      <c r="D26" s="281"/>
      <c r="E26" s="284"/>
      <c r="F26" s="282"/>
      <c r="G26" s="286"/>
    </row>
    <row r="27" spans="1:7" s="257" customFormat="1" ht="24.75">
      <c r="A27" s="298" t="s">
        <v>2380</v>
      </c>
      <c r="B27" s="287" t="s">
        <v>2381</v>
      </c>
      <c r="C27" s="288">
        <f ca="1">C28</f>
        <v>4002</v>
      </c>
      <c r="D27" s="278">
        <f ca="1">C29</f>
        <v>0</v>
      </c>
      <c r="E27" s="279" t="s">
        <v>2382</v>
      </c>
      <c r="F27" s="289">
        <f ca="1">IF(B1="",'数据-取费表'!Q16,INDIRECT("'数据-取费表'!q"&amp;$G$1))</f>
        <v>0.03</v>
      </c>
      <c r="G27" s="290" t="s">
        <v>2383</v>
      </c>
    </row>
    <row r="28" spans="1:7" s="257" customFormat="1" ht="13.5" customHeight="1">
      <c r="A28" s="953" t="s">
        <v>791</v>
      </c>
      <c r="B28" s="291" t="s">
        <v>2384</v>
      </c>
      <c r="C28" s="292">
        <f ca="1">ROUND((C5+C19+C20)*F27*'数据-取费表'!B21/'数据-取费表'!B20,0)</f>
        <v>4002</v>
      </c>
      <c r="D28" s="278"/>
      <c r="E28" s="279"/>
      <c r="F28" s="289"/>
      <c r="G28" s="290"/>
    </row>
    <row r="29" spans="1:7" s="257" customFormat="1" ht="13.5" customHeight="1">
      <c r="A29" s="953" t="s">
        <v>792</v>
      </c>
      <c r="B29" s="291" t="s">
        <v>2385</v>
      </c>
      <c r="C29" s="281">
        <f ca="1">ROUND(C21*F27*'数据-取费表'!B21/'数据-取费表'!B20,4)</f>
        <v>0</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166106</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19499</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16883</v>
      </c>
      <c r="D34" s="260"/>
      <c r="E34" s="263"/>
      <c r="F34" s="300">
        <f ca="1">IF('数据-取费表'!B24=0,1,IF(B1="",'数据-取费表'!N16,INDIRECT("'数据-取费表'!n"&amp;$G$1)))</f>
        <v>0.95</v>
      </c>
      <c r="G34" s="262" t="s">
        <v>2394</v>
      </c>
    </row>
    <row r="35" spans="1:7" ht="13.5" customHeight="1">
      <c r="A35" s="953" t="s">
        <v>796</v>
      </c>
      <c r="B35" s="258" t="s">
        <v>2395</v>
      </c>
      <c r="C35" s="263">
        <f ca="1">ROUND(C34*F35,0)</f>
        <v>506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506</v>
      </c>
      <c r="D36" s="263"/>
      <c r="E36" s="263"/>
      <c r="F36" s="302">
        <f>'数据-取费表'!B34</f>
        <v>0.03</v>
      </c>
      <c r="G36" s="303" t="s">
        <v>2398</v>
      </c>
    </row>
    <row r="37" spans="1:7" s="301" customFormat="1" ht="13.5" customHeight="1">
      <c r="A37" s="953" t="s">
        <v>798</v>
      </c>
      <c r="B37" s="258" t="s">
        <v>2399</v>
      </c>
      <c r="C37" s="292">
        <f ca="1">ROUND(E37*D37*F34/10000,0)</f>
        <v>1351</v>
      </c>
      <c r="D37" s="260">
        <f ca="1">D19</f>
        <v>71089.5</v>
      </c>
      <c r="E37" s="292">
        <f>'数据-取费表'!B35</f>
        <v>200</v>
      </c>
      <c r="F37" s="302"/>
      <c r="G37" s="304" t="s">
        <v>2400</v>
      </c>
    </row>
    <row r="38" spans="1:7" ht="13.5" customHeight="1">
      <c r="A38" s="953" t="s">
        <v>799</v>
      </c>
      <c r="B38" s="258" t="s">
        <v>2401</v>
      </c>
      <c r="C38" s="263">
        <f ca="1">ROUND(C34*F38,0)</f>
        <v>253</v>
      </c>
      <c r="D38" s="263"/>
      <c r="E38" s="263"/>
      <c r="F38" s="302">
        <f>'数据-取费表'!B36</f>
        <v>1.4999999999999999E-2</v>
      </c>
      <c r="G38" s="262" t="s">
        <v>2396</v>
      </c>
    </row>
    <row r="39" spans="1:7" s="257" customFormat="1" ht="13.5" customHeight="1">
      <c r="A39" s="298" t="s">
        <v>2402</v>
      </c>
      <c r="B39" s="253" t="s">
        <v>2403</v>
      </c>
      <c r="C39" s="275">
        <f ca="1">ROUND(C33*F20,0)</f>
        <v>390</v>
      </c>
      <c r="D39" s="275"/>
      <c r="E39" s="275"/>
      <c r="F39" s="276"/>
      <c r="G39" s="277" t="s">
        <v>2404</v>
      </c>
    </row>
    <row r="40" spans="1:7" s="257" customFormat="1" ht="13.5" customHeight="1">
      <c r="A40" s="298" t="s">
        <v>2405</v>
      </c>
      <c r="B40" s="253" t="s">
        <v>2406</v>
      </c>
      <c r="C40" s="1730">
        <f>F21</f>
        <v>0</v>
      </c>
      <c r="D40" s="279" t="s">
        <v>2407</v>
      </c>
      <c r="E40" s="275"/>
      <c r="F40" s="276"/>
      <c r="G40" s="277" t="s">
        <v>2408</v>
      </c>
    </row>
    <row r="41" spans="1:7" s="257" customFormat="1" ht="13.5" customHeight="1">
      <c r="A41" s="298" t="s">
        <v>2409</v>
      </c>
      <c r="B41" s="253" t="s">
        <v>2410</v>
      </c>
      <c r="C41" s="275">
        <f ca="1">ROUND(SUM(C42:C43),0)</f>
        <v>897</v>
      </c>
      <c r="D41" s="278">
        <f ca="1">C44</f>
        <v>0</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879</v>
      </c>
      <c r="D42" s="281"/>
      <c r="E42" s="281"/>
      <c r="F42" s="282"/>
      <c r="G42" s="3147" t="s">
        <v>2412</v>
      </c>
    </row>
    <row r="43" spans="1:7" ht="13.5" customHeight="1">
      <c r="A43" s="953" t="s">
        <v>792</v>
      </c>
      <c r="B43" s="258" t="s">
        <v>2413</v>
      </c>
      <c r="C43" s="281">
        <f ca="1">ROUND(IF('数据-取费表'!B22&lt;=1,C39*F22*'数据-取费表'!B21/2,C39*(POWER((1+F22),'数据-取费表'!B21/2)-1)),0)</f>
        <v>18</v>
      </c>
      <c r="D43" s="281"/>
      <c r="E43" s="281"/>
      <c r="F43" s="282"/>
      <c r="G43" s="3148"/>
    </row>
    <row r="44" spans="1:7" ht="13.5" customHeight="1">
      <c r="A44" s="953" t="s">
        <v>793</v>
      </c>
      <c r="B44" s="258" t="s">
        <v>2414</v>
      </c>
      <c r="C44" s="281">
        <f ca="1">ROUND(IF('数据-取费表'!B22&lt;=1,C40*F22*'数据-取费表'!B21/2,C40*(POWER((1+F22),'数据-取费表'!B21/2)-1)),4)</f>
        <v>0</v>
      </c>
      <c r="D44" s="281"/>
      <c r="E44" s="281"/>
      <c r="F44" s="282"/>
      <c r="G44" s="3149"/>
    </row>
    <row r="45" spans="1:7" s="257" customFormat="1" ht="13.5" customHeight="1">
      <c r="A45" s="298" t="s">
        <v>2415</v>
      </c>
      <c r="B45" s="287" t="s">
        <v>2381</v>
      </c>
      <c r="C45" s="288">
        <f ca="1">C46</f>
        <v>597</v>
      </c>
      <c r="D45" s="278">
        <f ca="1">C47</f>
        <v>0</v>
      </c>
      <c r="E45" s="279" t="s">
        <v>2407</v>
      </c>
      <c r="F45" s="289"/>
      <c r="G45" s="290" t="s">
        <v>2416</v>
      </c>
    </row>
    <row r="46" spans="1:7" s="257" customFormat="1" ht="13.5" customHeight="1">
      <c r="A46" s="953" t="s">
        <v>791</v>
      </c>
      <c r="B46" s="291" t="s">
        <v>2417</v>
      </c>
      <c r="C46" s="292">
        <f ca="1">ROUND((C33+C39)*F27,0)</f>
        <v>597</v>
      </c>
      <c r="D46" s="306"/>
      <c r="E46" s="279"/>
      <c r="F46" s="289"/>
      <c r="G46" s="290"/>
    </row>
    <row r="47" spans="1:7" s="257" customFormat="1" ht="13.5" customHeight="1">
      <c r="A47" s="953" t="s">
        <v>792</v>
      </c>
      <c r="B47" s="291" t="s">
        <v>2418</v>
      </c>
      <c r="C47" s="281">
        <f ca="1">ROUND(C40*F27,4)</f>
        <v>0</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22587</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22587</v>
      </c>
      <c r="D51" s="275"/>
      <c r="E51" s="275"/>
      <c r="F51" s="307"/>
      <c r="G51" s="277" t="s">
        <v>2428</v>
      </c>
    </row>
    <row r="52" spans="1:7" s="251" customFormat="1" ht="16.5" thickBot="1">
      <c r="A52" s="308" t="s">
        <v>2429</v>
      </c>
      <c r="B52" s="309"/>
      <c r="C52" s="310">
        <f ca="1">C31+C51</f>
        <v>188693</v>
      </c>
      <c r="D52" s="309"/>
      <c r="E52" s="309"/>
      <c r="F52" s="309"/>
      <c r="G52" s="311"/>
    </row>
    <row r="55" spans="1:7" ht="15">
      <c r="B55" s="313" t="s">
        <v>2430</v>
      </c>
      <c r="C55" s="314"/>
    </row>
    <row r="56" spans="1:7">
      <c r="B56" s="316" t="s">
        <v>1513</v>
      </c>
      <c r="C56" s="318">
        <f ca="1">1-C57</f>
        <v>0.88</v>
      </c>
    </row>
    <row r="57" spans="1:7">
      <c r="B57" s="316" t="s">
        <v>1514</v>
      </c>
      <c r="C57" s="317">
        <f ca="1">ROUND(C51/C52,3)</f>
        <v>0.12</v>
      </c>
    </row>
    <row r="58" spans="1:7">
      <c r="E58" s="315">
        <f ca="1">C51/D37*10000</f>
        <v>3177.2624649209797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北京市出让国有建设用地使用权及在建建筑物房地产抵押价值预评估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9" t="s">
        <v>2431</v>
      </c>
      <c r="D1" s="241"/>
      <c r="E1" s="241"/>
      <c r="F1" s="241"/>
      <c r="G1" s="1381">
        <f>MATCH(B1,'数据-取费表'!A6:A16,0)+5</f>
        <v>7</v>
      </c>
      <c r="H1" s="1284" t="str">
        <f>IF(ISERROR(FIND("住宅",B1)),"非住宅","住宅")</f>
        <v>非住宅</v>
      </c>
    </row>
    <row r="2" spans="1:8" s="243" customFormat="1" ht="18" customHeight="1">
      <c r="A2" s="244" t="s">
        <v>2330</v>
      </c>
      <c r="B2" s="245">
        <f ca="1">ROUND(IF(D2="——",C52/10000,C52/10000-E2),0)</f>
        <v>26936</v>
      </c>
      <c r="C2" s="242" t="s">
        <v>2331</v>
      </c>
      <c r="D2" s="2553" t="s">
        <v>70</v>
      </c>
      <c r="E2" s="1442" t="e">
        <f ca="1">SUMIF(INDIRECT("'"&amp;G2&amp;"'"&amp;"!A:A"),"承租人权益价值",INDIRECT("'"&amp;G2&amp;"'"&amp;"!c:c"))</f>
        <v>#REF!</v>
      </c>
      <c r="F2" s="2554" t="s">
        <v>2331</v>
      </c>
      <c r="G2" s="2555"/>
    </row>
    <row r="3" spans="1:8" s="243" customFormat="1" ht="18" customHeight="1" thickBot="1">
      <c r="A3" s="246" t="s">
        <v>2332</v>
      </c>
      <c r="B3" s="247">
        <f ca="1">ROUND(B2*10000/(IF(B1="",'数据-汇总表'!E3,INDIRECT("'数据-取费表'!k"&amp;$G$1))),0)</f>
        <v>3789</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11374320</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11374320</v>
      </c>
      <c r="D8" s="265"/>
      <c r="E8" s="263"/>
      <c r="F8" s="264"/>
      <c r="G8" s="2556"/>
    </row>
    <row r="9" spans="1:8" s="257" customFormat="1" ht="13.5" customHeight="1">
      <c r="A9" s="952" t="s">
        <v>800</v>
      </c>
      <c r="B9" s="267" t="s">
        <v>2346</v>
      </c>
      <c r="C9" s="268">
        <f ca="1">ROUND(D9*E9,0)</f>
        <v>11374320</v>
      </c>
      <c r="D9" s="1034">
        <f ca="1">IF(B1="",'数据-汇总表'!E5,IF(INDIRECT("'数据-取费表'!c"&amp;$G$1)="住宅",INDIRECT("'数据-取费表'!k"&amp;$G$1),0))</f>
        <v>71089.5</v>
      </c>
      <c r="E9" s="268">
        <f>'数据-取费表'!B27</f>
        <v>160</v>
      </c>
      <c r="F9" s="264"/>
      <c r="G9" s="269"/>
    </row>
    <row r="10" spans="1:8" s="257" customFormat="1" ht="13.5" customHeight="1">
      <c r="A10" s="952" t="s">
        <v>801</v>
      </c>
      <c r="B10" s="267" t="s">
        <v>2348</v>
      </c>
      <c r="C10" s="268">
        <f ca="1">ROUND(D10*E10,0)</f>
        <v>0</v>
      </c>
      <c r="D10" s="1034">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14217900</v>
      </c>
      <c r="D19" s="1038">
        <f ca="1">D9+D10</f>
        <v>71089.5</v>
      </c>
      <c r="E19" s="254">
        <f>'数据-取费表'!B31</f>
        <v>200</v>
      </c>
      <c r="F19" s="274"/>
      <c r="G19" s="2556"/>
    </row>
    <row r="20" spans="1:7" s="257" customFormat="1" ht="13.5" customHeight="1">
      <c r="A20" s="298" t="s">
        <v>2442</v>
      </c>
      <c r="B20" s="253" t="s">
        <v>2443</v>
      </c>
      <c r="C20" s="275">
        <f ca="1">ROUND((C5+C19)*F20,0)</f>
        <v>511844</v>
      </c>
      <c r="D20" s="275"/>
      <c r="E20" s="275"/>
      <c r="F20" s="276">
        <f>'数据-取费表'!B37</f>
        <v>0.02</v>
      </c>
      <c r="G20" s="277" t="s">
        <v>2444</v>
      </c>
    </row>
    <row r="21" spans="1:7" s="257" customFormat="1" ht="13.5" customHeight="1">
      <c r="A21" s="298" t="s">
        <v>2445</v>
      </c>
      <c r="B21" s="253" t="s">
        <v>2446</v>
      </c>
      <c r="C21" s="278">
        <f>F21</f>
        <v>0</v>
      </c>
      <c r="D21" s="279" t="s">
        <v>2447</v>
      </c>
      <c r="E21" s="275"/>
      <c r="F21" s="276">
        <f>'数据-取费表'!B38</f>
        <v>0</v>
      </c>
      <c r="G21" s="277" t="s">
        <v>2448</v>
      </c>
    </row>
    <row r="22" spans="1:7" s="257" customFormat="1" ht="13.5" customHeight="1">
      <c r="A22" s="298" t="s">
        <v>2449</v>
      </c>
      <c r="B22" s="253" t="s">
        <v>2450</v>
      </c>
      <c r="C22" s="1382">
        <f ca="1">ROUND(SUM(C23:C25),0)</f>
        <v>2513317</v>
      </c>
      <c r="D22" s="278">
        <f ca="1">C26</f>
        <v>0</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1106224</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1382780</v>
      </c>
      <c r="D24" s="281"/>
      <c r="E24" s="281"/>
      <c r="F24" s="282"/>
      <c r="G24" s="283" t="s">
        <v>2454</v>
      </c>
    </row>
    <row r="25" spans="1:7" s="257" customFormat="1" ht="24">
      <c r="A25" s="953" t="s">
        <v>2344</v>
      </c>
      <c r="B25" s="258" t="s">
        <v>2455</v>
      </c>
      <c r="C25" s="1383">
        <f ca="1">ROUND(IF('数据-取费表'!B22&lt;=1,C20*F22*'数据-取费表'!B22/2,C20*(POWER((1+F22),'数据-取费表'!B22/2)-1)),0)</f>
        <v>24313</v>
      </c>
      <c r="D25" s="281"/>
      <c r="E25" s="284"/>
      <c r="F25" s="282"/>
      <c r="G25" s="285" t="s">
        <v>2456</v>
      </c>
    </row>
    <row r="26" spans="1:7" s="257" customFormat="1">
      <c r="A26" s="953" t="s">
        <v>795</v>
      </c>
      <c r="B26" s="258" t="s">
        <v>2379</v>
      </c>
      <c r="C26" s="281">
        <f ca="1">ROUND(IF('数据-取费表'!B22&lt;=1,F21*F22*'数据-取费表'!B22/2,F21*(POWER((1+F22),'数据-取费表'!B22/2)-1)),4)</f>
        <v>0</v>
      </c>
      <c r="D26" s="281"/>
      <c r="E26" s="284"/>
      <c r="F26" s="282"/>
      <c r="G26" s="286"/>
    </row>
    <row r="27" spans="1:7" s="257" customFormat="1" ht="24.75">
      <c r="A27" s="298" t="s">
        <v>2380</v>
      </c>
      <c r="B27" s="287" t="s">
        <v>2381</v>
      </c>
      <c r="C27" s="288">
        <f ca="1">C28</f>
        <v>783122</v>
      </c>
      <c r="D27" s="278">
        <f ca="1">C29</f>
        <v>0</v>
      </c>
      <c r="E27" s="279" t="s">
        <v>2382</v>
      </c>
      <c r="F27" s="289">
        <f ca="1">IF(B1="",'数据-取费表'!Q16,INDIRECT("'数据-取费表'!q"&amp;$G$1))</f>
        <v>0.03</v>
      </c>
      <c r="G27" s="290" t="s">
        <v>2383</v>
      </c>
    </row>
    <row r="28" spans="1:7" s="257" customFormat="1" ht="13.5" customHeight="1">
      <c r="A28" s="953" t="s">
        <v>791</v>
      </c>
      <c r="B28" s="291" t="s">
        <v>2384</v>
      </c>
      <c r="C28" s="292">
        <f ca="1">ROUND((C5+C19+C20)*F27,0)</f>
        <v>783122</v>
      </c>
      <c r="D28" s="278"/>
      <c r="E28" s="279"/>
      <c r="F28" s="289"/>
      <c r="G28" s="290"/>
    </row>
    <row r="29" spans="1:7" s="257" customFormat="1" ht="13.5" customHeight="1">
      <c r="A29" s="953" t="s">
        <v>792</v>
      </c>
      <c r="B29" s="291" t="s">
        <v>2385</v>
      </c>
      <c r="C29" s="281">
        <f ca="1">ROUND(C21*F27,4)</f>
        <v>0</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31055776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205270932</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177723750</v>
      </c>
      <c r="D34" s="260"/>
      <c r="E34" s="263"/>
      <c r="F34" s="300"/>
      <c r="G34" s="262"/>
    </row>
    <row r="35" spans="1:7" ht="13.5" customHeight="1">
      <c r="A35" s="953" t="s">
        <v>796</v>
      </c>
      <c r="B35" s="258" t="s">
        <v>2395</v>
      </c>
      <c r="C35" s="263">
        <f ca="1">ROUND(C34*F35,0)</f>
        <v>5331713</v>
      </c>
      <c r="D35" s="263"/>
      <c r="E35" s="263"/>
      <c r="F35" s="302">
        <f>'数据-取费表'!B33</f>
        <v>0.03</v>
      </c>
      <c r="G35" s="262" t="s">
        <v>2396</v>
      </c>
    </row>
    <row r="36" spans="1:7" ht="24">
      <c r="A36" s="953" t="s">
        <v>797</v>
      </c>
      <c r="B36" s="258" t="s">
        <v>2397</v>
      </c>
      <c r="C36" s="263">
        <f ca="1">ROUND(IF(B1="",SUM('数据-取费表'!AP6:AP13)*F36,IF(INDIRECT("'数据-取费表'!c"&amp;$G$1)="住宅",INDIRECT("'数据-取费表'!k"&amp;$G$1)*INDIRECT("'数据-取费表'!l"&amp;$G$1)*F36,0)),0)</f>
        <v>5331713</v>
      </c>
      <c r="D36" s="263"/>
      <c r="E36" s="263"/>
      <c r="F36" s="302">
        <f>'数据-取费表'!B34</f>
        <v>0.03</v>
      </c>
      <c r="G36" s="303" t="s">
        <v>2398</v>
      </c>
    </row>
    <row r="37" spans="1:7" s="301" customFormat="1" ht="13.5" customHeight="1">
      <c r="A37" s="953" t="s">
        <v>798</v>
      </c>
      <c r="B37" s="258" t="s">
        <v>2399</v>
      </c>
      <c r="C37" s="292">
        <f ca="1">ROUND(E37*D37,0)</f>
        <v>14217900</v>
      </c>
      <c r="D37" s="260">
        <f ca="1">D19</f>
        <v>71089.5</v>
      </c>
      <c r="E37" s="292">
        <f>'数据-取费表'!B35</f>
        <v>200</v>
      </c>
      <c r="F37" s="302"/>
      <c r="G37" s="304"/>
    </row>
    <row r="38" spans="1:7" ht="13.5" customHeight="1">
      <c r="A38" s="953" t="s">
        <v>799</v>
      </c>
      <c r="B38" s="258" t="s">
        <v>2401</v>
      </c>
      <c r="C38" s="263">
        <f ca="1">ROUND(C34*F38,0)</f>
        <v>2665856</v>
      </c>
      <c r="D38" s="263"/>
      <c r="E38" s="263"/>
      <c r="F38" s="302">
        <f>'数据-取费表'!B36</f>
        <v>1.4999999999999999E-2</v>
      </c>
      <c r="G38" s="262" t="s">
        <v>2396</v>
      </c>
    </row>
    <row r="39" spans="1:7" s="257" customFormat="1" ht="13.5" customHeight="1">
      <c r="A39" s="298" t="s">
        <v>2402</v>
      </c>
      <c r="B39" s="253" t="s">
        <v>2403</v>
      </c>
      <c r="C39" s="275">
        <f ca="1">ROUND(C33*F20,0)</f>
        <v>4105419</v>
      </c>
      <c r="D39" s="275"/>
      <c r="E39" s="275"/>
      <c r="F39" s="276"/>
      <c r="G39" s="277" t="s">
        <v>2404</v>
      </c>
    </row>
    <row r="40" spans="1:7" s="257" customFormat="1" ht="13.5" customHeight="1">
      <c r="A40" s="298" t="s">
        <v>2405</v>
      </c>
      <c r="B40" s="253" t="s">
        <v>2406</v>
      </c>
      <c r="C40" s="1730">
        <f>F21</f>
        <v>0</v>
      </c>
      <c r="D40" s="279" t="s">
        <v>2407</v>
      </c>
      <c r="E40" s="275"/>
      <c r="F40" s="276"/>
      <c r="G40" s="277" t="s">
        <v>2408</v>
      </c>
    </row>
    <row r="41" spans="1:7" s="257" customFormat="1" ht="13.5" customHeight="1">
      <c r="A41" s="298" t="s">
        <v>2409</v>
      </c>
      <c r="B41" s="253" t="s">
        <v>2410</v>
      </c>
      <c r="C41" s="275">
        <f ca="1">ROUND(SUM(C42:C43),0)</f>
        <v>9945376</v>
      </c>
      <c r="D41" s="278">
        <f ca="1">C44</f>
        <v>0</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9750369</v>
      </c>
      <c r="D42" s="281"/>
      <c r="E42" s="281"/>
      <c r="F42" s="282"/>
      <c r="G42" s="3147" t="s">
        <v>2459</v>
      </c>
    </row>
    <row r="43" spans="1:7" ht="13.5" customHeight="1">
      <c r="A43" s="953" t="s">
        <v>792</v>
      </c>
      <c r="B43" s="258" t="s">
        <v>2413</v>
      </c>
      <c r="C43" s="281">
        <f ca="1">ROUND(IF('数据-取费表'!B22&lt;=1,C39*F22*'数据-取费表'!B20/2,C39*(POWER((1+F22),'数据-取费表'!B20/2)-1)),0)</f>
        <v>195007</v>
      </c>
      <c r="D43" s="281"/>
      <c r="E43" s="281"/>
      <c r="F43" s="282"/>
      <c r="G43" s="3148"/>
    </row>
    <row r="44" spans="1:7" ht="13.5" customHeight="1">
      <c r="A44" s="953" t="s">
        <v>793</v>
      </c>
      <c r="B44" s="258" t="s">
        <v>2414</v>
      </c>
      <c r="C44" s="281">
        <f ca="1">ROUND(IF('数据-取费表'!B22&lt;=1,C40*F22*'数据-取费表'!B20/2,C40*(POWER((1+F22),'数据-取费表'!B20/2)-1)),4)</f>
        <v>0</v>
      </c>
      <c r="D44" s="281"/>
      <c r="E44" s="281"/>
      <c r="F44" s="282"/>
      <c r="G44" s="3149"/>
    </row>
    <row r="45" spans="1:7" s="257" customFormat="1" ht="13.5" customHeight="1">
      <c r="A45" s="298" t="s">
        <v>2415</v>
      </c>
      <c r="B45" s="287" t="s">
        <v>2381</v>
      </c>
      <c r="C45" s="288">
        <f ca="1">C46</f>
        <v>6281291</v>
      </c>
      <c r="D45" s="278">
        <f ca="1">C47</f>
        <v>0</v>
      </c>
      <c r="E45" s="279" t="s">
        <v>2407</v>
      </c>
      <c r="F45" s="289"/>
      <c r="G45" s="290" t="s">
        <v>2416</v>
      </c>
    </row>
    <row r="46" spans="1:7" s="257" customFormat="1" ht="13.5" customHeight="1">
      <c r="A46" s="953" t="s">
        <v>791</v>
      </c>
      <c r="B46" s="291" t="s">
        <v>2417</v>
      </c>
      <c r="C46" s="292">
        <f ca="1">ROUND((C33+C39)*F27,0)</f>
        <v>6281291</v>
      </c>
      <c r="D46" s="306"/>
      <c r="E46" s="279"/>
      <c r="F46" s="289"/>
      <c r="G46" s="290"/>
    </row>
    <row r="47" spans="1:7" s="257" customFormat="1" ht="13.5" customHeight="1">
      <c r="A47" s="953" t="s">
        <v>792</v>
      </c>
      <c r="B47" s="291" t="s">
        <v>2418</v>
      </c>
      <c r="C47" s="281">
        <f ca="1">ROUND(C40*F27,4)</f>
        <v>0</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238304656</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238304656</v>
      </c>
      <c r="D51" s="275"/>
      <c r="E51" s="275"/>
      <c r="F51" s="307"/>
      <c r="G51" s="277" t="s">
        <v>2428</v>
      </c>
    </row>
    <row r="52" spans="1:7" s="251" customFormat="1" ht="16.5" thickBot="1">
      <c r="A52" s="308" t="s">
        <v>2429</v>
      </c>
      <c r="B52" s="309"/>
      <c r="C52" s="310">
        <f ca="1">C31+C51</f>
        <v>269360432</v>
      </c>
      <c r="D52" s="309"/>
      <c r="E52" s="309"/>
      <c r="F52" s="309"/>
      <c r="G52" s="311"/>
    </row>
    <row r="55" spans="1:7" ht="15">
      <c r="B55" s="313" t="s">
        <v>2430</v>
      </c>
      <c r="C55" s="314"/>
    </row>
    <row r="56" spans="1:7">
      <c r="B56" s="316" t="s">
        <v>1513</v>
      </c>
      <c r="C56" s="318">
        <f ca="1">1-C57</f>
        <v>0.11499999999999999</v>
      </c>
    </row>
    <row r="57" spans="1:7">
      <c r="B57" s="316" t="s">
        <v>1514</v>
      </c>
      <c r="C57" s="317">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G79" sqref="G7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2804</v>
      </c>
      <c r="B1" s="240"/>
      <c r="C1" s="244" t="s">
        <v>2805</v>
      </c>
      <c r="D1" s="387">
        <f>SUM(D29:D30,D33:D39)</f>
        <v>71089.5</v>
      </c>
      <c r="E1" s="2723"/>
      <c r="F1" s="2723"/>
      <c r="G1" s="2723"/>
      <c r="H1" s="2723"/>
      <c r="I1" s="2723"/>
      <c r="J1" s="2723"/>
      <c r="K1" s="1372"/>
      <c r="L1" s="2724" t="s">
        <v>2806</v>
      </c>
      <c r="M1" s="1082">
        <f>SUMPRODUCT((区片价!B5:B9=I2)*(区片价!C3:F3=E2)*(区片价!C5:F9))</f>
        <v>0</v>
      </c>
      <c r="N1" s="1085">
        <f>SUMPRODUCT((因素修正幅度!B5:B9=I2)*(因素修正幅度!C3:F3=E2)*(因素修正幅度!C5:F9))</f>
        <v>0</v>
      </c>
      <c r="O1" s="2725"/>
      <c r="P1" s="2725"/>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f ca="1">C26</f>
        <v>132504</v>
      </c>
      <c r="C2" s="2727" t="s">
        <v>2813</v>
      </c>
      <c r="D2" s="2728" t="s">
        <v>2814</v>
      </c>
      <c r="E2" s="2729" t="s">
        <v>3054</v>
      </c>
      <c r="F2" s="2728" t="s">
        <v>2815</v>
      </c>
      <c r="G2" s="2730" t="str">
        <f>IF(E2="商业",项目基本情况!B37,IF(E2="办公",项目基本情况!C37,IF(E2="住宅",项目基本情况!D37,项目基本情况!E37)))</f>
        <v>六级</v>
      </c>
      <c r="H2" s="2728" t="s">
        <v>2816</v>
      </c>
      <c r="I2" s="2730" t="str">
        <f>IF(E2="商业",项目基本情况!B38,IF(E2="办公",项目基本情况!C38,IF(E2="住宅",项目基本情况!D38,项目基本情况!E38)))</f>
        <v>Ⅵ-20</v>
      </c>
      <c r="J2" s="2731"/>
      <c r="K2" s="1372"/>
      <c r="L2" s="2732"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38048</v>
      </c>
      <c r="U2" s="1605"/>
      <c r="V2" s="1604">
        <f ca="1">ROUND(T2*U2/10000,0)</f>
        <v>0</v>
      </c>
      <c r="W2" s="1608"/>
      <c r="X2" s="1608"/>
      <c r="Y2" s="1608"/>
      <c r="Z2" s="1608"/>
      <c r="AA2" s="1608"/>
      <c r="AB2" s="1608"/>
      <c r="AC2" s="1609"/>
      <c r="AD2" s="1610"/>
      <c r="AE2" s="1610"/>
      <c r="AF2" s="1610"/>
      <c r="AG2" s="1610"/>
      <c r="AH2" s="1610"/>
      <c r="AI2" s="1610"/>
      <c r="AJ2" s="1611"/>
    </row>
    <row r="3" spans="1:36" ht="25.5">
      <c r="A3" s="246" t="s">
        <v>2818</v>
      </c>
      <c r="B3" s="247">
        <f ca="1">ROUND(B2*10000/D1,0)</f>
        <v>18639</v>
      </c>
      <c r="C3" s="2727" t="s">
        <v>2819</v>
      </c>
      <c r="D3" s="2728" t="s">
        <v>2820</v>
      </c>
      <c r="E3" s="2733" t="s">
        <v>3074</v>
      </c>
      <c r="F3" s="2734" t="s">
        <v>2821</v>
      </c>
      <c r="G3" s="915">
        <f>IF(F3="宗地容积率",'数据-汇总表'!I4,IF(F3="估价对象容积率",'数据-汇总表'!I6,'数据-汇总表'!I7))</f>
        <v>3.58</v>
      </c>
      <c r="H3" s="198" t="s">
        <v>2822</v>
      </c>
      <c r="I3" s="946"/>
      <c r="J3" s="2731" t="s">
        <v>2823</v>
      </c>
      <c r="K3" s="1372"/>
      <c r="L3" s="2732" t="s">
        <v>2824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27311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3"/>
      <c r="B4" s="3154"/>
      <c r="C4" s="3154"/>
      <c r="D4" s="3155"/>
      <c r="E4" s="3155"/>
      <c r="F4" s="3155"/>
      <c r="G4" s="3155"/>
      <c r="H4" s="3155"/>
      <c r="I4" s="3155"/>
      <c r="J4" s="3156"/>
      <c r="K4" s="1372"/>
      <c r="L4" s="2732" t="s">
        <v>2825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22034</v>
      </c>
      <c r="U4" s="1605"/>
      <c r="V4" s="1604">
        <f t="shared" ca="1" si="1"/>
        <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6">
        <f>ROUND(IF(E2="商业",IF(F16="增加",C6*C7+C16,C6*C7-C16),IF(E2="住宅",IF(F16="增加",C6*C12+C16,C6*C12-C16),IF(F16="增加",C6+C16,C6-C16))),0)</f>
        <v>12802</v>
      </c>
      <c r="D5" s="1789">
        <f>ROUND(IF(E2="商业",IF(F16="增加",C6+C16,C6-C16)),0)</f>
        <v>0</v>
      </c>
      <c r="E5" s="2737"/>
      <c r="F5" s="2737"/>
      <c r="G5" s="2738"/>
      <c r="H5" s="2738"/>
      <c r="I5" s="2738"/>
      <c r="J5" s="2739"/>
      <c r="K5" s="2740"/>
      <c r="L5" s="2732" t="s">
        <v>2827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17679</v>
      </c>
      <c r="U5" s="1605"/>
      <c r="V5" s="1604">
        <f t="shared" ca="1" si="1"/>
        <v>0</v>
      </c>
      <c r="W5" s="1608"/>
      <c r="X5" s="1608"/>
      <c r="Y5" s="1608"/>
      <c r="Z5" s="1608"/>
      <c r="AA5" s="1608"/>
      <c r="AB5" s="1608"/>
      <c r="AC5" s="2741"/>
      <c r="AD5" s="2742"/>
      <c r="AE5" s="2742"/>
      <c r="AF5" s="2742"/>
      <c r="AG5" s="2742"/>
      <c r="AH5" s="2742"/>
      <c r="AI5" s="2742"/>
      <c r="AJ5" s="2743"/>
    </row>
    <row r="6" spans="1:36" ht="15.75" thickBot="1">
      <c r="A6" s="2745" t="s">
        <v>2828</v>
      </c>
      <c r="B6" s="2746" t="s">
        <v>2829</v>
      </c>
      <c r="C6" s="917">
        <f>SUMIF(L1:L12,G2,M1:M12)</f>
        <v>10580</v>
      </c>
      <c r="D6" s="2747" t="s">
        <v>2830</v>
      </c>
      <c r="E6" s="2748"/>
      <c r="F6" s="2748"/>
      <c r="G6" s="2749"/>
      <c r="H6" s="2749"/>
      <c r="I6" s="2749"/>
      <c r="J6" s="2750"/>
      <c r="K6" s="1844"/>
      <c r="L6" s="2732" t="s">
        <v>2831</v>
      </c>
      <c r="M6" s="1083">
        <f>SUMPRODUCT((区片价!B110:B157=I2)*(区片价!C3:F3=E2)*(区片价!C110:F157))</f>
        <v>10580</v>
      </c>
      <c r="N6" s="1085">
        <f>SUMPRODUCT((因素修正幅度!B110:B157=I2)*(因素修正幅度!C3:F3=E2)*(因素修正幅度!C110:F157))</f>
        <v>0.126</v>
      </c>
      <c r="O6" s="1372"/>
      <c r="P6" s="1372"/>
      <c r="Q6" s="1372"/>
      <c r="R6" s="1604">
        <v>5</v>
      </c>
      <c r="S6" s="1604">
        <f>ROUND(IF(G3&gt;1,IF(R6&lt;7,SUMPRODUCT((B93:B98=R6)*(C92:N92=G2)*(C93:N98)),SUMIF(C92:N92,G2,C100:N100)),IF(R6&lt;7,SUMPRODUCT((B102:B107=R6)*(C92:N92=G2)*(C102:N107)),SUMIF(C92:N92,G2,C109:N109))),4)</f>
        <v>0.73709999999999998</v>
      </c>
      <c r="T6" s="1604">
        <f t="shared" ca="1" si="0"/>
        <v>15055</v>
      </c>
      <c r="U6" s="1605"/>
      <c r="V6" s="1604">
        <f t="shared" ca="1" si="1"/>
        <v>0</v>
      </c>
      <c r="W6" s="1608"/>
      <c r="X6" s="1608"/>
      <c r="Y6" s="1608"/>
      <c r="Z6" s="1608"/>
      <c r="AA6" s="1608"/>
      <c r="AB6" s="1608"/>
      <c r="AC6" s="2741"/>
      <c r="AD6" s="2742"/>
      <c r="AE6" s="2742"/>
      <c r="AF6" s="2742"/>
      <c r="AG6" s="2742"/>
      <c r="AH6" s="2742"/>
      <c r="AI6" s="2742"/>
      <c r="AJ6" s="2743"/>
    </row>
    <row r="7" spans="1:36" ht="24">
      <c r="A7" s="3157" t="str">
        <f>IF(E2="商业",IF(C8="不临58条商业街","",2),"")</f>
        <v/>
      </c>
      <c r="B7" s="2751" t="s">
        <v>2832</v>
      </c>
      <c r="C7" s="918">
        <f>IF(C8="不临58条商业街",1,ROUND(1+(1.6*E8+1.2*E9+0.8*E10+0.4*E11)*C9,4))</f>
        <v>1</v>
      </c>
      <c r="D7" s="2752" t="s">
        <v>2833</v>
      </c>
      <c r="E7" s="947"/>
      <c r="F7" s="2753"/>
      <c r="G7" s="2754"/>
      <c r="H7" s="2754"/>
      <c r="I7" s="2754"/>
      <c r="J7" s="2755"/>
      <c r="K7" s="1844"/>
      <c r="L7" s="2732" t="s">
        <v>2834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13239</v>
      </c>
      <c r="U7" s="1605"/>
      <c r="V7" s="1604">
        <f t="shared" ca="1" si="1"/>
        <v>0</v>
      </c>
      <c r="W7" s="1818" t="s">
        <v>2835</v>
      </c>
      <c r="X7" s="1606" t="str">
        <f>G2</f>
        <v>六级</v>
      </c>
      <c r="Y7" s="1606" t="s">
        <v>2836</v>
      </c>
      <c r="Z7" s="1607">
        <f>G3</f>
        <v>3.58</v>
      </c>
      <c r="AA7" s="1608"/>
      <c r="AB7" s="1608"/>
      <c r="AC7" s="1609"/>
      <c r="AD7" s="1610"/>
      <c r="AE7" s="1610"/>
      <c r="AF7" s="1610"/>
      <c r="AG7" s="1610"/>
      <c r="AH7" s="1610"/>
      <c r="AI7" s="1610"/>
      <c r="AJ7" s="1611"/>
    </row>
    <row r="8" spans="1:36" ht="25.5">
      <c r="A8" s="3158"/>
      <c r="B8" s="198" t="s">
        <v>2837</v>
      </c>
      <c r="C8" s="2756" t="s">
        <v>3075</v>
      </c>
      <c r="D8" s="919" t="s">
        <v>139</v>
      </c>
      <c r="E8" s="920" t="e">
        <f>ROUND(C11/E7,4)</f>
        <v>#DIV/0!</v>
      </c>
      <c r="F8" s="2757" t="s">
        <v>2838</v>
      </c>
      <c r="G8" s="2758"/>
      <c r="H8" s="2758"/>
      <c r="I8" s="2758"/>
      <c r="J8" s="2759"/>
      <c r="K8" s="1372"/>
      <c r="L8" s="2732" t="s">
        <v>2839</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0" t="s">
        <v>2840</v>
      </c>
      <c r="X8" s="3151"/>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8"/>
      <c r="B9" s="198" t="s">
        <v>2853</v>
      </c>
      <c r="C9" s="921">
        <f>SUMIF(修正!C59:C119,C8,修正!E59:E119)</f>
        <v>0</v>
      </c>
      <c r="D9" s="200" t="s">
        <v>140</v>
      </c>
      <c r="E9" s="200" t="e">
        <f>ROUND(C11/E7,4)</f>
        <v>#DIV/0!</v>
      </c>
      <c r="F9" s="2757" t="s">
        <v>2854</v>
      </c>
      <c r="G9" s="2758"/>
      <c r="H9" s="2758"/>
      <c r="I9" s="2758"/>
      <c r="J9" s="2759"/>
      <c r="K9" s="1372"/>
      <c r="L9" s="2732" t="s">
        <v>2855</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52"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8"/>
      <c r="B10" s="198" t="s">
        <v>2858</v>
      </c>
      <c r="C10" s="200">
        <f>SUMIF(修正!C59:C119,C8,修正!F59:F119)</f>
        <v>0</v>
      </c>
      <c r="D10" s="200" t="s">
        <v>141</v>
      </c>
      <c r="E10" s="200" t="e">
        <f>ROUND(C11/E7,4)</f>
        <v>#DIV/0!</v>
      </c>
      <c r="F10" s="2757" t="s">
        <v>2859</v>
      </c>
      <c r="G10" s="2758"/>
      <c r="H10" s="2758"/>
      <c r="I10" s="2758"/>
      <c r="J10" s="2759"/>
      <c r="K10" s="1372"/>
      <c r="L10" s="2732" t="s">
        <v>2860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8"/>
      <c r="B11" s="2760" t="s">
        <v>2861</v>
      </c>
      <c r="C11" s="922">
        <f>C10/4</f>
        <v>0</v>
      </c>
      <c r="D11" s="922" t="s">
        <v>142</v>
      </c>
      <c r="E11" s="922" t="e">
        <f>ROUND(C11/E7,4)</f>
        <v>#DIV/0!</v>
      </c>
      <c r="F11" s="2761" t="s">
        <v>2862</v>
      </c>
      <c r="G11" s="2762"/>
      <c r="H11" s="2762"/>
      <c r="I11" s="2762"/>
      <c r="J11" s="2763"/>
      <c r="K11" s="1372"/>
      <c r="L11" s="2732" t="s">
        <v>2863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52" t="s">
        <v>2864</v>
      </c>
      <c r="X11" s="1616" t="s">
        <v>2865</v>
      </c>
      <c r="Y11" s="1617">
        <f>$G$3</f>
        <v>3.58</v>
      </c>
      <c r="Z11" s="1617">
        <f t="shared" ref="Z11:AJ11" si="3">$G$3</f>
        <v>3.58</v>
      </c>
      <c r="AA11" s="1617">
        <f t="shared" si="3"/>
        <v>3.58</v>
      </c>
      <c r="AB11" s="1617">
        <f t="shared" si="3"/>
        <v>3.58</v>
      </c>
      <c r="AC11" s="1617">
        <f t="shared" si="3"/>
        <v>3.58</v>
      </c>
      <c r="AD11" s="1617">
        <f t="shared" si="3"/>
        <v>3.58</v>
      </c>
      <c r="AE11" s="1617">
        <f t="shared" si="3"/>
        <v>3.58</v>
      </c>
      <c r="AF11" s="1617">
        <f t="shared" si="3"/>
        <v>3.58</v>
      </c>
      <c r="AG11" s="1617">
        <f t="shared" si="3"/>
        <v>3.58</v>
      </c>
      <c r="AH11" s="1617">
        <f t="shared" si="3"/>
        <v>3.58</v>
      </c>
      <c r="AI11" s="1617">
        <f t="shared" si="3"/>
        <v>3.58</v>
      </c>
      <c r="AJ11" s="1617">
        <f t="shared" si="3"/>
        <v>3.58</v>
      </c>
    </row>
    <row r="12" spans="1:36" ht="25.5" thickBot="1">
      <c r="A12" s="3157" t="s">
        <v>2866</v>
      </c>
      <c r="B12" s="2764" t="s">
        <v>2867</v>
      </c>
      <c r="C12" s="918">
        <f>ROUND(C15*D15*E15*F15*G15*H15*I15*J15,4)</f>
        <v>1.21</v>
      </c>
      <c r="D12" s="2765" t="s">
        <v>2868</v>
      </c>
      <c r="E12" s="2766"/>
      <c r="F12" s="2766"/>
      <c r="G12" s="2767"/>
      <c r="H12" s="2767"/>
      <c r="I12" s="2767"/>
      <c r="J12" s="2768"/>
      <c r="K12" s="1372"/>
      <c r="L12" s="2769" t="s">
        <v>2869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52"/>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9"/>
      <c r="B13" s="2770" t="s">
        <v>2871</v>
      </c>
      <c r="C13" s="2771" t="s">
        <v>2872</v>
      </c>
      <c r="D13" s="1810" t="s">
        <v>2873</v>
      </c>
      <c r="E13" s="1810" t="s">
        <v>2874</v>
      </c>
      <c r="F13" s="30" t="s">
        <v>2875</v>
      </c>
      <c r="G13" s="2772" t="s">
        <v>2876</v>
      </c>
      <c r="H13" s="2772" t="s">
        <v>2876</v>
      </c>
      <c r="I13" s="2772" t="s">
        <v>2876</v>
      </c>
      <c r="J13" s="2773" t="s">
        <v>2876</v>
      </c>
      <c r="K13" s="1372"/>
      <c r="L13" s="1372"/>
      <c r="M13" s="1372"/>
      <c r="N13" s="1372"/>
      <c r="O13" s="1372"/>
      <c r="P13" s="1372"/>
      <c r="Q13" s="1372"/>
      <c r="R13" s="1604">
        <v>12</v>
      </c>
      <c r="S13" s="1605"/>
      <c r="T13" s="1604">
        <f t="shared" ca="1" si="0"/>
        <v>0</v>
      </c>
      <c r="U13" s="1605"/>
      <c r="V13" s="1604">
        <f t="shared" ca="1" si="1"/>
        <v>0</v>
      </c>
      <c r="W13" s="3152"/>
      <c r="X13" s="1618"/>
      <c r="Y13" s="1615">
        <f>(-0.163*(Y12^2)-0.59*Y12+7617)*(10^(-4))/Y11</f>
        <v>0.21276536312849162</v>
      </c>
      <c r="Z13" s="1615">
        <f t="shared" ref="Z13:AJ13" si="5">(-0.163*(Z12^2)-0.59*Z12+7617)*(10^(-4))/Z11</f>
        <v>0.21276536312849162</v>
      </c>
      <c r="AA13" s="1615">
        <f t="shared" si="5"/>
        <v>0.21276536312849162</v>
      </c>
      <c r="AB13" s="1615">
        <f t="shared" si="5"/>
        <v>0.21276536312849162</v>
      </c>
      <c r="AC13" s="1615">
        <f t="shared" si="5"/>
        <v>0.21276536312849162</v>
      </c>
      <c r="AD13" s="1615">
        <f t="shared" si="5"/>
        <v>0.21276536312849162</v>
      </c>
      <c r="AE13" s="1615">
        <f t="shared" si="5"/>
        <v>0.21276536312849162</v>
      </c>
      <c r="AF13" s="1615">
        <f t="shared" si="5"/>
        <v>0.21276536312849162</v>
      </c>
      <c r="AG13" s="1615">
        <f t="shared" si="5"/>
        <v>0.21276536312849162</v>
      </c>
      <c r="AH13" s="1615">
        <f t="shared" si="5"/>
        <v>0.21276536312849162</v>
      </c>
      <c r="AI13" s="1615">
        <f t="shared" si="5"/>
        <v>0.21276536312849162</v>
      </c>
      <c r="AJ13" s="1615">
        <f t="shared" si="5"/>
        <v>0.21276536312849162</v>
      </c>
    </row>
    <row r="14" spans="1:36" ht="15">
      <c r="A14" s="3159"/>
      <c r="B14" s="2774"/>
      <c r="C14" s="2775" t="s">
        <v>3077</v>
      </c>
      <c r="D14" s="2776" t="s">
        <v>3076</v>
      </c>
      <c r="E14" s="2776" t="s">
        <v>3077</v>
      </c>
      <c r="F14" s="2777" t="s">
        <v>3078</v>
      </c>
      <c r="G14" s="2778" t="s">
        <v>2877</v>
      </c>
      <c r="H14" s="2779"/>
      <c r="I14" s="2780"/>
      <c r="J14" s="2781"/>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0"/>
      <c r="B15" s="2782" t="s">
        <v>2878</v>
      </c>
      <c r="C15" s="228">
        <f>IF(C14="有",1.1,1)</f>
        <v>1</v>
      </c>
      <c r="D15" s="228">
        <f>IF(D14="有",1.1,1)</f>
        <v>1.1000000000000001</v>
      </c>
      <c r="E15" s="228">
        <f>IF(E14="有",1.1,1)</f>
        <v>1</v>
      </c>
      <c r="F15" s="228">
        <f>IF(F14="500米范围内",1.2,IF(F14="500-1000米",1.1,1))</f>
        <v>1.1000000000000001</v>
      </c>
      <c r="G15" s="948">
        <v>1</v>
      </c>
      <c r="H15" s="948">
        <v>1</v>
      </c>
      <c r="I15" s="948">
        <v>1</v>
      </c>
      <c r="J15" s="949">
        <v>1</v>
      </c>
      <c r="K15" s="1372"/>
      <c r="L15" s="2783" t="s">
        <v>2814</v>
      </c>
      <c r="M15" s="919" t="s">
        <v>2879</v>
      </c>
      <c r="N15" s="919" t="s">
        <v>2880</v>
      </c>
      <c r="O15" s="919" t="s">
        <v>2881</v>
      </c>
      <c r="P15" s="2784" t="s">
        <v>2882</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7" t="s">
        <v>2883</v>
      </c>
      <c r="B16" s="2751" t="s">
        <v>2884</v>
      </c>
      <c r="C16" s="1803">
        <f>ROUND(SUM(G17:J17)/C17,0)</f>
        <v>0</v>
      </c>
      <c r="D16" s="2785" t="s">
        <v>2885</v>
      </c>
      <c r="E16" s="2786" t="s">
        <v>3079</v>
      </c>
      <c r="F16" s="2787" t="s">
        <v>3080</v>
      </c>
      <c r="G16" s="2788"/>
      <c r="H16" s="2788"/>
      <c r="I16" s="2788"/>
      <c r="J16" s="2789"/>
      <c r="K16" s="1372"/>
      <c r="L16" s="2790" t="s">
        <v>2886</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8"/>
      <c r="B17" s="2791" t="s">
        <v>2887</v>
      </c>
      <c r="C17" s="923">
        <f>SUMPRODUCT((修正!A2:A5=E2)*(修正!B1:M1=G2)*(修正!B2:M5))</f>
        <v>2.5</v>
      </c>
      <c r="D17" s="2792"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2891</v>
      </c>
      <c r="C18" s="925">
        <f>SUMIF(修正!C18:C39,E3,修正!E18:E39)</f>
        <v>1</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9.25" thickBot="1">
      <c r="A19" s="2795" t="s">
        <v>809</v>
      </c>
      <c r="B19" s="2796" t="s">
        <v>2892</v>
      </c>
      <c r="C19" s="926">
        <f>ROUND(IF(H19="按公示增长率计算",SUMPRODUCT((地价!A3:A23=YEAR(G19)&amp;"-"&amp;ROUNDUP(MONTH(G19)/3,0))*(地价!X2:AB2=E2)*(地价!X3:AB23)),IF(H19="地价指数",M20/M19,(1+I19)^O19)),4)</f>
        <v>1.5306999999999999</v>
      </c>
      <c r="D19" s="2803" t="s">
        <v>2893</v>
      </c>
      <c r="E19" s="927">
        <v>41640</v>
      </c>
      <c r="F19" s="2803" t="s">
        <v>2894</v>
      </c>
      <c r="G19" s="928">
        <f>'数据-取费表'!B2</f>
        <v>43312</v>
      </c>
      <c r="H19" s="2804" t="s">
        <v>3081</v>
      </c>
      <c r="I19" s="929" t="str">
        <f>IF(H19="季度增幅（自定义）",SUMIF(N21:N24,E2,O21:O24),"")</f>
        <v/>
      </c>
      <c r="J19" s="2801"/>
      <c r="K19" s="1379"/>
      <c r="L19" s="2805" t="s">
        <v>2895</v>
      </c>
      <c r="M19" s="1736">
        <f>ROUND(SUMIF(地价!B2:F2,E2,地价!B23:F23),0)</f>
        <v>423</v>
      </c>
      <c r="N19" s="2806"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2897</v>
      </c>
      <c r="C20" s="931">
        <f ca="1">ROUND(POWER(1+G20,J20-I20)*(POWER(1+G20,I20)-1)/(POWER(1+G20,J20)-1),4)</f>
        <v>0.98540000000000005</v>
      </c>
      <c r="D20" s="2812" t="s">
        <v>2898</v>
      </c>
      <c r="E20" s="1770">
        <f ca="1">存贷款利率!D4/100</f>
        <v>4.3499999999999997E-2</v>
      </c>
      <c r="F20" s="2812" t="s">
        <v>2890</v>
      </c>
      <c r="G20" s="936">
        <f ca="1">SUMIF(M15:P15,E2,M17:P17)</f>
        <v>0.05</v>
      </c>
      <c r="H20" s="2812" t="s">
        <v>2899</v>
      </c>
      <c r="I20" s="937">
        <f>SUMIF('数据-取费表'!C6:C15,E2,'数据-取费表'!F6:F15)/COUNTIF('数据-取费表'!C6:C15,E2)</f>
        <v>62.69</v>
      </c>
      <c r="J20" s="938">
        <f>IF(E2="住宅",70,IF(E2="商业",40,50))</f>
        <v>70</v>
      </c>
      <c r="K20" s="1379"/>
      <c r="L20" s="2813" t="s">
        <v>2900</v>
      </c>
      <c r="M20" s="1737">
        <f>ROUND(SUMPRODUCT((地价!A4:A23=YEAR(G19)&amp;"-"&amp;ROUNDUP(MONTH(G19)/3,0))*(地价!B2:F2=E2)*(地价!B4:F23)),0)</f>
        <v>647</v>
      </c>
      <c r="N20" s="2814" t="s">
        <v>2901</v>
      </c>
      <c r="O20" s="2815" t="s">
        <v>2902</v>
      </c>
      <c r="P20" s="2816" t="s">
        <v>2903</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3082</v>
      </c>
      <c r="C21" s="939">
        <f>IF(B21="容积率修正",IF(G3&lt;=10,D22,J22),C23)</f>
        <v>0.91259999999999997</v>
      </c>
      <c r="D21" s="2819"/>
      <c r="E21" s="2819"/>
      <c r="F21" s="2819"/>
      <c r="G21" s="2819"/>
      <c r="H21" s="2819"/>
      <c r="I21" s="2819"/>
      <c r="J21" s="2820"/>
      <c r="K21" s="1379"/>
      <c r="N21" s="2821" t="s">
        <v>2904</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2905</v>
      </c>
      <c r="B22" s="2822" t="s">
        <v>2906</v>
      </c>
      <c r="C22" s="1812" t="s">
        <v>2907</v>
      </c>
      <c r="D22" s="1812">
        <f>IF(E22=G22,F22,IF(G3&lt;=10,ROUND(F22+(H22-F22)*(G3-E22)/(G22-E22),4),"——"))</f>
        <v>0.91259999999999997</v>
      </c>
      <c r="E22" s="915">
        <f>ROUNDDOWN(G3,1)</f>
        <v>3.5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0.91749999999999998</v>
      </c>
      <c r="G22" s="915">
        <f>ROUNDUP(G3,1)</f>
        <v>3.6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0.91139999999999999</v>
      </c>
      <c r="I22" s="1812" t="s">
        <v>155</v>
      </c>
      <c r="J22" s="940" t="str">
        <f>IF(G3&gt;10,D113,"——")</f>
        <v>——</v>
      </c>
      <c r="K22" s="1379"/>
      <c r="N22" s="2821" t="s">
        <v>2908</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2909</v>
      </c>
      <c r="B23" s="2823" t="s">
        <v>2910</v>
      </c>
      <c r="C23" s="1015">
        <f>ROUND(IF(G3&gt;1,IF(I3&lt;7,SUMPRODUCT((B93:B98=I3)*(C92:N92=G2)*(C93:N98)),SUMIF(C92:N92,G2,C100:N100)),IF(I3&lt;7,SUMPRODUCT((B102:B107=I3)*(C92:N92=G2)*(C102:N107)),SUMIF(C92:N92,G2,C109:N109))),4)</f>
        <v>0</v>
      </c>
      <c r="D23" s="2779"/>
      <c r="E23" s="2779"/>
      <c r="F23" s="2824"/>
      <c r="G23" s="2825"/>
      <c r="H23" s="2826"/>
      <c r="I23" s="2827"/>
      <c r="J23" s="2828"/>
      <c r="K23" s="1372"/>
      <c r="N23" s="2821" t="s">
        <v>2911</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2912</v>
      </c>
      <c r="C24" s="926">
        <f>SUMIF(A45:A88,E2,B45:B88)</f>
        <v>1.0577000000000001</v>
      </c>
      <c r="D24" s="2799"/>
      <c r="E24" s="2829"/>
      <c r="F24" s="2829"/>
      <c r="G24" s="2829"/>
      <c r="H24" s="2829"/>
      <c r="I24" s="2829"/>
      <c r="J24" s="2830"/>
      <c r="K24" s="1379"/>
      <c r="N24" s="2831" t="s">
        <v>2913</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2914</v>
      </c>
      <c r="C25" s="932"/>
      <c r="D25" s="2754"/>
      <c r="E25" s="2754"/>
      <c r="F25" s="2833"/>
      <c r="G25" s="2754"/>
      <c r="H25" s="2754"/>
      <c r="I25" s="2754"/>
      <c r="J25" s="2755"/>
      <c r="K25" s="1372"/>
      <c r="N25" s="2834" t="s">
        <v>2915</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2916</v>
      </c>
      <c r="C26" s="205">
        <f ca="1">E29+SUM(E33:E39)</f>
        <v>132504</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2917</v>
      </c>
      <c r="C27" s="933">
        <f ca="1">E30+SUM(I33:I39)</f>
        <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2918</v>
      </c>
      <c r="C28" s="2846" t="s">
        <v>2919</v>
      </c>
      <c r="D28" s="2846" t="s">
        <v>2920</v>
      </c>
      <c r="E28" s="2847" t="s">
        <v>2921</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2922</v>
      </c>
      <c r="C29" s="205">
        <f ca="1">ROUND(C5*C18*C19*C20*C21*C24,0)</f>
        <v>18639</v>
      </c>
      <c r="D29" s="2851">
        <f>'数据-汇总表'!F19</f>
        <v>71089.5</v>
      </c>
      <c r="E29" s="944">
        <f ca="1">ROUND(C29*D29/10000,0)</f>
        <v>132504</v>
      </c>
      <c r="F29" s="2852" t="s">
        <v>2923</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2924</v>
      </c>
      <c r="C30" s="228">
        <f ca="1">ROUND(IF(E2="工业",C29*M39,C29*M38),0)</f>
        <v>4660</v>
      </c>
      <c r="D30" s="2857"/>
      <c r="E30" s="944">
        <f ca="1">ROUND(C30*D30/10000,0)</f>
        <v>0</v>
      </c>
      <c r="F30" s="2858" t="s">
        <v>2925</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2919</v>
      </c>
      <c r="D32" s="497" t="s">
        <v>2920</v>
      </c>
      <c r="E32" s="497" t="s">
        <v>2921</v>
      </c>
      <c r="F32" s="387" t="s">
        <v>2929</v>
      </c>
      <c r="G32" s="2866" t="s">
        <v>2919</v>
      </c>
      <c r="H32" s="2866" t="s">
        <v>2920</v>
      </c>
      <c r="I32" s="2866"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167" t="s">
        <v>2930</v>
      </c>
      <c r="B33" s="2867" t="s">
        <v>2931</v>
      </c>
      <c r="C33" s="205">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8"/>
      <c r="B34" s="2771" t="s">
        <v>2932</v>
      </c>
      <c r="C34" s="205">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8"/>
      <c r="B35" s="2771" t="s">
        <v>2933</v>
      </c>
      <c r="C35" s="205">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2"/>
      <c r="L35" s="1372"/>
      <c r="M35" s="1372"/>
      <c r="N35" s="1372"/>
      <c r="O35" s="1372"/>
      <c r="P35" s="1372"/>
      <c r="Q35" s="1372"/>
      <c r="R35" s="1372"/>
      <c r="S35" s="1372"/>
      <c r="T35" s="1372"/>
      <c r="U35" s="1372"/>
      <c r="V35" s="1372"/>
      <c r="W35" s="1372"/>
      <c r="X35" s="1372"/>
      <c r="Y35" s="1372"/>
      <c r="Z35" s="1373"/>
    </row>
    <row r="36" spans="1:37" ht="13.5" thickBot="1">
      <c r="A36" s="3169"/>
      <c r="B36" s="2771" t="s">
        <v>2934</v>
      </c>
      <c r="C36" s="205">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2935</v>
      </c>
      <c r="C37" s="200">
        <f ca="1">ROUND(C5*C19*C20*C24*F37,0)</f>
        <v>5106</v>
      </c>
      <c r="D37" s="2851"/>
      <c r="E37" s="200">
        <f t="shared" ca="1" si="7"/>
        <v>0</v>
      </c>
      <c r="F37" s="205">
        <f>SUMIF(修正!A45:A56,G2,修正!F45:F56)</f>
        <v>0.25</v>
      </c>
      <c r="G37" s="200">
        <f ca="1">ROUND(IF(E2="工业",C37*$M$39,C37*$M$38),0)</f>
        <v>1277</v>
      </c>
      <c r="H37" s="200">
        <f t="shared" si="8"/>
        <v>0</v>
      </c>
      <c r="I37" s="200">
        <f t="shared" ca="1" si="9"/>
        <v>0</v>
      </c>
      <c r="J37" s="2868"/>
      <c r="K37" s="1372"/>
      <c r="L37" s="2870" t="s">
        <v>2936</v>
      </c>
      <c r="M37" s="2871"/>
      <c r="N37" s="1372"/>
      <c r="O37" s="1372"/>
      <c r="P37" s="1372"/>
      <c r="Q37" s="1372"/>
      <c r="R37" s="1372"/>
      <c r="S37" s="1372"/>
      <c r="T37" s="1372"/>
      <c r="U37" s="1372"/>
      <c r="V37" s="1372"/>
      <c r="W37" s="1372"/>
      <c r="X37" s="1372"/>
      <c r="Y37" s="1372"/>
      <c r="Z37" s="1373"/>
    </row>
    <row r="38" spans="1:37">
      <c r="A38" s="2869"/>
      <c r="B38" s="2771" t="s">
        <v>2937</v>
      </c>
      <c r="C38" s="200">
        <f ca="1">ROUND(C5*C19*C20*C24*F38,0)</f>
        <v>5106</v>
      </c>
      <c r="D38" s="2851"/>
      <c r="E38" s="200">
        <f t="shared" ca="1" si="7"/>
        <v>0</v>
      </c>
      <c r="F38" s="205">
        <f>SUMIF(修正!A45:A56,G2,修正!G45:G56)</f>
        <v>0.25</v>
      </c>
      <c r="G38" s="200">
        <f ca="1">ROUND(IF(E2="工业",C38*$M$39,C38*$M$38),0)</f>
        <v>1277</v>
      </c>
      <c r="H38" s="200">
        <f t="shared" si="8"/>
        <v>0</v>
      </c>
      <c r="I38" s="200">
        <f t="shared" ca="1" si="9"/>
        <v>0</v>
      </c>
      <c r="J38" s="2868"/>
      <c r="K38" s="1372"/>
      <c r="L38" s="1889" t="s">
        <v>2938</v>
      </c>
      <c r="M38" s="2872">
        <v>0.25</v>
      </c>
      <c r="N38" s="1372"/>
      <c r="O38" s="1372"/>
      <c r="P38" s="1372"/>
      <c r="Q38" s="1372"/>
      <c r="R38" s="1372"/>
      <c r="S38" s="1372"/>
      <c r="T38" s="1372"/>
      <c r="U38" s="1372"/>
      <c r="V38" s="1372"/>
      <c r="W38" s="1372"/>
      <c r="X38" s="1372"/>
      <c r="Y38" s="1372"/>
      <c r="Z38" s="1373"/>
    </row>
    <row r="39" spans="1:37" ht="13.5" thickBot="1">
      <c r="A39" s="2855"/>
      <c r="B39" s="2873" t="s">
        <v>2939</v>
      </c>
      <c r="C39" s="228">
        <f ca="1">ROUND(C5*C19*C20*C24*F39,0)</f>
        <v>4085</v>
      </c>
      <c r="D39" s="2857"/>
      <c r="E39" s="228">
        <f t="shared" ca="1" si="7"/>
        <v>0</v>
      </c>
      <c r="F39" s="934">
        <f>SUMIF(修正!A45:A56,G2,修正!H45:H56)</f>
        <v>0.2</v>
      </c>
      <c r="G39" s="228">
        <f ca="1">ROUND(IF(E2="工业",C39*$M$39,C39*$M$38),0)</f>
        <v>1021</v>
      </c>
      <c r="H39" s="228">
        <f t="shared" si="8"/>
        <v>0</v>
      </c>
      <c r="I39" s="228">
        <f t="shared" ca="1" si="9"/>
        <v>0</v>
      </c>
      <c r="J39" s="2874"/>
      <c r="K39" s="1372"/>
      <c r="L39" s="2875" t="s">
        <v>2882</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2940</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2941</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2942</v>
      </c>
      <c r="B47" s="1811" t="s">
        <v>2943</v>
      </c>
      <c r="C47" s="1811" t="s">
        <v>2944</v>
      </c>
      <c r="D47" s="1811" t="s">
        <v>2945</v>
      </c>
      <c r="E47" s="818" t="s">
        <v>2946</v>
      </c>
      <c r="F47" s="2885" t="s">
        <v>2947</v>
      </c>
      <c r="G47" s="1811" t="s">
        <v>754</v>
      </c>
      <c r="H47" s="2886" t="s">
        <v>2948</v>
      </c>
      <c r="I47" s="181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4" t="s">
        <v>2950</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2951</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2952</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2953</v>
      </c>
      <c r="B51" s="2889" t="s">
        <v>2954</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2955</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2956</v>
      </c>
      <c r="B53" s="2890" t="s">
        <v>2957</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2958</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2959</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2960</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2961</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2942</v>
      </c>
      <c r="B58" s="1811"/>
      <c r="C58" s="1811" t="s">
        <v>2944</v>
      </c>
      <c r="D58" s="1811" t="s">
        <v>2945</v>
      </c>
      <c r="E58" s="818" t="s">
        <v>2946</v>
      </c>
      <c r="F58" s="2885" t="s">
        <v>2962</v>
      </c>
      <c r="G58" s="1811" t="s">
        <v>754</v>
      </c>
      <c r="H58" s="2886" t="s">
        <v>2948</v>
      </c>
      <c r="I58" s="181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4" t="s">
        <v>2963</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2951</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2952</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2953</v>
      </c>
      <c r="B62" s="2889" t="s">
        <v>2954</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2955</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2956</v>
      </c>
      <c r="B64" s="2890" t="s">
        <v>2957</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2958</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2959</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2960</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2964</v>
      </c>
      <c r="B68" s="2881">
        <f>1+E70</f>
        <v>1.0577000000000001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2942</v>
      </c>
      <c r="B69" s="1811"/>
      <c r="C69" s="1811" t="s">
        <v>2944</v>
      </c>
      <c r="D69" s="1811" t="s">
        <v>2945</v>
      </c>
      <c r="E69" s="818" t="s">
        <v>2946</v>
      </c>
      <c r="F69" s="2885" t="s">
        <v>2962</v>
      </c>
      <c r="G69" s="1811" t="s">
        <v>754</v>
      </c>
      <c r="H69" s="2886" t="s">
        <v>2948</v>
      </c>
      <c r="I69" s="181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4" t="s">
        <v>2965</v>
      </c>
      <c r="B70" s="2887" t="str">
        <f>估价对象房地状况!C15</f>
        <v>估价对象周边居住用地比例、居住小区规模和社区发展完善程度，综合评价居住社区成熟度一般</v>
      </c>
      <c r="C70" s="2776" t="s">
        <v>3097</v>
      </c>
      <c r="D70" s="1288">
        <f t="shared" ref="D70:D78" si="20">SUMIF($J$69:$N$69,C70,J70:N70)</f>
        <v>8.8000000000000005E-3</v>
      </c>
      <c r="E70" s="820">
        <f>ROUND(SUM(D70:D78),4)</f>
        <v>5.7700000000000001E-2</v>
      </c>
      <c r="F70" s="2507">
        <f>IF(E2="住宅",SUMIF(L1:L12,G2,N1:N12),"——")</f>
        <v>0.126</v>
      </c>
      <c r="G70" s="1286">
        <v>8.8000000000000005E-3</v>
      </c>
      <c r="H70" s="1290">
        <f t="shared" ref="H70:H78" si="21">IFERROR(ROUNDDOWN($F$70*I70/2,4),"——")</f>
        <v>8.8000000000000005E-3</v>
      </c>
      <c r="I70" s="819">
        <v>0.14000000000000001</v>
      </c>
      <c r="J70" s="1287">
        <f t="shared" ref="J70:J78" si="22">K70+$G70</f>
        <v>1.7600000000000001E-2</v>
      </c>
      <c r="K70" s="1287">
        <f t="shared" ref="K70:K78" si="23">$L70+$G70</f>
        <v>8.8000000000000005E-3</v>
      </c>
      <c r="L70" s="1287">
        <v>0</v>
      </c>
      <c r="M70" s="1287">
        <f t="shared" ref="M70:N78" si="24">L70-$G70</f>
        <v>-8.8000000000000005E-3</v>
      </c>
      <c r="N70" s="1287">
        <f t="shared" si="24"/>
        <v>-1.7600000000000001E-2</v>
      </c>
      <c r="AA70" s="1373"/>
      <c r="AB70" s="1373"/>
      <c r="AC70" s="1373"/>
      <c r="AD70" s="1373"/>
      <c r="AE70" s="1373"/>
      <c r="AF70" s="1373"/>
      <c r="AG70" s="1373"/>
      <c r="AH70" s="1373"/>
      <c r="AI70" s="1373"/>
      <c r="AJ70" s="1373"/>
      <c r="AK70" s="1373"/>
    </row>
    <row r="71" spans="1:37" s="1372" customFormat="1" ht="51">
      <c r="A71" s="2884" t="s">
        <v>2951</v>
      </c>
      <c r="B71" s="2888" t="str">
        <f>估价对象房地状况!C18</f>
        <v>估价对象周边道路状况、公共交通通达情况、停车便捷程度，综合评价交通便捷度较好</v>
      </c>
      <c r="C71" s="2776" t="s">
        <v>3097</v>
      </c>
      <c r="D71" s="1288">
        <f t="shared" si="20"/>
        <v>1.89E-2</v>
      </c>
      <c r="E71" s="825"/>
      <c r="F71" s="2507"/>
      <c r="G71" s="1286">
        <v>1.89E-2</v>
      </c>
      <c r="H71" s="1290">
        <f t="shared" si="21"/>
        <v>1.89E-2</v>
      </c>
      <c r="I71" s="819">
        <v>0.3</v>
      </c>
      <c r="J71" s="1287">
        <f t="shared" si="22"/>
        <v>3.78E-2</v>
      </c>
      <c r="K71" s="1287">
        <f t="shared" si="23"/>
        <v>1.89E-2</v>
      </c>
      <c r="L71" s="1287">
        <v>0</v>
      </c>
      <c r="M71" s="1287">
        <f t="shared" si="24"/>
        <v>-1.89E-2</v>
      </c>
      <c r="N71" s="1287">
        <f t="shared" si="24"/>
        <v>-3.78E-2</v>
      </c>
      <c r="AA71" s="1373"/>
      <c r="AB71" s="1373"/>
      <c r="AC71" s="1373"/>
      <c r="AD71" s="1373"/>
      <c r="AE71" s="1373"/>
      <c r="AF71" s="1373"/>
      <c r="AG71" s="1373"/>
      <c r="AH71" s="1373"/>
      <c r="AI71" s="1373"/>
      <c r="AJ71" s="1373"/>
      <c r="AK71" s="1373"/>
    </row>
    <row r="72" spans="1:37" s="1372" customFormat="1" ht="24">
      <c r="A72" s="2884" t="s">
        <v>2952</v>
      </c>
      <c r="B72" s="2888">
        <f>估价对象房地状况!C19</f>
        <v>0</v>
      </c>
      <c r="C72" s="2776" t="s">
        <v>3097</v>
      </c>
      <c r="D72" s="1288">
        <f t="shared" si="20"/>
        <v>5.0000000000000001E-3</v>
      </c>
      <c r="E72" s="825"/>
      <c r="F72" s="2507"/>
      <c r="G72" s="1286">
        <v>5.0000000000000001E-3</v>
      </c>
      <c r="H72" s="1290">
        <f t="shared" si="21"/>
        <v>5.0000000000000001E-3</v>
      </c>
      <c r="I72" s="819">
        <v>0.08</v>
      </c>
      <c r="J72" s="1287">
        <f t="shared" si="22"/>
        <v>0.01</v>
      </c>
      <c r="K72" s="1287">
        <f t="shared" si="23"/>
        <v>5.0000000000000001E-3</v>
      </c>
      <c r="L72" s="1287">
        <v>0</v>
      </c>
      <c r="M72" s="1287">
        <f t="shared" si="24"/>
        <v>-5.0000000000000001E-3</v>
      </c>
      <c r="N72" s="1287">
        <f t="shared" si="24"/>
        <v>-0.01</v>
      </c>
      <c r="AA72" s="1373"/>
      <c r="AB72" s="1373"/>
      <c r="AC72" s="1373"/>
      <c r="AD72" s="1373"/>
      <c r="AE72" s="1373"/>
      <c r="AF72" s="1373"/>
      <c r="AG72" s="1373"/>
      <c r="AH72" s="1373"/>
      <c r="AI72" s="1373"/>
      <c r="AJ72" s="1373"/>
      <c r="AK72" s="1373"/>
    </row>
    <row r="73" spans="1:37" s="1372" customFormat="1" ht="14.25">
      <c r="A73" s="2884" t="s">
        <v>2966</v>
      </c>
      <c r="B73" s="2888">
        <f>估价对象房地状况!C24</f>
        <v>0</v>
      </c>
      <c r="C73" s="2776" t="s">
        <v>3097</v>
      </c>
      <c r="D73" s="1288">
        <f t="shared" si="20"/>
        <v>2.5000000000000001E-3</v>
      </c>
      <c r="E73" s="825"/>
      <c r="F73" s="2507"/>
      <c r="G73" s="1286">
        <v>2.5000000000000001E-3</v>
      </c>
      <c r="H73" s="1290">
        <f t="shared" si="21"/>
        <v>2.5000000000000001E-3</v>
      </c>
      <c r="I73" s="819">
        <v>0.04</v>
      </c>
      <c r="J73" s="1287">
        <f t="shared" si="22"/>
        <v>5.0000000000000001E-3</v>
      </c>
      <c r="K73" s="1287">
        <f t="shared" si="23"/>
        <v>2.5000000000000001E-3</v>
      </c>
      <c r="L73" s="1287">
        <v>0</v>
      </c>
      <c r="M73" s="1287">
        <f t="shared" si="24"/>
        <v>-2.5000000000000001E-3</v>
      </c>
      <c r="N73" s="1287">
        <f t="shared" si="24"/>
        <v>-5.0000000000000001E-3</v>
      </c>
      <c r="AA73" s="1373"/>
      <c r="AB73" s="1373"/>
      <c r="AC73" s="1373"/>
      <c r="AD73" s="1373"/>
      <c r="AE73" s="1373"/>
      <c r="AF73" s="1373"/>
      <c r="AG73" s="1373"/>
      <c r="AH73" s="1373"/>
      <c r="AI73" s="1373"/>
      <c r="AJ73" s="1373"/>
      <c r="AK73" s="1373"/>
    </row>
    <row r="74" spans="1:37" s="1372" customFormat="1" ht="25.5">
      <c r="A74" s="2884" t="s">
        <v>2958</v>
      </c>
      <c r="B74" s="1727" t="str">
        <f>估价对象房地状况!C21</f>
        <v>估价对象所在区域公共配套设施齐备情况</v>
      </c>
      <c r="C74" s="2776" t="s">
        <v>3097</v>
      </c>
      <c r="D74" s="1288">
        <f t="shared" si="20"/>
        <v>2.5000000000000001E-3</v>
      </c>
      <c r="E74" s="825"/>
      <c r="F74" s="2507"/>
      <c r="G74" s="1286">
        <v>2.5000000000000001E-3</v>
      </c>
      <c r="H74" s="1290">
        <f t="shared" si="21"/>
        <v>5.0000000000000001E-3</v>
      </c>
      <c r="I74" s="819">
        <v>0.08</v>
      </c>
      <c r="J74" s="1287">
        <f t="shared" si="22"/>
        <v>5.0000000000000001E-3</v>
      </c>
      <c r="K74" s="1287">
        <f t="shared" si="23"/>
        <v>2.5000000000000001E-3</v>
      </c>
      <c r="L74" s="1287">
        <v>0</v>
      </c>
      <c r="M74" s="1287">
        <f t="shared" si="24"/>
        <v>-2.5000000000000001E-3</v>
      </c>
      <c r="N74" s="1287">
        <f t="shared" si="24"/>
        <v>-5.0000000000000001E-3</v>
      </c>
      <c r="AA74" s="1373"/>
      <c r="AB74" s="1373"/>
      <c r="AC74" s="1373"/>
      <c r="AD74" s="1373"/>
      <c r="AE74" s="1373"/>
      <c r="AF74" s="1373"/>
      <c r="AG74" s="1373"/>
      <c r="AH74" s="1373"/>
      <c r="AI74" s="1373"/>
      <c r="AJ74" s="1373"/>
      <c r="AK74" s="1373"/>
    </row>
    <row r="75" spans="1:37" s="1372" customFormat="1" ht="25.5">
      <c r="A75" s="2884" t="s">
        <v>2959</v>
      </c>
      <c r="B75" s="1727" t="str">
        <f>估价对象房地状况!C22</f>
        <v>估价对象所在区域基础设施水平</v>
      </c>
      <c r="C75" s="2776" t="s">
        <v>3097</v>
      </c>
      <c r="D75" s="1288">
        <f t="shared" si="20"/>
        <v>7.4999999999999997E-3</v>
      </c>
      <c r="E75" s="825"/>
      <c r="F75" s="2507"/>
      <c r="G75" s="1286">
        <v>7.4999999999999997E-3</v>
      </c>
      <c r="H75" s="1290">
        <f t="shared" si="21"/>
        <v>7.4999999999999997E-3</v>
      </c>
      <c r="I75" s="819">
        <v>0.12</v>
      </c>
      <c r="J75" s="1287">
        <f t="shared" si="22"/>
        <v>1.4999999999999999E-2</v>
      </c>
      <c r="K75" s="1287">
        <f t="shared" si="23"/>
        <v>7.4999999999999997E-3</v>
      </c>
      <c r="L75" s="1287">
        <v>0</v>
      </c>
      <c r="M75" s="1287">
        <f t="shared" si="24"/>
        <v>-7.4999999999999997E-3</v>
      </c>
      <c r="N75" s="1287">
        <f t="shared" si="24"/>
        <v>-1.4999999999999999E-2</v>
      </c>
      <c r="AA75" s="1373"/>
      <c r="AB75" s="1373"/>
      <c r="AC75" s="1373"/>
      <c r="AD75" s="1373"/>
      <c r="AE75" s="1373"/>
      <c r="AF75" s="1373"/>
      <c r="AG75" s="1373"/>
      <c r="AH75" s="1373"/>
      <c r="AI75" s="1373"/>
      <c r="AJ75" s="1373"/>
      <c r="AK75" s="1373"/>
    </row>
    <row r="76" spans="1:37" s="2725" customFormat="1" ht="24">
      <c r="A76" s="2884" t="s">
        <v>2956</v>
      </c>
      <c r="B76" s="2890" t="s">
        <v>2957</v>
      </c>
      <c r="C76" s="2776" t="s">
        <v>3097</v>
      </c>
      <c r="D76" s="1288">
        <f t="shared" si="20"/>
        <v>3.0999999999999999E-3</v>
      </c>
      <c r="E76" s="825"/>
      <c r="F76" s="2507"/>
      <c r="G76" s="1286">
        <v>3.0999999999999999E-3</v>
      </c>
      <c r="H76" s="1290">
        <f t="shared" si="21"/>
        <v>3.0999999999999999E-3</v>
      </c>
      <c r="I76" s="819">
        <v>0.05</v>
      </c>
      <c r="J76" s="1287">
        <f t="shared" si="22"/>
        <v>6.1999999999999998E-3</v>
      </c>
      <c r="K76" s="1287">
        <f t="shared" si="23"/>
        <v>3.0999999999999999E-3</v>
      </c>
      <c r="L76" s="1287">
        <v>0</v>
      </c>
      <c r="M76" s="1287">
        <f t="shared" si="24"/>
        <v>-3.0999999999999999E-3</v>
      </c>
      <c r="N76" s="1287">
        <f t="shared" si="24"/>
        <v>-6.1999999999999998E-3</v>
      </c>
      <c r="AA76" s="2895"/>
      <c r="AB76" s="1373"/>
      <c r="AC76" s="1373"/>
      <c r="AD76" s="1373"/>
      <c r="AE76" s="1373"/>
      <c r="AF76" s="1373"/>
      <c r="AG76" s="1373"/>
      <c r="AH76" s="2895"/>
      <c r="AI76" s="2895"/>
      <c r="AJ76" s="2895"/>
      <c r="AK76" s="2895"/>
    </row>
    <row r="77" spans="1:37" ht="38.25">
      <c r="A77" s="2884" t="s">
        <v>2960</v>
      </c>
      <c r="B77" s="2887" t="str">
        <f>估价对象房地状况!C20</f>
        <v>区域自然环境：；人文环境；综合评价环境状况一般</v>
      </c>
      <c r="C77" s="2776" t="s">
        <v>3097</v>
      </c>
      <c r="D77" s="1288">
        <f t="shared" si="20"/>
        <v>9.4000000000000004E-3</v>
      </c>
      <c r="E77" s="825"/>
      <c r="F77" s="2507"/>
      <c r="G77" s="1286">
        <v>9.4000000000000004E-3</v>
      </c>
      <c r="H77" s="1290">
        <f t="shared" si="21"/>
        <v>9.4000000000000004E-3</v>
      </c>
      <c r="I77" s="819">
        <v>0.15</v>
      </c>
      <c r="J77" s="1287">
        <f t="shared" si="22"/>
        <v>1.8800000000000001E-2</v>
      </c>
      <c r="K77" s="1287">
        <f t="shared" si="23"/>
        <v>9.4000000000000004E-3</v>
      </c>
      <c r="L77" s="1287">
        <v>0</v>
      </c>
      <c r="M77" s="1287">
        <f t="shared" si="24"/>
        <v>-9.4000000000000004E-3</v>
      </c>
      <c r="N77" s="1287">
        <f t="shared" si="24"/>
        <v>-1.8800000000000001E-2</v>
      </c>
      <c r="Z77" s="2726"/>
      <c r="AA77" s="2802"/>
      <c r="AG77" s="1374"/>
      <c r="AK77" s="2802"/>
    </row>
    <row r="78" spans="1:37" ht="24.75" thickBot="1">
      <c r="A78" s="2892" t="s">
        <v>2967</v>
      </c>
      <c r="B78" s="2896"/>
      <c r="C78" s="2776" t="s">
        <v>3096</v>
      </c>
      <c r="D78" s="1288">
        <f t="shared" si="20"/>
        <v>0</v>
      </c>
      <c r="E78" s="826"/>
      <c r="F78" s="2507"/>
      <c r="G78" s="1286">
        <v>2.5000000000000001E-3</v>
      </c>
      <c r="H78" s="1290">
        <f t="shared" si="21"/>
        <v>2.5000000000000001E-3</v>
      </c>
      <c r="I78" s="823">
        <v>0.04</v>
      </c>
      <c r="J78" s="1287">
        <f t="shared" si="22"/>
        <v>5.0000000000000001E-3</v>
      </c>
      <c r="K78" s="1287">
        <f t="shared" si="23"/>
        <v>2.5000000000000001E-3</v>
      </c>
      <c r="L78" s="1287">
        <v>0</v>
      </c>
      <c r="M78" s="1287">
        <f t="shared" si="24"/>
        <v>-2.5000000000000001E-3</v>
      </c>
      <c r="N78" s="1287">
        <f t="shared" si="24"/>
        <v>-5.0000000000000001E-3</v>
      </c>
      <c r="Z78" s="2726"/>
      <c r="AA78" s="2802"/>
      <c r="AG78" s="1374"/>
      <c r="AK78" s="2802"/>
    </row>
    <row r="79" spans="1:37" ht="15">
      <c r="A79" s="2880" t="s">
        <v>2968</v>
      </c>
      <c r="B79" s="2881">
        <f>1+E81</f>
        <v>1</v>
      </c>
      <c r="C79" s="813"/>
      <c r="D79" s="813"/>
      <c r="E79" s="814"/>
      <c r="F79" s="2883"/>
      <c r="G79" s="6"/>
      <c r="H79" s="6"/>
      <c r="I79" s="6"/>
      <c r="J79" s="7"/>
      <c r="K79" s="7"/>
      <c r="L79" s="7"/>
      <c r="M79" s="7"/>
      <c r="N79" s="7"/>
      <c r="Z79" s="2726"/>
      <c r="AA79" s="2802"/>
      <c r="AG79" s="1374"/>
      <c r="AK79" s="2802"/>
    </row>
    <row r="80" spans="1:37" ht="24.75">
      <c r="A80" s="2884" t="s">
        <v>2942</v>
      </c>
      <c r="B80" s="1811"/>
      <c r="C80" s="1811" t="s">
        <v>2944</v>
      </c>
      <c r="D80" s="1811" t="s">
        <v>2945</v>
      </c>
      <c r="E80" s="818" t="s">
        <v>2946</v>
      </c>
      <c r="F80" s="2885" t="s">
        <v>2962</v>
      </c>
      <c r="G80" s="1811" t="s">
        <v>754</v>
      </c>
      <c r="H80" s="2886" t="s">
        <v>2948</v>
      </c>
      <c r="I80" s="1811" t="s">
        <v>2949</v>
      </c>
      <c r="J80" s="602" t="s">
        <v>2597</v>
      </c>
      <c r="K80" s="602" t="s">
        <v>2598</v>
      </c>
      <c r="L80" s="602" t="s">
        <v>2599</v>
      </c>
      <c r="M80" s="602" t="s">
        <v>2600</v>
      </c>
      <c r="N80" s="602" t="s">
        <v>2601</v>
      </c>
      <c r="Z80" s="2726"/>
      <c r="AA80" s="2802"/>
      <c r="AG80" s="1374"/>
      <c r="AK80" s="2802"/>
    </row>
    <row r="81" spans="1:37" ht="38.25">
      <c r="A81" s="2884" t="s">
        <v>2969</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2951</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2952</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2966</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2958</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2959</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2956</v>
      </c>
      <c r="B87" s="2890" t="s">
        <v>2970</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2971</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161" t="s">
        <v>2972</v>
      </c>
      <c r="B90" s="3161"/>
      <c r="C90" s="3161"/>
      <c r="D90" s="3161"/>
      <c r="E90" s="3161"/>
      <c r="F90" s="3161"/>
      <c r="G90" s="3161"/>
      <c r="H90" s="3161"/>
      <c r="I90" s="3161"/>
      <c r="J90" s="3161"/>
      <c r="K90" s="2898"/>
      <c r="L90" s="2898"/>
      <c r="M90" s="2898"/>
      <c r="N90" s="2898"/>
    </row>
    <row r="91" spans="1:37">
      <c r="A91" s="3163" t="s">
        <v>2973</v>
      </c>
      <c r="B91" s="3163" t="s">
        <v>2974</v>
      </c>
      <c r="C91" s="2852" t="s">
        <v>2975</v>
      </c>
      <c r="D91" s="2853"/>
      <c r="E91" s="2853"/>
      <c r="F91" s="2853"/>
      <c r="G91" s="2853"/>
      <c r="H91" s="2853"/>
      <c r="I91" s="2853"/>
      <c r="J91" s="2899"/>
      <c r="K91" s="2900"/>
      <c r="L91" s="2900"/>
      <c r="M91" s="2900"/>
      <c r="N91" s="2900"/>
    </row>
    <row r="92" spans="1:37">
      <c r="A92" s="3163"/>
      <c r="B92" s="3163"/>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164"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6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6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6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6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6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65"/>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16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64" t="s">
        <v>2977</v>
      </c>
      <c r="B101" s="2905" t="s">
        <v>2978</v>
      </c>
      <c r="C101" s="2906">
        <f>$G$3</f>
        <v>3.58</v>
      </c>
      <c r="D101" s="2906">
        <f t="shared" ref="D101:N101" si="31">$G$3</f>
        <v>3.58</v>
      </c>
      <c r="E101" s="2906">
        <f t="shared" si="31"/>
        <v>3.58</v>
      </c>
      <c r="F101" s="2906">
        <f t="shared" si="31"/>
        <v>3.58</v>
      </c>
      <c r="G101" s="2906">
        <f t="shared" si="31"/>
        <v>3.58</v>
      </c>
      <c r="H101" s="2906">
        <f t="shared" si="31"/>
        <v>3.58</v>
      </c>
      <c r="I101" s="2906">
        <f t="shared" si="31"/>
        <v>3.58</v>
      </c>
      <c r="J101" s="2906">
        <f t="shared" si="31"/>
        <v>3.58</v>
      </c>
      <c r="K101" s="2906">
        <f t="shared" si="31"/>
        <v>3.58</v>
      </c>
      <c r="L101" s="2906">
        <f t="shared" si="31"/>
        <v>3.58</v>
      </c>
      <c r="M101" s="2906">
        <f t="shared" si="31"/>
        <v>3.58</v>
      </c>
      <c r="N101" s="2906">
        <f t="shared" si="31"/>
        <v>3.58</v>
      </c>
    </row>
    <row r="102" spans="1:14">
      <c r="A102" s="3165"/>
      <c r="B102" s="2901">
        <v>1</v>
      </c>
      <c r="C102" s="2902">
        <f>1.9362/C101</f>
        <v>0.54083798882681566</v>
      </c>
      <c r="D102" s="2902">
        <f>1.9362/D101</f>
        <v>0.54083798882681566</v>
      </c>
      <c r="E102" s="2902">
        <f>1.8629/E101</f>
        <v>0.52036312849162014</v>
      </c>
      <c r="F102" s="2902">
        <f>1.8629/F101</f>
        <v>0.52036312849162014</v>
      </c>
      <c r="G102" s="2902">
        <f>1.8629/G101</f>
        <v>0.52036312849162014</v>
      </c>
      <c r="H102" s="2902">
        <f>1.8629/H101</f>
        <v>0.52036312849162014</v>
      </c>
      <c r="I102" s="2902">
        <f>1.8629/I101</f>
        <v>0.52036312849162014</v>
      </c>
      <c r="J102" s="2902">
        <f>1.942/J101</f>
        <v>0.54245810055865917</v>
      </c>
      <c r="K102" s="2902">
        <f>1.942/K101</f>
        <v>0.54245810055865917</v>
      </c>
      <c r="L102" s="2902">
        <f>1.942/L101</f>
        <v>0.54245810055865917</v>
      </c>
      <c r="M102" s="2902">
        <f>1.942/M101</f>
        <v>0.54245810055865917</v>
      </c>
      <c r="N102" s="2902">
        <f>1.942/N101</f>
        <v>0.54245810055865917</v>
      </c>
    </row>
    <row r="103" spans="1:14">
      <c r="A103" s="3165"/>
      <c r="B103" s="2901">
        <v>2</v>
      </c>
      <c r="C103" s="2902">
        <f>1.4198/C101</f>
        <v>0.39659217877094971</v>
      </c>
      <c r="D103" s="2902">
        <f>1.4198/D101</f>
        <v>0.39659217877094971</v>
      </c>
      <c r="E103" s="2902">
        <f>1.3372/E101</f>
        <v>0.37351955307262569</v>
      </c>
      <c r="F103" s="2902">
        <f>1.3372/F101</f>
        <v>0.37351955307262569</v>
      </c>
      <c r="G103" s="2902">
        <f>1.3372/G101</f>
        <v>0.37351955307262569</v>
      </c>
      <c r="H103" s="2902">
        <f>1.3372/H101</f>
        <v>0.37351955307262569</v>
      </c>
      <c r="I103" s="2902">
        <f>1.3372/I101</f>
        <v>0.37351955307262569</v>
      </c>
      <c r="J103" s="2902">
        <f>1.2799/J101</f>
        <v>0.35751396648044692</v>
      </c>
      <c r="K103" s="2902">
        <f>1.2799/K101</f>
        <v>0.35751396648044692</v>
      </c>
      <c r="L103" s="2902">
        <f>1.2799/L101</f>
        <v>0.35751396648044692</v>
      </c>
      <c r="M103" s="2902">
        <f>1.2799/M101</f>
        <v>0.35751396648044692</v>
      </c>
      <c r="N103" s="2902">
        <f>1.2799/N101</f>
        <v>0.35751396648044692</v>
      </c>
    </row>
    <row r="104" spans="1:14">
      <c r="A104" s="3165"/>
      <c r="B104" s="2901">
        <v>3</v>
      </c>
      <c r="C104" s="2902">
        <f>1.1594/C101</f>
        <v>0.32385474860335195</v>
      </c>
      <c r="D104" s="2902">
        <f>1.1594/D101</f>
        <v>0.32385474860335195</v>
      </c>
      <c r="E104" s="2902">
        <f>1.0788/E101</f>
        <v>0.30134078212290499</v>
      </c>
      <c r="F104" s="2902">
        <f>1.0788/F101</f>
        <v>0.30134078212290499</v>
      </c>
      <c r="G104" s="2902">
        <f>1.0788/G101</f>
        <v>0.30134078212290499</v>
      </c>
      <c r="H104" s="2902">
        <f>1.0788/H101</f>
        <v>0.30134078212290499</v>
      </c>
      <c r="I104" s="2902">
        <f>1.0788/I101</f>
        <v>0.30134078212290499</v>
      </c>
      <c r="J104" s="2902">
        <f>1.0072/J101</f>
        <v>0.28134078212290503</v>
      </c>
      <c r="K104" s="2902">
        <f>1.0072/K101</f>
        <v>0.28134078212290503</v>
      </c>
      <c r="L104" s="2902">
        <f>1.0072/L101</f>
        <v>0.28134078212290503</v>
      </c>
      <c r="M104" s="2902">
        <f>1.0072/M101</f>
        <v>0.28134078212290503</v>
      </c>
      <c r="N104" s="2902">
        <f>1.0072/N101</f>
        <v>0.28134078212290503</v>
      </c>
    </row>
    <row r="105" spans="1:14">
      <c r="A105" s="3165"/>
      <c r="B105" s="2901">
        <v>4</v>
      </c>
      <c r="C105" s="2902">
        <f>0.9622/C101</f>
        <v>0.26877094972067039</v>
      </c>
      <c r="D105" s="2902">
        <f>0.9622/D101</f>
        <v>0.26877094972067039</v>
      </c>
      <c r="E105" s="2902">
        <f>0.8656/E101</f>
        <v>0.24178770949720671</v>
      </c>
      <c r="F105" s="2902">
        <f>0.8656/F101</f>
        <v>0.24178770949720671</v>
      </c>
      <c r="G105" s="2902">
        <f>0.8656/G101</f>
        <v>0.24178770949720671</v>
      </c>
      <c r="H105" s="2902">
        <f>0.8656/H101</f>
        <v>0.24178770949720671</v>
      </c>
      <c r="I105" s="2902">
        <f>0.8656/I101</f>
        <v>0.24178770949720671</v>
      </c>
      <c r="J105" s="2902">
        <f>0.7525/J101</f>
        <v>0.21019553072625696</v>
      </c>
      <c r="K105" s="2902">
        <f>0.7525/K101</f>
        <v>0.21019553072625696</v>
      </c>
      <c r="L105" s="2902">
        <f>0.7525/L101</f>
        <v>0.21019553072625696</v>
      </c>
      <c r="M105" s="2902">
        <f>0.7525/M101</f>
        <v>0.21019553072625696</v>
      </c>
      <c r="N105" s="2902">
        <f>0.7525/N101</f>
        <v>0.21019553072625696</v>
      </c>
    </row>
    <row r="106" spans="1:14">
      <c r="A106" s="3165"/>
      <c r="B106" s="2901">
        <v>5</v>
      </c>
      <c r="C106" s="2902">
        <f>0.8417/C101</f>
        <v>0.23511173184357542</v>
      </c>
      <c r="D106" s="2902">
        <f>0.8417/D101</f>
        <v>0.23511173184357542</v>
      </c>
      <c r="E106" s="2902">
        <f>0.7371/E101</f>
        <v>0.20589385474860333</v>
      </c>
      <c r="F106" s="2902">
        <f>0.7371/F101</f>
        <v>0.20589385474860333</v>
      </c>
      <c r="G106" s="2902">
        <f>0.7371/G101</f>
        <v>0.20589385474860333</v>
      </c>
      <c r="H106" s="2902">
        <f>0.7371/H101</f>
        <v>0.20589385474860333</v>
      </c>
      <c r="I106" s="2902">
        <f>0.7371/I101</f>
        <v>0.20589385474860333</v>
      </c>
      <c r="J106" s="2902">
        <f>0.5659/J101</f>
        <v>0.158072625698324</v>
      </c>
      <c r="K106" s="2902">
        <f>0.5659/K101</f>
        <v>0.158072625698324</v>
      </c>
      <c r="L106" s="2902">
        <f>0.5659/L101</f>
        <v>0.158072625698324</v>
      </c>
      <c r="M106" s="2902">
        <f>0.5659/M101</f>
        <v>0.158072625698324</v>
      </c>
      <c r="N106" s="2902">
        <f>0.5659/N101</f>
        <v>0.158072625698324</v>
      </c>
    </row>
    <row r="107" spans="1:14">
      <c r="A107" s="3165"/>
      <c r="B107" s="2901">
        <v>6</v>
      </c>
      <c r="C107" s="2902">
        <f>0.7608/C101</f>
        <v>0.21251396648044693</v>
      </c>
      <c r="D107" s="2902">
        <f>0.7608/D101</f>
        <v>0.21251396648044693</v>
      </c>
      <c r="E107" s="2902">
        <f>0.6482/E101</f>
        <v>0.18106145251396646</v>
      </c>
      <c r="F107" s="2902">
        <f>0.6482/F101</f>
        <v>0.18106145251396646</v>
      </c>
      <c r="G107" s="2902">
        <f>0.6482/G101</f>
        <v>0.18106145251396646</v>
      </c>
      <c r="H107" s="2902">
        <f>0.6482/H101</f>
        <v>0.18106145251396646</v>
      </c>
      <c r="I107" s="2902">
        <f>0.6482/I101</f>
        <v>0.18106145251396646</v>
      </c>
      <c r="J107" s="2902">
        <f>0.4525/J101</f>
        <v>0.12639664804469275</v>
      </c>
      <c r="K107" s="2902">
        <f>0.4525/K101</f>
        <v>0.12639664804469275</v>
      </c>
      <c r="L107" s="2902">
        <f>0.4525/L101</f>
        <v>0.12639664804469275</v>
      </c>
      <c r="M107" s="2902">
        <f>0.4525/M101</f>
        <v>0.12639664804469275</v>
      </c>
      <c r="N107" s="2902">
        <f>0.4525/N101</f>
        <v>0.12639664804469275</v>
      </c>
    </row>
    <row r="108" spans="1:14">
      <c r="A108" s="3165"/>
      <c r="B108" s="3120"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166"/>
      <c r="B109" s="3121"/>
      <c r="C109" s="2904">
        <f>(-0.163*(C108^2)-0.59*C108+7617)*(10^(-4))/C101</f>
        <v>0.21276536312849162</v>
      </c>
      <c r="D109" s="2904">
        <f>(-0.163*(D108^2)-0.59*D108+7617)*(10^(-4))/D101</f>
        <v>0.21276536312849162</v>
      </c>
      <c r="E109" s="2904">
        <f>(-0.161*(E108^2)-7.509*E108+6533)*(10^(-4))/E101</f>
        <v>0.18248603351955306</v>
      </c>
      <c r="F109" s="2904">
        <f>(-0.161*(F108^2)-7.509*F108+6533)*(10^(-4))/F101</f>
        <v>0.18248603351955306</v>
      </c>
      <c r="G109" s="2904">
        <f>(-0.161*(G108^2)-7.509*G108+6533)*(10^(-4))/G101</f>
        <v>0.18248603351955306</v>
      </c>
      <c r="H109" s="2904">
        <f>(-0.161*(H108^2)-7.509*H108+6533)*(10^(-4))/H101</f>
        <v>0.18248603351955306</v>
      </c>
      <c r="I109" s="2904">
        <f>(-0.161*(I108^2)-7.509*I108+6533)*(10^(-4))/I101</f>
        <v>0.18248603351955306</v>
      </c>
      <c r="J109" s="2904">
        <f>(-0.214*(J108^2)-21.991*J108+4665)*(10^(-4))/J101</f>
        <v>0.13030726256983241</v>
      </c>
      <c r="K109" s="2904">
        <f>(-0.214*(K108^2)-21.991*K108+4665)*(10^(-4))/K101</f>
        <v>0.13030726256983241</v>
      </c>
      <c r="L109" s="2904">
        <f>(-0.214*(L108^2)-21.991*L108+4665)*(10^(-4))/L101</f>
        <v>0.13030726256983241</v>
      </c>
      <c r="M109" s="2904">
        <f>(-0.214*(M108^2)-21.991*M108+4665)*(10^(-4))/M101</f>
        <v>0.13030726256983241</v>
      </c>
      <c r="N109" s="2904">
        <f>(-0.214*(N108^2)-21.991*N108+4665)*(10^(-4))/N101</f>
        <v>0.13030726256983241</v>
      </c>
    </row>
    <row r="110" spans="1:14">
      <c r="A110" s="3162" t="s">
        <v>2980</v>
      </c>
      <c r="B110" s="3162"/>
      <c r="C110" s="3162"/>
      <c r="D110" s="3162"/>
      <c r="E110" s="3162"/>
      <c r="F110" s="3162"/>
      <c r="G110" s="3162"/>
      <c r="H110" s="3162"/>
      <c r="I110" s="3162"/>
      <c r="J110" s="3162"/>
      <c r="K110" s="2907"/>
      <c r="L110" s="2907"/>
      <c r="M110" s="2907"/>
      <c r="N110" s="2907"/>
    </row>
    <row r="112" spans="1:14" ht="13.5" thickBot="1"/>
    <row r="113" spans="1:13" ht="25.5" thickBot="1">
      <c r="A113" s="902" t="s">
        <v>2981</v>
      </c>
      <c r="B113" s="1289">
        <f>G3</f>
        <v>3.58</v>
      </c>
      <c r="C113" s="903" t="s">
        <v>2982</v>
      </c>
      <c r="D113" s="904">
        <f>SUMPRODUCT((A115:A118=F113)*(B114:M114=H113)*B115:M118)</f>
        <v>0.84619999999999995</v>
      </c>
      <c r="E113" s="2730" t="s">
        <v>2814</v>
      </c>
      <c r="F113" s="2909" t="str">
        <f>E2</f>
        <v>住宅</v>
      </c>
      <c r="G113" s="2730" t="s">
        <v>2815</v>
      </c>
      <c r="H113" s="2909" t="str">
        <f>G2</f>
        <v>六级</v>
      </c>
      <c r="I113" s="2730"/>
      <c r="J113" s="2910"/>
      <c r="K113" s="2910"/>
      <c r="L113" s="2910"/>
      <c r="M113" s="2910"/>
    </row>
    <row r="114" spans="1:13">
      <c r="A114" s="907"/>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8" t="s">
        <v>2879</v>
      </c>
      <c r="B115" s="909">
        <f>ROUND(0.9335-0.0094*B113,4)</f>
        <v>0.89980000000000004</v>
      </c>
      <c r="C115" s="909">
        <f>B115</f>
        <v>0.89980000000000004</v>
      </c>
      <c r="D115" s="909">
        <f>ROUND(0.8331-0.0109*B113,4)</f>
        <v>0.79410000000000003</v>
      </c>
      <c r="E115" s="909">
        <f>D115</f>
        <v>0.79410000000000003</v>
      </c>
      <c r="F115" s="909">
        <f>E115</f>
        <v>0.79410000000000003</v>
      </c>
      <c r="G115" s="909">
        <f>F115</f>
        <v>0.79410000000000003</v>
      </c>
      <c r="H115" s="909">
        <f>G115</f>
        <v>0.79410000000000003</v>
      </c>
      <c r="I115" s="909">
        <f>ROUND(0.689-0.0155*B113,4)</f>
        <v>0.63349999999999995</v>
      </c>
      <c r="J115" s="909">
        <f t="shared" ref="J115:M118" si="33">I115</f>
        <v>0.63349999999999995</v>
      </c>
      <c r="K115" s="909">
        <f t="shared" si="33"/>
        <v>0.63349999999999995</v>
      </c>
      <c r="L115" s="909">
        <f t="shared" si="33"/>
        <v>0.63349999999999995</v>
      </c>
      <c r="M115" s="910">
        <f t="shared" si="33"/>
        <v>0.63349999999999995</v>
      </c>
    </row>
    <row r="116" spans="1:13">
      <c r="A116" s="908" t="s">
        <v>2880</v>
      </c>
      <c r="B116" s="909">
        <f>ROUND(0.949-0.012*B113,4)</f>
        <v>0.90600000000000003</v>
      </c>
      <c r="C116" s="909">
        <f>B116</f>
        <v>0.90600000000000003</v>
      </c>
      <c r="D116" s="909">
        <f>ROUND(0.8567-0.013*B113,4)</f>
        <v>0.81020000000000003</v>
      </c>
      <c r="E116" s="909">
        <f t="shared" ref="E116:H117" si="34">D116</f>
        <v>0.81020000000000003</v>
      </c>
      <c r="F116" s="909">
        <f t="shared" si="34"/>
        <v>0.81020000000000003</v>
      </c>
      <c r="G116" s="909">
        <f t="shared" si="34"/>
        <v>0.81020000000000003</v>
      </c>
      <c r="H116" s="909">
        <f t="shared" si="34"/>
        <v>0.81020000000000003</v>
      </c>
      <c r="I116" s="909">
        <f>ROUND(0.7694-0.014*B113,4)</f>
        <v>0.71930000000000005</v>
      </c>
      <c r="J116" s="909">
        <f t="shared" si="33"/>
        <v>0.71930000000000005</v>
      </c>
      <c r="K116" s="909">
        <f t="shared" si="33"/>
        <v>0.71930000000000005</v>
      </c>
      <c r="L116" s="909">
        <f t="shared" si="33"/>
        <v>0.71930000000000005</v>
      </c>
      <c r="M116" s="910">
        <f t="shared" si="33"/>
        <v>0.71930000000000005</v>
      </c>
    </row>
    <row r="117" spans="1:13">
      <c r="A117" s="908" t="s">
        <v>2881</v>
      </c>
      <c r="B117" s="909">
        <f>ROUND(0.8808-0.006*B113,4)</f>
        <v>0.85929999999999995</v>
      </c>
      <c r="C117" s="909">
        <f>B117</f>
        <v>0.85929999999999995</v>
      </c>
      <c r="D117" s="909">
        <f>ROUND(0.8748-0.008*B113,4)</f>
        <v>0.84619999999999995</v>
      </c>
      <c r="E117" s="909">
        <f t="shared" si="34"/>
        <v>0.84619999999999995</v>
      </c>
      <c r="F117" s="909">
        <f t="shared" si="34"/>
        <v>0.84619999999999995</v>
      </c>
      <c r="G117" s="909">
        <f t="shared" si="34"/>
        <v>0.84619999999999995</v>
      </c>
      <c r="H117" s="909">
        <f t="shared" si="34"/>
        <v>0.84619999999999995</v>
      </c>
      <c r="I117" s="909">
        <f>ROUND(0.7412-0.0095*B113,4)</f>
        <v>0.70720000000000005</v>
      </c>
      <c r="J117" s="909">
        <f t="shared" si="33"/>
        <v>0.70720000000000005</v>
      </c>
      <c r="K117" s="909">
        <f t="shared" si="33"/>
        <v>0.70720000000000005</v>
      </c>
      <c r="L117" s="909">
        <f t="shared" si="33"/>
        <v>0.70720000000000005</v>
      </c>
      <c r="M117" s="910">
        <f t="shared" si="33"/>
        <v>0.70720000000000005</v>
      </c>
    </row>
    <row r="118" spans="1:13" ht="13.5" thickBot="1">
      <c r="A118" s="713" t="s">
        <v>2882</v>
      </c>
      <c r="B118" s="911">
        <f>ROUND(0.7275-0.01*B113,4)</f>
        <v>0.69169999999999998</v>
      </c>
      <c r="C118" s="911">
        <f>B118</f>
        <v>0.69169999999999998</v>
      </c>
      <c r="D118" s="911">
        <f>ROUND(0.7043-0.012*B113,4)</f>
        <v>0.6613</v>
      </c>
      <c r="E118" s="911">
        <f>D118</f>
        <v>0.6613</v>
      </c>
      <c r="F118" s="911">
        <f>E118</f>
        <v>0.6613</v>
      </c>
      <c r="G118" s="911">
        <f>ROUND(0.6299-0.0122*B113,4)</f>
        <v>0.58620000000000005</v>
      </c>
      <c r="H118" s="911">
        <f>G118</f>
        <v>0.58620000000000005</v>
      </c>
      <c r="I118" s="911">
        <f>ROUND(0.5667-0.0136*B113,4)</f>
        <v>0.51800000000000002</v>
      </c>
      <c r="J118" s="911">
        <f t="shared" si="33"/>
        <v>0.51800000000000002</v>
      </c>
      <c r="K118" s="911">
        <f t="shared" si="33"/>
        <v>0.51800000000000002</v>
      </c>
      <c r="L118" s="911">
        <f t="shared" si="33"/>
        <v>0.51800000000000002</v>
      </c>
      <c r="M118" s="912">
        <f t="shared" si="33"/>
        <v>0.51800000000000002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t="s">
        <v>3054</v>
      </c>
      <c r="D1" s="1582"/>
      <c r="E1" s="319"/>
      <c r="F1" s="319"/>
      <c r="G1" s="1583"/>
      <c r="H1" s="319"/>
      <c r="I1" s="319"/>
      <c r="J1" s="319"/>
      <c r="K1" s="319">
        <f>MATCH(C1,'数据-取费表'!A6:A16,0)+5</f>
        <v>6</v>
      </c>
    </row>
    <row r="2" spans="1:33" ht="18" customHeight="1">
      <c r="A2" s="244" t="s">
        <v>2330</v>
      </c>
      <c r="B2" s="247">
        <f ca="1">C32</f>
        <v>84455</v>
      </c>
      <c r="C2" s="319" t="s">
        <v>2463</v>
      </c>
      <c r="D2" s="319"/>
      <c r="E2" s="319"/>
      <c r="F2" s="319"/>
      <c r="G2" s="319"/>
      <c r="H2" s="319"/>
      <c r="I2" s="319"/>
      <c r="J2" s="319"/>
      <c r="K2" s="319"/>
    </row>
    <row r="3" spans="1:33" ht="18" customHeight="1" thickBot="1">
      <c r="A3" s="246" t="s">
        <v>2332</v>
      </c>
      <c r="B3" s="247">
        <f ca="1">ROUND(B2*10000/IF(C1="",'数据-汇总表'!E3,INDIRECT("'数据-取费表'!K"&amp;$K$1)),0)</f>
        <v>11880</v>
      </c>
      <c r="C3" s="319" t="s">
        <v>2464</v>
      </c>
      <c r="D3" s="319"/>
      <c r="E3" s="319"/>
      <c r="F3" s="319"/>
      <c r="G3" s="319"/>
      <c r="H3" s="319"/>
      <c r="I3" s="319"/>
      <c r="J3" s="319"/>
      <c r="K3" s="319"/>
    </row>
    <row r="4" spans="1:33" s="958" customFormat="1" ht="16.5" customHeight="1">
      <c r="A4" s="955" t="s">
        <v>2465</v>
      </c>
      <c r="B4" s="956"/>
      <c r="C4" s="998">
        <f>SUM(C8:K8)</f>
        <v>93504</v>
      </c>
      <c r="D4" s="956"/>
      <c r="E4" s="956"/>
      <c r="F4" s="956"/>
      <c r="G4" s="956"/>
      <c r="H4" s="956"/>
      <c r="I4" s="956"/>
      <c r="J4" s="956"/>
      <c r="K4" s="957"/>
    </row>
    <row r="5" spans="1:33" s="962" customFormat="1" ht="15">
      <c r="A5" s="959" t="s">
        <v>2466</v>
      </c>
      <c r="B5" s="960" t="s">
        <v>2467</v>
      </c>
      <c r="C5" s="2560" t="s">
        <v>3054</v>
      </c>
      <c r="D5" s="2560"/>
      <c r="E5" s="2560"/>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v>13153</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0">
        <f>SUMIF('数据-汇总表'!$C19:$C33,假设开发法!C5,'数据-汇总表'!$E19:$E33)</f>
        <v>71089.5</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2471</v>
      </c>
      <c r="B8" s="177" t="s">
        <v>2472</v>
      </c>
      <c r="C8" s="999">
        <f>ROUND(C6*C7/10000,0)</f>
        <v>93504</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1334</v>
      </c>
      <c r="B11" s="974" t="s">
        <v>2480</v>
      </c>
      <c r="C11" s="322">
        <f ca="1">IF(C1="",'数据-取费表'!P16,INDIRECT("'数据-取费表'!p"&amp;$K$1)+INDIRECT("'数据-取费表'!ar"&amp;$K$1))</f>
        <v>889</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1335</v>
      </c>
      <c r="B12" s="974" t="s">
        <v>2481</v>
      </c>
      <c r="C12" s="24">
        <f ca="1">ROUND(C11*F12,0)</f>
        <v>27</v>
      </c>
      <c r="D12" s="975"/>
      <c r="E12" s="374"/>
      <c r="F12" s="978">
        <f>'数据-取费表'!B33</f>
        <v>0.03</v>
      </c>
      <c r="G12" s="8" t="s">
        <v>2482</v>
      </c>
      <c r="H12" s="970"/>
      <c r="I12" s="970"/>
      <c r="J12" s="970"/>
      <c r="K12" s="971"/>
    </row>
    <row r="13" spans="1:33" s="977" customFormat="1" ht="13.5" customHeight="1">
      <c r="A13" s="973" t="s">
        <v>1336</v>
      </c>
      <c r="B13" s="974" t="s">
        <v>2483</v>
      </c>
      <c r="C13" s="24">
        <f ca="1">ROUND(IF(C1="",SUMIF('数据-取费表'!C:C,"住宅",'数据-取费表'!P:P)*F13,IF(INDIRECT("'数据-取费表'!c"&amp;$K$1)="住宅",INDIRECT("'数据-取费表'!P"&amp;$K$1)*F13,0)),0)</f>
        <v>27</v>
      </c>
      <c r="D13" s="1035"/>
      <c r="E13" s="374"/>
      <c r="F13" s="978">
        <f>'数据-取费表'!B34</f>
        <v>0.03</v>
      </c>
      <c r="G13" s="8" t="s">
        <v>2484</v>
      </c>
      <c r="H13" s="970"/>
      <c r="I13" s="970"/>
      <c r="J13" s="970"/>
      <c r="K13" s="971"/>
    </row>
    <row r="14" spans="1:33" s="979" customFormat="1" ht="13.5" customHeight="1">
      <c r="A14" s="973" t="s">
        <v>1337</v>
      </c>
      <c r="B14" s="974" t="s">
        <v>2485</v>
      </c>
      <c r="C14" s="24">
        <f ca="1">ROUND(D14*E14*F11/10000,0)</f>
        <v>71</v>
      </c>
      <c r="D14" s="1035">
        <f ca="1">IF(C1="",'数据-汇总表'!E3,INDIRECT("'数据-取费表'!K"&amp;$K$1)+INDIRECT("'数据-取费表'!S"&amp;$K$1))</f>
        <v>71089.5</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2487</v>
      </c>
      <c r="C15" s="985">
        <f ca="1">ROUND(C11*F15,0)</f>
        <v>13</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1027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71089.5</v>
      </c>
      <c r="E17" s="24">
        <f>'数据-取费表'!B32</f>
        <v>0</v>
      </c>
      <c r="F17" s="980"/>
      <c r="G17" s="140" t="s">
        <v>2491</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2492</v>
      </c>
      <c r="C18" s="24">
        <f ca="1">C19+C20-IF(C1="",'数据-取费表'!B29,IF(G18="已全部缴纳",C19+C20,H18))</f>
        <v>0</v>
      </c>
      <c r="D18" s="1035"/>
      <c r="E18" s="24"/>
      <c r="F18" s="978"/>
      <c r="G18" s="2562" t="s">
        <v>3089</v>
      </c>
      <c r="H18" s="1579"/>
      <c r="I18" s="2563" t="s">
        <v>2493</v>
      </c>
      <c r="J18" s="981"/>
      <c r="K18" s="982"/>
    </row>
    <row r="19" spans="1:33" s="977" customFormat="1" ht="13.5" customHeight="1">
      <c r="A19" s="973" t="s">
        <v>805</v>
      </c>
      <c r="B19" s="974" t="s">
        <v>2494</v>
      </c>
      <c r="C19" s="24">
        <f ca="1">ROUND(D19*E19/10000,0)</f>
        <v>1137</v>
      </c>
      <c r="D19" s="1035">
        <f ca="1">IF(C1="",'数据-汇总表'!E5,IF(INDIRECT("'数据-取费表'!c"&amp;$K$1)="住宅",INDIRECT("'数据-取费表'!k"&amp;$K$1),0))</f>
        <v>71089.5</v>
      </c>
      <c r="E19" s="24">
        <f>'数据-取费表'!B27</f>
        <v>160</v>
      </c>
      <c r="F19" s="978"/>
      <c r="G19" s="15"/>
      <c r="H19" s="1581"/>
      <c r="I19" s="983"/>
      <c r="J19" s="983"/>
      <c r="K19" s="984"/>
    </row>
    <row r="20" spans="1:33" s="977" customFormat="1" ht="13.5" customHeight="1">
      <c r="A20" s="973" t="s">
        <v>806</v>
      </c>
      <c r="B20" s="974" t="s">
        <v>2495</v>
      </c>
      <c r="C20" s="24">
        <f ca="1">ROUND(D20*E20/10000,0)</f>
        <v>0</v>
      </c>
      <c r="D20" s="1035">
        <f ca="1">IF(C1="",'数据-汇总表'!E6,IF(INDIRECT("'数据-取费表'!c"&amp;$K$1)="住宅",INDIRECT("'数据-取费表'!s"&amp;$K$1),INDIRECT("'数据-取费表'!k"&amp;$K$1)+INDIRECT("'数据-取费表'!s"&amp;$K$1)))</f>
        <v>0</v>
      </c>
      <c r="E20" s="24">
        <f>'数据-取费表'!B28</f>
        <v>200</v>
      </c>
      <c r="F20" s="978"/>
      <c r="G20" s="15"/>
      <c r="H20" s="983"/>
      <c r="I20" s="983"/>
      <c r="J20" s="983"/>
      <c r="K20" s="984"/>
    </row>
    <row r="21" spans="1:33" s="977" customFormat="1" ht="13.5" customHeight="1">
      <c r="A21" s="963" t="s">
        <v>802</v>
      </c>
      <c r="B21" s="987" t="s">
        <v>2496</v>
      </c>
      <c r="C21" s="988">
        <f ca="1">C16+C17+C18</f>
        <v>1027</v>
      </c>
      <c r="D21" s="989"/>
      <c r="E21" s="324"/>
      <c r="F21" s="324"/>
      <c r="G21" s="140" t="s">
        <v>2497</v>
      </c>
      <c r="H21" s="981"/>
      <c r="I21" s="981"/>
      <c r="J21" s="981"/>
      <c r="K21" s="982"/>
    </row>
    <row r="22" spans="1:33" s="977" customFormat="1" ht="13.5" customHeight="1">
      <c r="A22" s="963" t="s">
        <v>2469</v>
      </c>
      <c r="B22" s="987" t="s">
        <v>2498</v>
      </c>
      <c r="C22" s="988">
        <f ca="1">ROUND(C21*F22,0)</f>
        <v>21</v>
      </c>
      <c r="D22" s="324"/>
      <c r="E22" s="324"/>
      <c r="F22" s="990">
        <f>'数据-取费表'!B37</f>
        <v>0.02</v>
      </c>
      <c r="G22" s="8" t="s">
        <v>2499</v>
      </c>
      <c r="H22" s="970"/>
      <c r="I22" s="970"/>
      <c r="J22" s="970"/>
      <c r="K22" s="971"/>
    </row>
    <row r="23" spans="1:33" s="977" customFormat="1" ht="13.5" customHeight="1">
      <c r="A23" s="963" t="s">
        <v>2471</v>
      </c>
      <c r="B23" s="987" t="s">
        <v>2500</v>
      </c>
      <c r="C23" s="988">
        <f ca="1">ROUND(C4*F23*F11,0)</f>
        <v>0</v>
      </c>
      <c r="D23" s="324"/>
      <c r="E23" s="324"/>
      <c r="F23" s="990">
        <f>'数据-取费表'!B38</f>
        <v>0</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2</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4.7999999999999996E-3</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2</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2509</v>
      </c>
      <c r="B28" s="2565" t="s">
        <v>2510</v>
      </c>
      <c r="C28" s="330">
        <f ca="1">C30</f>
        <v>31</v>
      </c>
      <c r="D28" s="323">
        <f ca="1">C29</f>
        <v>1.5E-3</v>
      </c>
      <c r="E28" s="325" t="s">
        <v>15</v>
      </c>
      <c r="F28" s="331">
        <f ca="1">IF(C1="",'数据-取费表'!Q16,INDIRECT("'数据-取费表'!q"&amp;$K$1))</f>
        <v>0.03</v>
      </c>
      <c r="G28" s="991"/>
      <c r="H28" s="992"/>
      <c r="I28" s="992"/>
      <c r="J28" s="992"/>
      <c r="K28" s="993"/>
    </row>
    <row r="29" spans="1:33" s="334" customFormat="1" ht="13.5" customHeight="1">
      <c r="A29" s="973" t="s">
        <v>803</v>
      </c>
      <c r="B29" s="996" t="s">
        <v>2511</v>
      </c>
      <c r="C29" s="327">
        <f ca="1">ROUND((1+C24)*F28*'数据-取费表'!B24/'数据-取费表'!B20,4)</f>
        <v>1.5E-3</v>
      </c>
      <c r="D29" s="327"/>
      <c r="E29" s="328"/>
      <c r="F29" s="333"/>
      <c r="G29" s="140" t="s">
        <v>2512</v>
      </c>
      <c r="H29" s="981"/>
      <c r="I29" s="981"/>
      <c r="J29" s="981"/>
      <c r="K29" s="982"/>
    </row>
    <row r="30" spans="1:33" s="334" customFormat="1" ht="13.5" customHeight="1">
      <c r="A30" s="973" t="s">
        <v>804</v>
      </c>
      <c r="B30" s="996" t="s">
        <v>2513</v>
      </c>
      <c r="C30" s="335">
        <f ca="1">ROUND((C21+C22+C23)*F28,0)</f>
        <v>31</v>
      </c>
      <c r="D30" s="327"/>
      <c r="E30" s="328"/>
      <c r="F30" s="333"/>
      <c r="G30" s="140"/>
      <c r="H30" s="981"/>
      <c r="I30" s="981"/>
      <c r="J30" s="981"/>
      <c r="K30" s="982"/>
    </row>
    <row r="31" spans="1:33" s="977" customFormat="1" ht="13.5" customHeight="1" thickBot="1">
      <c r="A31" s="2566" t="s">
        <v>2514</v>
      </c>
      <c r="B31" s="1007" t="s">
        <v>2515</v>
      </c>
      <c r="C31" s="1008">
        <f>ROUND(C4*F31/(1+'数据-取费表'!C42),0)</f>
        <v>4987</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84455</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7" sqref="F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2330</v>
      </c>
      <c r="B2" s="1420" t="e">
        <f ca="1">IF(C2="——",ROUND(C49*D3/10000,0),ROUND(C49*D3/10000,0)-D2)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2332</v>
      </c>
      <c r="B3" s="608" t="e">
        <f ca="1">IF(C2="——",C49,ROUND(B2*10000/D3,0))</f>
        <v>#DIV/0!</v>
      </c>
      <c r="C3" s="399" t="s">
        <v>2644</v>
      </c>
      <c r="D3" s="398">
        <f>IF(D1="",'数据-汇总表'!E3,SUMIF('数据-汇总表'!$C19:$C33,D1,'数据-汇总表'!$E19:$E33))</f>
        <v>71089.5</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99" t="s">
        <v>2647</v>
      </c>
      <c r="S4" s="3200"/>
      <c r="T4" s="3199" t="s">
        <v>2648</v>
      </c>
      <c r="U4" s="3200"/>
      <c r="V4" s="3184" t="s">
        <v>2649</v>
      </c>
      <c r="W4" s="3184"/>
      <c r="X4" s="1815"/>
      <c r="Y4" s="3199" t="s">
        <v>2651</v>
      </c>
      <c r="Z4" s="3200"/>
      <c r="AA4" s="3186" t="s">
        <v>2647</v>
      </c>
      <c r="AB4" s="3184" t="s">
        <v>2648</v>
      </c>
      <c r="AC4" s="3186" t="s">
        <v>2649</v>
      </c>
    </row>
    <row r="5" spans="1:29" ht="15">
      <c r="A5" s="403"/>
      <c r="B5" s="404"/>
      <c r="C5" s="3207" t="s">
        <v>2542</v>
      </c>
      <c r="D5" s="3208"/>
      <c r="E5" s="3214" t="s">
        <v>2543</v>
      </c>
      <c r="F5" s="3215"/>
      <c r="G5" s="3207" t="s">
        <v>2544</v>
      </c>
      <c r="H5" s="3208"/>
      <c r="I5" s="3207" t="s">
        <v>2545</v>
      </c>
      <c r="J5" s="3208"/>
      <c r="K5" s="609"/>
      <c r="L5" s="1132"/>
      <c r="M5" s="1133"/>
      <c r="N5" s="1133"/>
      <c r="O5" s="1133"/>
      <c r="P5" s="3195"/>
      <c r="Q5" s="3196"/>
      <c r="R5" s="3201"/>
      <c r="S5" s="3202"/>
      <c r="T5" s="3201"/>
      <c r="U5" s="3202"/>
      <c r="V5" s="3184"/>
      <c r="W5" s="3184"/>
      <c r="X5" s="1815"/>
      <c r="Y5" s="3201"/>
      <c r="Z5" s="3202"/>
      <c r="AA5" s="3187"/>
      <c r="AB5" s="3184"/>
      <c r="AC5" s="3187"/>
    </row>
    <row r="6" spans="1:29" ht="15.75" thickBot="1">
      <c r="A6" s="405"/>
      <c r="B6" s="406"/>
      <c r="C6" s="3205" t="s">
        <v>2546</v>
      </c>
      <c r="D6" s="3206"/>
      <c r="E6" s="3212" t="s">
        <v>2546</v>
      </c>
      <c r="F6" s="3213"/>
      <c r="G6" s="3205" t="s">
        <v>2546</v>
      </c>
      <c r="H6" s="3206"/>
      <c r="I6" s="3205" t="s">
        <v>2546</v>
      </c>
      <c r="J6" s="3206"/>
      <c r="K6" s="609" t="s">
        <v>2547</v>
      </c>
      <c r="L6" s="1132"/>
      <c r="M6" s="1133"/>
      <c r="N6" s="1133"/>
      <c r="O6" s="1133"/>
      <c r="P6" s="3197"/>
      <c r="Q6" s="3198"/>
      <c r="R6" s="3201"/>
      <c r="S6" s="3202"/>
      <c r="T6" s="3203"/>
      <c r="U6" s="3204"/>
      <c r="V6" s="3184"/>
      <c r="W6" s="3184"/>
      <c r="X6" s="1815"/>
      <c r="Y6" s="3203"/>
      <c r="Z6" s="3204"/>
      <c r="AA6" s="3188"/>
      <c r="AB6" s="3184"/>
      <c r="AC6" s="3188"/>
    </row>
    <row r="7" spans="1:29" s="117" customFormat="1" ht="15.75" thickBot="1">
      <c r="A7" s="407" t="s">
        <v>2548</v>
      </c>
      <c r="B7" s="408"/>
      <c r="C7" s="409">
        <f>'数据-取费表'!B2</f>
        <v>43312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9" t="s">
        <v>2549</v>
      </c>
      <c r="Q7" s="3211"/>
      <c r="R7" s="769" t="s">
        <v>17</v>
      </c>
      <c r="S7" s="770">
        <f t="shared" ref="S7:S15" si="0">F7</f>
        <v>0</v>
      </c>
      <c r="T7" s="769" t="s">
        <v>17</v>
      </c>
      <c r="U7" s="770">
        <f t="shared" ref="U7:U15" si="1">H7</f>
        <v>0</v>
      </c>
      <c r="V7" s="769" t="s">
        <v>17</v>
      </c>
      <c r="W7" s="770">
        <f t="shared" ref="W7:W15" si="2">J7</f>
        <v>0</v>
      </c>
      <c r="X7" s="771"/>
      <c r="Y7" s="3209" t="s">
        <v>2549</v>
      </c>
      <c r="Z7" s="3210"/>
      <c r="AA7" s="772" t="e">
        <f>D7/F7</f>
        <v>#DIV/0!</v>
      </c>
      <c r="AB7" s="772" t="e">
        <f>D7/H7</f>
        <v>#DIV/0!</v>
      </c>
      <c r="AC7" s="772" t="e">
        <f>D7/J7</f>
        <v>#DIV/0!</v>
      </c>
    </row>
    <row r="8" spans="1:29" s="117"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9" t="s">
        <v>2552</v>
      </c>
      <c r="Q8" s="3210"/>
      <c r="R8" s="769" t="s">
        <v>17</v>
      </c>
      <c r="S8" s="770">
        <f t="shared" si="0"/>
        <v>0</v>
      </c>
      <c r="T8" s="769" t="s">
        <v>17</v>
      </c>
      <c r="U8" s="770">
        <f t="shared" si="1"/>
        <v>0</v>
      </c>
      <c r="V8" s="769" t="s">
        <v>17</v>
      </c>
      <c r="W8" s="770">
        <f t="shared" si="2"/>
        <v>0</v>
      </c>
      <c r="X8" s="771"/>
      <c r="Y8" s="3209" t="s">
        <v>2552</v>
      </c>
      <c r="Z8" s="3210"/>
      <c r="AA8" s="772" t="e">
        <f t="shared" ref="AA8:AA46" si="3">D8/F8</f>
        <v>#DIV/0!</v>
      </c>
      <c r="AB8" s="772" t="e">
        <f t="shared" ref="AB8:AB46" si="4">D8/H8</f>
        <v>#DIV/0!</v>
      </c>
      <c r="AC8" s="772" t="e">
        <f t="shared" ref="AC8:AC46" si="5">D8/J8</f>
        <v>#DIV/0!</v>
      </c>
    </row>
    <row r="9" spans="1:29" s="117" customFormat="1">
      <c r="A9" s="414" t="s">
        <v>2553</v>
      </c>
      <c r="B9" s="71" t="s">
        <v>2554</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85" t="s">
        <v>2555</v>
      </c>
      <c r="Q9" s="1797" t="str">
        <f t="shared" ref="Q9:Q15" si="6">B9</f>
        <v>用途</v>
      </c>
      <c r="R9" s="769" t="s">
        <v>17</v>
      </c>
      <c r="S9" s="770">
        <f t="shared" si="0"/>
        <v>100</v>
      </c>
      <c r="T9" s="769" t="s">
        <v>17</v>
      </c>
      <c r="U9" s="770">
        <f t="shared" si="1"/>
        <v>100</v>
      </c>
      <c r="V9" s="769" t="s">
        <v>17</v>
      </c>
      <c r="W9" s="770">
        <f t="shared" si="2"/>
        <v>100</v>
      </c>
      <c r="X9" s="771"/>
      <c r="Y9" s="3005"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85"/>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5"/>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71.25">
      <c r="A15" s="439" t="s">
        <v>2559</v>
      </c>
      <c r="B15" s="69" t="s">
        <v>2653</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75" t="s">
        <v>2560</v>
      </c>
      <c r="Q15" s="1812" t="str">
        <f t="shared" si="6"/>
        <v>商业繁华度</v>
      </c>
      <c r="R15" s="773" t="s">
        <v>17</v>
      </c>
      <c r="S15" s="774">
        <f t="shared" si="0"/>
        <v>100</v>
      </c>
      <c r="T15" s="773" t="s">
        <v>17</v>
      </c>
      <c r="U15" s="774">
        <f t="shared" si="1"/>
        <v>100</v>
      </c>
      <c r="V15" s="773" t="s">
        <v>17</v>
      </c>
      <c r="W15" s="774">
        <f t="shared" si="2"/>
        <v>100</v>
      </c>
      <c r="X15" s="1815"/>
      <c r="Y15" s="3177"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76"/>
      <c r="Q16" s="1812"/>
      <c r="R16" s="773"/>
      <c r="S16" s="774"/>
      <c r="T16" s="773"/>
      <c r="U16" s="774"/>
      <c r="V16" s="773"/>
      <c r="W16" s="774"/>
      <c r="X16" s="1815"/>
      <c r="Y16" s="3178"/>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76"/>
      <c r="Q17" s="1812" t="str">
        <f>B17</f>
        <v>交通便捷度</v>
      </c>
      <c r="R17" s="773" t="s">
        <v>17</v>
      </c>
      <c r="S17" s="774">
        <f>F17</f>
        <v>100</v>
      </c>
      <c r="T17" s="773" t="s">
        <v>17</v>
      </c>
      <c r="U17" s="774">
        <f>H17</f>
        <v>100</v>
      </c>
      <c r="V17" s="773" t="s">
        <v>17</v>
      </c>
      <c r="W17" s="774">
        <f>J17</f>
        <v>100</v>
      </c>
      <c r="X17" s="1815"/>
      <c r="Y17" s="3178"/>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176"/>
      <c r="Q18" s="1812"/>
      <c r="R18" s="773"/>
      <c r="S18" s="774"/>
      <c r="T18" s="773"/>
      <c r="U18" s="774"/>
      <c r="V18" s="773"/>
      <c r="W18" s="774"/>
      <c r="X18" s="1815"/>
      <c r="Y18" s="3178"/>
      <c r="Z18" s="1816"/>
      <c r="AA18" s="1813">
        <v>1</v>
      </c>
      <c r="AB18" s="1813">
        <v>1</v>
      </c>
      <c r="AC18" s="1813">
        <v>1</v>
      </c>
    </row>
    <row r="19" spans="1:29" ht="42.75">
      <c r="A19" s="427"/>
      <c r="B19" s="450" t="s">
        <v>2654</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76"/>
      <c r="Q19" s="1812" t="str">
        <f>B19</f>
        <v>公共配套设施</v>
      </c>
      <c r="R19" s="773" t="s">
        <v>17</v>
      </c>
      <c r="S19" s="774">
        <f>F19</f>
        <v>100</v>
      </c>
      <c r="T19" s="773" t="s">
        <v>17</v>
      </c>
      <c r="U19" s="774">
        <f>H19</f>
        <v>100</v>
      </c>
      <c r="V19" s="773" t="s">
        <v>17</v>
      </c>
      <c r="W19" s="774">
        <f>J19</f>
        <v>100</v>
      </c>
      <c r="X19" s="1815"/>
      <c r="Y19" s="3178"/>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176"/>
      <c r="Q20" s="1812"/>
      <c r="R20" s="773"/>
      <c r="S20" s="774"/>
      <c r="T20" s="773"/>
      <c r="U20" s="774"/>
      <c r="V20" s="773"/>
      <c r="W20" s="774"/>
      <c r="X20" s="1815"/>
      <c r="Y20" s="3178"/>
      <c r="Z20" s="1816"/>
      <c r="AA20" s="1813">
        <v>1</v>
      </c>
      <c r="AB20" s="1813">
        <v>1</v>
      </c>
      <c r="AC20" s="1813">
        <v>1</v>
      </c>
    </row>
    <row r="21" spans="1:29" ht="28.5">
      <c r="A21" s="427"/>
      <c r="B21" s="1386" t="s">
        <v>2655</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76"/>
      <c r="Q21" s="1812" t="str">
        <f>B21</f>
        <v>基础设施水平</v>
      </c>
      <c r="R21" s="773" t="s">
        <v>17</v>
      </c>
      <c r="S21" s="774">
        <f>F21</f>
        <v>100</v>
      </c>
      <c r="T21" s="773" t="s">
        <v>17</v>
      </c>
      <c r="U21" s="774">
        <f>H21</f>
        <v>100</v>
      </c>
      <c r="V21" s="773" t="s">
        <v>17</v>
      </c>
      <c r="W21" s="774">
        <f>J21</f>
        <v>100</v>
      </c>
      <c r="X21" s="1815"/>
      <c r="Y21" s="3178"/>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176"/>
      <c r="Q22" s="1812"/>
      <c r="R22" s="773"/>
      <c r="S22" s="774"/>
      <c r="T22" s="773"/>
      <c r="U22" s="774"/>
      <c r="V22" s="773"/>
      <c r="W22" s="774"/>
      <c r="X22" s="1815"/>
      <c r="Y22" s="3178"/>
      <c r="Z22" s="1816"/>
      <c r="AA22" s="1813">
        <v>1</v>
      </c>
      <c r="AB22" s="1813">
        <v>1</v>
      </c>
      <c r="AC22" s="1813">
        <v>1</v>
      </c>
    </row>
    <row r="23" spans="1:29" ht="57">
      <c r="A23" s="427"/>
      <c r="B23" s="450" t="s">
        <v>2106</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76"/>
      <c r="Q23" s="1812" t="str">
        <f>B23</f>
        <v>自然及人文环境</v>
      </c>
      <c r="R23" s="773" t="s">
        <v>17</v>
      </c>
      <c r="S23" s="774">
        <f>F23</f>
        <v>100</v>
      </c>
      <c r="T23" s="773" t="s">
        <v>17</v>
      </c>
      <c r="U23" s="774">
        <f>H23</f>
        <v>100</v>
      </c>
      <c r="V23" s="773" t="s">
        <v>17</v>
      </c>
      <c r="W23" s="774">
        <f>J23</f>
        <v>100</v>
      </c>
      <c r="X23" s="1815"/>
      <c r="Y23" s="3178"/>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176"/>
      <c r="Q24" s="1812"/>
      <c r="R24" s="773"/>
      <c r="S24" s="774"/>
      <c r="T24" s="773"/>
      <c r="U24" s="774"/>
      <c r="V24" s="773"/>
      <c r="W24" s="774"/>
      <c r="X24" s="1815"/>
      <c r="Y24" s="3178"/>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76"/>
      <c r="Q25" s="1812" t="str">
        <f t="shared" ref="Q25:Q46" si="11">B25</f>
        <v>临街状况</v>
      </c>
      <c r="R25" s="773" t="s">
        <v>17</v>
      </c>
      <c r="S25" s="774">
        <f>F25</f>
        <v>100</v>
      </c>
      <c r="T25" s="773" t="s">
        <v>17</v>
      </c>
      <c r="U25" s="774">
        <f>H25</f>
        <v>100</v>
      </c>
      <c r="V25" s="773" t="s">
        <v>17</v>
      </c>
      <c r="W25" s="774">
        <f>J25</f>
        <v>100</v>
      </c>
      <c r="X25" s="1815"/>
      <c r="Y25" s="3178"/>
      <c r="Z25" s="1816" t="str">
        <f>Q25</f>
        <v>临街状况</v>
      </c>
      <c r="AA25" s="1813">
        <f t="shared" si="3"/>
        <v>1</v>
      </c>
      <c r="AB25" s="1813">
        <f t="shared" si="4"/>
        <v>1</v>
      </c>
      <c r="AC25" s="1813">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76"/>
      <c r="Q26" s="1812" t="str">
        <f t="shared" si="11"/>
        <v>平面位置/可视性</v>
      </c>
      <c r="R26" s="773" t="s">
        <v>17</v>
      </c>
      <c r="S26" s="774">
        <f>F26</f>
        <v>100</v>
      </c>
      <c r="T26" s="773" t="s">
        <v>17</v>
      </c>
      <c r="U26" s="774">
        <f>H26</f>
        <v>100</v>
      </c>
      <c r="V26" s="773" t="s">
        <v>17</v>
      </c>
      <c r="W26" s="774">
        <f>J26</f>
        <v>100</v>
      </c>
      <c r="X26" s="1815"/>
      <c r="Y26" s="3178"/>
      <c r="Z26" s="1816" t="str">
        <f>Q26</f>
        <v>平面位置/可视性</v>
      </c>
      <c r="AA26" s="1813">
        <f t="shared" si="3"/>
        <v>1</v>
      </c>
      <c r="AB26" s="1813">
        <f t="shared" si="4"/>
        <v>1</v>
      </c>
      <c r="AC26" s="1813">
        <f t="shared" si="5"/>
        <v>1</v>
      </c>
    </row>
    <row r="27" spans="1:29" s="117" customFormat="1" ht="15">
      <c r="A27" s="430"/>
      <c r="B27" s="450" t="s">
        <v>2658</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176"/>
      <c r="Q27" s="1797" t="str">
        <f t="shared" si="11"/>
        <v>人流量</v>
      </c>
      <c r="R27" s="769" t="s">
        <v>17</v>
      </c>
      <c r="S27" s="770">
        <f>F27</f>
        <v>100</v>
      </c>
      <c r="T27" s="769" t="s">
        <v>17</v>
      </c>
      <c r="U27" s="770">
        <f>H27</f>
        <v>100</v>
      </c>
      <c r="V27" s="769" t="s">
        <v>17</v>
      </c>
      <c r="W27" s="770">
        <f>J27</f>
        <v>100</v>
      </c>
      <c r="X27" s="771"/>
      <c r="Y27" s="3178"/>
      <c r="Z27" s="55"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7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76"/>
      <c r="Q29" s="1812">
        <f t="shared" si="11"/>
        <v>111</v>
      </c>
      <c r="R29" s="773" t="s">
        <v>17</v>
      </c>
      <c r="S29" s="774">
        <f t="shared" si="12"/>
        <v>100</v>
      </c>
      <c r="T29" s="773" t="s">
        <v>17</v>
      </c>
      <c r="U29" s="774">
        <f t="shared" si="13"/>
        <v>100</v>
      </c>
      <c r="V29" s="773" t="s">
        <v>17</v>
      </c>
      <c r="W29" s="774">
        <f t="shared" si="14"/>
        <v>100</v>
      </c>
      <c r="X29" s="1815"/>
      <c r="Y29" s="317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76"/>
      <c r="Q30" s="1812">
        <f t="shared" si="11"/>
        <v>111</v>
      </c>
      <c r="R30" s="773" t="s">
        <v>17</v>
      </c>
      <c r="S30" s="774">
        <f t="shared" si="12"/>
        <v>100</v>
      </c>
      <c r="T30" s="773" t="s">
        <v>17</v>
      </c>
      <c r="U30" s="774">
        <f t="shared" si="13"/>
        <v>100</v>
      </c>
      <c r="V30" s="773" t="s">
        <v>17</v>
      </c>
      <c r="W30" s="774">
        <f t="shared" si="14"/>
        <v>100</v>
      </c>
      <c r="X30" s="1815"/>
      <c r="Y30" s="317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76"/>
      <c r="Q31" s="1812">
        <f t="shared" si="11"/>
        <v>111</v>
      </c>
      <c r="R31" s="773" t="s">
        <v>17</v>
      </c>
      <c r="S31" s="774">
        <f t="shared" si="12"/>
        <v>100</v>
      </c>
      <c r="T31" s="773" t="s">
        <v>17</v>
      </c>
      <c r="U31" s="774">
        <f t="shared" si="13"/>
        <v>100</v>
      </c>
      <c r="V31" s="773" t="s">
        <v>17</v>
      </c>
      <c r="W31" s="774">
        <f t="shared" si="14"/>
        <v>100</v>
      </c>
      <c r="X31" s="1815"/>
      <c r="Y31" s="3178"/>
      <c r="Z31" s="1816">
        <f t="shared" si="15"/>
        <v>111</v>
      </c>
      <c r="AA31" s="1813">
        <f t="shared" si="3"/>
        <v>1</v>
      </c>
      <c r="AB31" s="1813">
        <f t="shared" si="4"/>
        <v>1</v>
      </c>
      <c r="AC31" s="1813">
        <f t="shared" si="5"/>
        <v>1</v>
      </c>
    </row>
    <row r="32" spans="1:29" ht="15">
      <c r="A32" s="439" t="s">
        <v>2563</v>
      </c>
      <c r="B32" s="71" t="s">
        <v>2660</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179" t="s">
        <v>2565</v>
      </c>
      <c r="Q32" s="1812" t="str">
        <f t="shared" si="11"/>
        <v>商业类型</v>
      </c>
      <c r="R32" s="773" t="s">
        <v>17</v>
      </c>
      <c r="S32" s="774">
        <f t="shared" si="12"/>
        <v>100</v>
      </c>
      <c r="T32" s="773" t="s">
        <v>17</v>
      </c>
      <c r="U32" s="774">
        <f t="shared" si="13"/>
        <v>100</v>
      </c>
      <c r="V32" s="773" t="s">
        <v>17</v>
      </c>
      <c r="W32" s="774">
        <f t="shared" si="14"/>
        <v>100</v>
      </c>
      <c r="X32" s="1815"/>
      <c r="Y32" s="3182" t="s">
        <v>2565</v>
      </c>
      <c r="Z32" s="1816" t="str">
        <f t="shared" si="15"/>
        <v>商业类型</v>
      </c>
      <c r="AA32" s="1813">
        <f t="shared" si="3"/>
        <v>1</v>
      </c>
      <c r="AB32" s="1813">
        <f t="shared" si="4"/>
        <v>1</v>
      </c>
      <c r="AC32" s="1813">
        <f t="shared" si="5"/>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80"/>
      <c r="Q33" s="775" t="str">
        <f t="shared" si="11"/>
        <v>项目建筑规模</v>
      </c>
      <c r="R33" s="776" t="s">
        <v>17</v>
      </c>
      <c r="S33" s="777" t="e">
        <f t="shared" si="12"/>
        <v>#N/A</v>
      </c>
      <c r="T33" s="776" t="s">
        <v>17</v>
      </c>
      <c r="U33" s="777" t="e">
        <f t="shared" si="13"/>
        <v>#N/A</v>
      </c>
      <c r="V33" s="776" t="s">
        <v>17</v>
      </c>
      <c r="W33" s="777" t="e">
        <f t="shared" si="14"/>
        <v>#N/A</v>
      </c>
      <c r="X33" s="778"/>
      <c r="Y33" s="3182"/>
      <c r="Z33" s="779" t="str">
        <f t="shared" si="15"/>
        <v>项目建筑规模</v>
      </c>
      <c r="AA33" s="1813" t="e">
        <f t="shared" si="3"/>
        <v>#N/A</v>
      </c>
      <c r="AB33" s="1813" t="e">
        <f t="shared" si="4"/>
        <v>#N/A</v>
      </c>
      <c r="AC33" s="1813" t="e">
        <f t="shared" si="5"/>
        <v>#N/A</v>
      </c>
    </row>
    <row r="34" spans="1:29" ht="15">
      <c r="A34" s="471"/>
      <c r="B34" s="421" t="s">
        <v>2567</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180"/>
      <c r="Q34" s="1812" t="str">
        <f t="shared" si="11"/>
        <v>建筑结构</v>
      </c>
      <c r="R34" s="773" t="s">
        <v>17</v>
      </c>
      <c r="S34" s="774">
        <f t="shared" si="12"/>
        <v>100</v>
      </c>
      <c r="T34" s="773" t="s">
        <v>17</v>
      </c>
      <c r="U34" s="774">
        <f t="shared" si="13"/>
        <v>100</v>
      </c>
      <c r="V34" s="773" t="s">
        <v>17</v>
      </c>
      <c r="W34" s="774">
        <f t="shared" si="14"/>
        <v>100</v>
      </c>
      <c r="X34" s="1815"/>
      <c r="Y34" s="3182"/>
      <c r="Z34" s="1816" t="str">
        <f t="shared" si="15"/>
        <v>建筑结构</v>
      </c>
      <c r="AA34" s="1813">
        <f t="shared" si="3"/>
        <v>1</v>
      </c>
      <c r="AB34" s="1813">
        <f t="shared" si="4"/>
        <v>1</v>
      </c>
      <c r="AC34" s="1813">
        <f t="shared" si="5"/>
        <v>1</v>
      </c>
    </row>
    <row r="35" spans="1:29" ht="15">
      <c r="A35" s="471"/>
      <c r="B35" s="421" t="s">
        <v>2661</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180"/>
      <c r="Q35" s="1812" t="str">
        <f t="shared" si="11"/>
        <v>公共部分装修</v>
      </c>
      <c r="R35" s="773" t="s">
        <v>17</v>
      </c>
      <c r="S35" s="774">
        <f t="shared" si="12"/>
        <v>100</v>
      </c>
      <c r="T35" s="773" t="s">
        <v>17</v>
      </c>
      <c r="U35" s="774">
        <f t="shared" si="13"/>
        <v>100</v>
      </c>
      <c r="V35" s="773" t="s">
        <v>17</v>
      </c>
      <c r="W35" s="774">
        <f t="shared" si="14"/>
        <v>100</v>
      </c>
      <c r="X35" s="1815"/>
      <c r="Y35" s="3182"/>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0"/>
      <c r="Q36" s="1812" t="str">
        <f t="shared" si="11"/>
        <v>成新度</v>
      </c>
      <c r="R36" s="773" t="s">
        <v>17</v>
      </c>
      <c r="S36" s="774" t="e">
        <f t="shared" si="12"/>
        <v>#N/A</v>
      </c>
      <c r="T36" s="773" t="s">
        <v>17</v>
      </c>
      <c r="U36" s="774" t="e">
        <f t="shared" si="13"/>
        <v>#N/A</v>
      </c>
      <c r="V36" s="773" t="s">
        <v>17</v>
      </c>
      <c r="W36" s="774" t="e">
        <f t="shared" si="14"/>
        <v>#N/A</v>
      </c>
      <c r="X36" s="1815"/>
      <c r="Y36" s="3182"/>
      <c r="Z36" s="1816" t="str">
        <f t="shared" si="15"/>
        <v>成新度</v>
      </c>
      <c r="AA36" s="1813" t="e">
        <f t="shared" si="3"/>
        <v>#N/A</v>
      </c>
      <c r="AB36" s="1813" t="e">
        <f t="shared" si="4"/>
        <v>#N/A</v>
      </c>
      <c r="AC36" s="1813" t="e">
        <f t="shared" si="5"/>
        <v>#N/A</v>
      </c>
    </row>
    <row r="37" spans="1:29" s="117" customFormat="1" ht="15">
      <c r="A37" s="472"/>
      <c r="B37" s="421" t="s">
        <v>2663</v>
      </c>
      <c r="C37" s="2619"/>
      <c r="D37" s="136">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180"/>
      <c r="Q37" s="1797" t="str">
        <f t="shared" si="11"/>
        <v>市政基础设施</v>
      </c>
      <c r="R37" s="769" t="s">
        <v>17</v>
      </c>
      <c r="S37" s="770">
        <f t="shared" si="12"/>
        <v>100</v>
      </c>
      <c r="T37" s="769" t="s">
        <v>17</v>
      </c>
      <c r="U37" s="770">
        <f t="shared" si="13"/>
        <v>100</v>
      </c>
      <c r="V37" s="769" t="s">
        <v>17</v>
      </c>
      <c r="W37" s="770">
        <f t="shared" si="14"/>
        <v>100</v>
      </c>
      <c r="X37" s="771"/>
      <c r="Y37" s="3182"/>
      <c r="Z37" s="55" t="str">
        <f t="shared" si="15"/>
        <v>市政基础设施</v>
      </c>
      <c r="AA37" s="772">
        <f t="shared" si="3"/>
        <v>1</v>
      </c>
      <c r="AB37" s="772">
        <f t="shared" si="4"/>
        <v>1</v>
      </c>
      <c r="AC37" s="772">
        <f t="shared" si="5"/>
        <v>1</v>
      </c>
    </row>
    <row r="38" spans="1:29" ht="15">
      <c r="A38" s="471"/>
      <c r="B38" s="421" t="s">
        <v>2664</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180" t="s">
        <v>2565</v>
      </c>
      <c r="Q38" s="1812" t="str">
        <f t="shared" si="11"/>
        <v>业态</v>
      </c>
      <c r="R38" s="773" t="s">
        <v>17</v>
      </c>
      <c r="S38" s="774">
        <f t="shared" si="12"/>
        <v>100</v>
      </c>
      <c r="T38" s="773" t="s">
        <v>17</v>
      </c>
      <c r="U38" s="774">
        <f t="shared" si="13"/>
        <v>100</v>
      </c>
      <c r="V38" s="773" t="s">
        <v>17</v>
      </c>
      <c r="W38" s="774">
        <f t="shared" si="14"/>
        <v>100</v>
      </c>
      <c r="X38" s="1815"/>
      <c r="Y38" s="3182" t="s">
        <v>2565</v>
      </c>
      <c r="Z38" s="1816" t="str">
        <f t="shared" si="15"/>
        <v>业态</v>
      </c>
      <c r="AA38" s="1813">
        <f t="shared" si="3"/>
        <v>1</v>
      </c>
      <c r="AB38" s="1813">
        <f t="shared" si="4"/>
        <v>1</v>
      </c>
      <c r="AC38" s="1813">
        <f t="shared" si="5"/>
        <v>1</v>
      </c>
    </row>
    <row r="39" spans="1:29" ht="15">
      <c r="A39" s="471"/>
      <c r="B39" s="421" t="s">
        <v>2665</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180"/>
      <c r="Q39" s="1812" t="str">
        <f t="shared" si="11"/>
        <v>层高</v>
      </c>
      <c r="R39" s="773" t="s">
        <v>17</v>
      </c>
      <c r="S39" s="774">
        <f t="shared" si="12"/>
        <v>100</v>
      </c>
      <c r="T39" s="773" t="s">
        <v>17</v>
      </c>
      <c r="U39" s="774">
        <f t="shared" si="13"/>
        <v>100</v>
      </c>
      <c r="V39" s="773" t="s">
        <v>17</v>
      </c>
      <c r="W39" s="774">
        <f t="shared" si="14"/>
        <v>100</v>
      </c>
      <c r="X39" s="1815"/>
      <c r="Y39" s="3182"/>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0"/>
      <c r="Q40" s="1812" t="str">
        <f t="shared" si="11"/>
        <v>单套建筑面积</v>
      </c>
      <c r="R40" s="773" t="s">
        <v>17</v>
      </c>
      <c r="S40" s="774">
        <f t="shared" si="12"/>
        <v>100</v>
      </c>
      <c r="T40" s="773" t="s">
        <v>17</v>
      </c>
      <c r="U40" s="774">
        <f t="shared" si="13"/>
        <v>100</v>
      </c>
      <c r="V40" s="773" t="s">
        <v>17</v>
      </c>
      <c r="W40" s="774">
        <f t="shared" si="14"/>
        <v>100</v>
      </c>
      <c r="X40" s="1815"/>
      <c r="Y40" s="3182"/>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0"/>
      <c r="Q41" s="775" t="str">
        <f t="shared" si="11"/>
        <v>进深比</v>
      </c>
      <c r="R41" s="776" t="s">
        <v>17</v>
      </c>
      <c r="S41" s="777">
        <f t="shared" si="12"/>
        <v>100</v>
      </c>
      <c r="T41" s="776" t="s">
        <v>17</v>
      </c>
      <c r="U41" s="777">
        <f t="shared" si="13"/>
        <v>100</v>
      </c>
      <c r="V41" s="776" t="s">
        <v>17</v>
      </c>
      <c r="W41" s="777">
        <f t="shared" si="14"/>
        <v>100</v>
      </c>
      <c r="X41" s="778"/>
      <c r="Y41" s="3182"/>
      <c r="Z41" s="779" t="str">
        <f t="shared" si="15"/>
        <v>进深比</v>
      </c>
      <c r="AA41" s="1813">
        <f t="shared" si="3"/>
        <v>1</v>
      </c>
      <c r="AB41" s="1813">
        <f t="shared" si="4"/>
        <v>1</v>
      </c>
      <c r="AC41" s="1813">
        <f t="shared" si="5"/>
        <v>1</v>
      </c>
    </row>
    <row r="42" spans="1:29" ht="15">
      <c r="A42" s="471"/>
      <c r="B42" s="421" t="s">
        <v>2668</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180"/>
      <c r="Q42" s="1812" t="str">
        <f t="shared" si="11"/>
        <v>内部装修</v>
      </c>
      <c r="R42" s="773" t="s">
        <v>17</v>
      </c>
      <c r="S42" s="774">
        <f t="shared" si="12"/>
        <v>100</v>
      </c>
      <c r="T42" s="773" t="s">
        <v>17</v>
      </c>
      <c r="U42" s="774">
        <f t="shared" si="13"/>
        <v>100</v>
      </c>
      <c r="V42" s="773" t="s">
        <v>17</v>
      </c>
      <c r="W42" s="774">
        <f t="shared" si="14"/>
        <v>100</v>
      </c>
      <c r="X42" s="1815"/>
      <c r="Y42" s="3182"/>
      <c r="Z42" s="1816" t="str">
        <f t="shared" si="15"/>
        <v>内部装修</v>
      </c>
      <c r="AA42" s="1813">
        <f t="shared" si="3"/>
        <v>1</v>
      </c>
      <c r="AB42" s="1813">
        <f t="shared" si="4"/>
        <v>1</v>
      </c>
      <c r="AC42" s="1813">
        <f t="shared" si="5"/>
        <v>1</v>
      </c>
    </row>
    <row r="43" spans="1:29" ht="15">
      <c r="A43" s="471"/>
      <c r="B43" s="421" t="s">
        <v>2576</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180"/>
      <c r="Q43" s="1812" t="str">
        <f t="shared" si="11"/>
        <v>内部装修维护情况</v>
      </c>
      <c r="R43" s="773" t="s">
        <v>17</v>
      </c>
      <c r="S43" s="774">
        <f t="shared" si="12"/>
        <v>100</v>
      </c>
      <c r="T43" s="773" t="s">
        <v>17</v>
      </c>
      <c r="U43" s="774">
        <f t="shared" si="13"/>
        <v>100</v>
      </c>
      <c r="V43" s="773" t="s">
        <v>17</v>
      </c>
      <c r="W43" s="774">
        <f t="shared" si="14"/>
        <v>100</v>
      </c>
      <c r="X43" s="1815"/>
      <c r="Y43" s="3182"/>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80"/>
      <c r="Q44" s="1797">
        <f t="shared" si="11"/>
        <v>111</v>
      </c>
      <c r="R44" s="769" t="s">
        <v>17</v>
      </c>
      <c r="S44" s="770">
        <f t="shared" si="12"/>
        <v>100</v>
      </c>
      <c r="T44" s="769" t="s">
        <v>17</v>
      </c>
      <c r="U44" s="770">
        <f t="shared" si="13"/>
        <v>100</v>
      </c>
      <c r="V44" s="769" t="s">
        <v>17</v>
      </c>
      <c r="W44" s="770">
        <f t="shared" si="14"/>
        <v>100</v>
      </c>
      <c r="X44" s="771"/>
      <c r="Y44" s="318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0"/>
      <c r="Q45" s="1812">
        <f t="shared" si="11"/>
        <v>111</v>
      </c>
      <c r="R45" s="773" t="s">
        <v>17</v>
      </c>
      <c r="S45" s="774">
        <f t="shared" si="12"/>
        <v>100</v>
      </c>
      <c r="T45" s="773" t="s">
        <v>17</v>
      </c>
      <c r="U45" s="774">
        <f t="shared" si="13"/>
        <v>100</v>
      </c>
      <c r="V45" s="773" t="s">
        <v>17</v>
      </c>
      <c r="W45" s="774">
        <f t="shared" si="14"/>
        <v>100</v>
      </c>
      <c r="X45" s="1815"/>
      <c r="Y45" s="3182"/>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1"/>
      <c r="Q46" s="1812">
        <f t="shared" si="11"/>
        <v>111</v>
      </c>
      <c r="R46" s="773" t="s">
        <v>17</v>
      </c>
      <c r="S46" s="774">
        <f t="shared" si="12"/>
        <v>100</v>
      </c>
      <c r="T46" s="773" t="s">
        <v>17</v>
      </c>
      <c r="U46" s="774">
        <f t="shared" si="13"/>
        <v>100</v>
      </c>
      <c r="V46" s="773" t="s">
        <v>17</v>
      </c>
      <c r="W46" s="774">
        <f t="shared" si="14"/>
        <v>100</v>
      </c>
      <c r="X46" s="1815"/>
      <c r="Y46" s="3183"/>
      <c r="Z46" s="1816">
        <f t="shared" si="15"/>
        <v>111</v>
      </c>
      <c r="AA46" s="1813">
        <f t="shared" si="3"/>
        <v>1</v>
      </c>
      <c r="AB46" s="1813">
        <f t="shared" si="4"/>
        <v>1</v>
      </c>
      <c r="AC46" s="1813">
        <f t="shared" si="5"/>
        <v>1</v>
      </c>
    </row>
    <row r="47" spans="1:29" ht="15">
      <c r="A47" s="478" t="s">
        <v>2577</v>
      </c>
      <c r="B47" s="479"/>
      <c r="C47" s="1409" t="s">
        <v>1</v>
      </c>
      <c r="D47" s="1410"/>
      <c r="E47" s="1411"/>
      <c r="F47" s="1412"/>
      <c r="G47" s="1413"/>
      <c r="H47" s="1414"/>
      <c r="I47" s="1411"/>
      <c r="J47" s="1414"/>
      <c r="K47" s="782"/>
      <c r="L47" s="1145"/>
      <c r="M47" s="1146"/>
      <c r="N47" s="1133"/>
      <c r="O47" s="1146"/>
      <c r="P47" s="3170" t="str">
        <f>A47</f>
        <v>成交单价（元/平方米）</v>
      </c>
      <c r="Q47" s="3170"/>
      <c r="R47" s="3184">
        <f>E47</f>
        <v>0</v>
      </c>
      <c r="S47" s="3184"/>
      <c r="T47" s="3184">
        <f>G47</f>
        <v>0</v>
      </c>
      <c r="U47" s="3184"/>
      <c r="V47" s="3184">
        <f>I47</f>
        <v>0</v>
      </c>
      <c r="W47" s="3184"/>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72" t="str">
        <f>A49</f>
        <v>估价对象XX用房的比较价值（楼面单价，元/平方米）</v>
      </c>
      <c r="Q49" s="3173"/>
      <c r="R49" s="3174" t="e">
        <f>IF(F1="售价",ROUND(AVERAGE(R48:V48),0),ROUND(AVERAGE(R48:V48),1))</f>
        <v>#DIV/0!</v>
      </c>
      <c r="S49" s="3174"/>
      <c r="T49" s="3174"/>
      <c r="U49" s="3174"/>
      <c r="V49" s="3174"/>
      <c r="W49" s="317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2548</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8"/>
      <c r="B59" s="509"/>
      <c r="C59" s="1575">
        <v>100</v>
      </c>
      <c r="D59" s="511"/>
      <c r="E59" s="511"/>
      <c r="F59" s="511"/>
      <c r="G59" s="511"/>
      <c r="H59" s="511"/>
      <c r="I59" s="511"/>
      <c r="J59" s="511"/>
      <c r="K59" s="511"/>
      <c r="L59" s="511"/>
      <c r="M59" s="512"/>
      <c r="N59" s="511"/>
      <c r="O59" s="512"/>
      <c r="P59" s="2634"/>
    </row>
    <row r="60" spans="1:29" s="117" customFormat="1" ht="15.75" thickBot="1">
      <c r="A60" s="514" t="s">
        <v>2585</v>
      </c>
      <c r="B60" s="515"/>
      <c r="C60" s="516"/>
      <c r="D60" s="517"/>
      <c r="E60" s="517"/>
      <c r="F60" s="517"/>
      <c r="G60" s="517"/>
      <c r="H60" s="517"/>
      <c r="I60" s="517"/>
      <c r="J60" s="517"/>
      <c r="K60" s="517"/>
      <c r="L60" s="517"/>
      <c r="M60" s="518"/>
      <c r="N60" s="517"/>
      <c r="O60" s="518"/>
      <c r="P60" s="2634"/>
      <c r="Q60" s="503"/>
    </row>
    <row r="61" spans="1:29" s="117" customFormat="1" ht="15">
      <c r="A61" s="520" t="s">
        <v>2550</v>
      </c>
      <c r="B61" s="509"/>
      <c r="C61" s="521" t="s">
        <v>2652</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2588</v>
      </c>
      <c r="B63" s="527" t="s">
        <v>2554</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2680</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7"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7"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2563</v>
      </c>
      <c r="B100" s="527" t="s">
        <v>2681</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2614</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2616</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2682</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2683</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2684</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2620</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3054</v>
      </c>
      <c r="C1" s="241"/>
      <c r="D1" s="241"/>
      <c r="E1" s="241"/>
      <c r="F1" s="241"/>
      <c r="G1" s="1381">
        <f>MATCH(B1,'数据-取费表'!A6:A16,0)+5</f>
        <v>6</v>
      </c>
    </row>
    <row r="2" spans="1:9" s="243" customFormat="1" ht="18" customHeight="1">
      <c r="A2" s="244" t="s">
        <v>1394</v>
      </c>
      <c r="B2" s="245">
        <f ca="1">IF(D2="——",C52,C52-E2)</f>
        <v>188693</v>
      </c>
      <c r="C2" s="242" t="s">
        <v>2331</v>
      </c>
      <c r="D2" s="2553" t="s">
        <v>70</v>
      </c>
      <c r="E2" s="1442" t="e">
        <f ca="1">SUMIF(INDIRECT("'"&amp;G2&amp;"'"&amp;"!A:A"),"承租人权益价值",INDIRECT("'"&amp;G2&amp;"'"&amp;"!c:c"))</f>
        <v>#REF!</v>
      </c>
      <c r="F2" s="2554" t="s">
        <v>2331</v>
      </c>
      <c r="G2" s="2555"/>
    </row>
    <row r="3" spans="1:9" s="243" customFormat="1" ht="18" customHeight="1" thickBot="1">
      <c r="A3" s="246" t="s">
        <v>1395</v>
      </c>
      <c r="B3" s="247">
        <f ca="1">ROUND(B2*10000/(IF(B1="",'数据-汇总表'!E3,INDIRECT("'数据-取费表'!k"&amp;$G$1))),0)</f>
        <v>26543</v>
      </c>
      <c r="C3" s="242" t="s">
        <v>2333</v>
      </c>
      <c r="D3" s="242"/>
      <c r="E3" s="242"/>
      <c r="F3" s="242"/>
      <c r="G3" s="242"/>
    </row>
    <row r="4" spans="1:9" s="251" customFormat="1" ht="15.75">
      <c r="A4" s="248" t="s">
        <v>2334</v>
      </c>
      <c r="B4" s="249"/>
      <c r="C4" s="249"/>
      <c r="D4" s="249"/>
      <c r="E4" s="249"/>
      <c r="F4" s="249"/>
      <c r="G4" s="250"/>
    </row>
    <row r="5" spans="1:9" s="257" customFormat="1" ht="13.5" customHeight="1">
      <c r="A5" s="298" t="s">
        <v>782</v>
      </c>
      <c r="B5" s="253" t="s">
        <v>2336</v>
      </c>
      <c r="C5" s="254">
        <f ca="1">C6+C7+C8</f>
        <v>137682</v>
      </c>
      <c r="D5" s="254" t="s">
        <v>2337</v>
      </c>
      <c r="E5" s="255" t="s">
        <v>2338</v>
      </c>
      <c r="F5" s="255" t="s">
        <v>2339</v>
      </c>
      <c r="G5" s="256"/>
    </row>
    <row r="6" spans="1:9" s="257" customFormat="1" ht="13.5" customHeight="1">
      <c r="A6" s="951" t="s">
        <v>791</v>
      </c>
      <c r="B6" s="258" t="s">
        <v>2341</v>
      </c>
      <c r="C6" s="259">
        <f ca="1">基准地价修正住宅!E29</f>
        <v>132504</v>
      </c>
      <c r="D6" s="260"/>
      <c r="E6" s="261"/>
      <c r="F6" s="261"/>
      <c r="G6" s="262"/>
    </row>
    <row r="7" spans="1:9" s="257" customFormat="1" ht="13.5" customHeight="1">
      <c r="A7" s="951" t="s">
        <v>792</v>
      </c>
      <c r="B7" s="258" t="s">
        <v>2343</v>
      </c>
      <c r="C7" s="263">
        <f ca="1">ROUND(C6*F7,0)</f>
        <v>4041</v>
      </c>
      <c r="D7" s="263"/>
      <c r="E7" s="261"/>
      <c r="F7" s="264">
        <f>'数据-取费表'!B48+'数据-取费表'!B49</f>
        <v>3.0499999999999999E-2</v>
      </c>
      <c r="G7" s="262"/>
    </row>
    <row r="8" spans="1:9" s="266" customFormat="1">
      <c r="A8" s="951" t="s">
        <v>793</v>
      </c>
      <c r="B8" s="258" t="s">
        <v>2345</v>
      </c>
      <c r="C8" s="263">
        <f ca="1">IF(G8="已包含在土地购买价格中","0",IF(B1="",'数据-取费表'!B29,IF(G9="全部缴纳",C9+C10,H9)))</f>
        <v>1137</v>
      </c>
      <c r="D8" s="265"/>
      <c r="E8" s="263"/>
      <c r="F8" s="264"/>
      <c r="G8" s="2556" t="s">
        <v>3083</v>
      </c>
    </row>
    <row r="9" spans="1:9" s="257" customFormat="1" ht="13.5" customHeight="1">
      <c r="A9" s="952" t="s">
        <v>800</v>
      </c>
      <c r="B9" s="267" t="s">
        <v>2346</v>
      </c>
      <c r="C9" s="268">
        <f ca="1">ROUND(D9*E9/10000,0)</f>
        <v>1137</v>
      </c>
      <c r="D9" s="1034">
        <f ca="1">IF(B1="",'数据-汇总表'!E5,IF(INDIRECT("'数据-取费表'!c"&amp;$G$1)="住宅",INDIRECT("'数据-取费表'!k"&amp;$G$1),0))</f>
        <v>71089.5</v>
      </c>
      <c r="E9" s="268">
        <f>'数据-取费表'!B27</f>
        <v>160</v>
      </c>
      <c r="F9" s="264"/>
      <c r="G9" s="2557" t="s">
        <v>3084</v>
      </c>
      <c r="H9" s="1392"/>
      <c r="I9" s="2558"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2345</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71089.5</v>
      </c>
      <c r="E19" s="254">
        <f>'数据-取费表'!B31</f>
        <v>200</v>
      </c>
      <c r="F19" s="274"/>
      <c r="G19" s="2556" t="s">
        <v>3085</v>
      </c>
    </row>
    <row r="20" spans="1:7" s="257" customFormat="1" ht="13.5" customHeight="1">
      <c r="A20" s="298" t="s">
        <v>2361</v>
      </c>
      <c r="B20" s="253" t="s">
        <v>2362</v>
      </c>
      <c r="C20" s="275">
        <f ca="1">ROUND((C5+C19)*F20,0)</f>
        <v>2754</v>
      </c>
      <c r="D20" s="275"/>
      <c r="E20" s="275"/>
      <c r="F20" s="276">
        <f>'数据-取费表'!B37</f>
        <v>0.02</v>
      </c>
      <c r="G20" s="277" t="s">
        <v>2363</v>
      </c>
    </row>
    <row r="21" spans="1:7" s="257" customFormat="1" ht="13.5" customHeight="1">
      <c r="A21" s="298" t="s">
        <v>2364</v>
      </c>
      <c r="B21" s="253" t="s">
        <v>2365</v>
      </c>
      <c r="C21" s="278">
        <f>F21</f>
        <v>0</v>
      </c>
      <c r="D21" s="279" t="s">
        <v>2366</v>
      </c>
      <c r="E21" s="275"/>
      <c r="F21" s="276">
        <f>'数据-取费表'!B38</f>
        <v>0</v>
      </c>
      <c r="G21" s="277" t="s">
        <v>2367</v>
      </c>
    </row>
    <row r="22" spans="1:7" s="257" customFormat="1" ht="13.5" customHeight="1">
      <c r="A22" s="298" t="s">
        <v>2368</v>
      </c>
      <c r="B22" s="253" t="s">
        <v>2369</v>
      </c>
      <c r="C22" s="1356">
        <f ca="1">ROUND(SUM(C23:C25),0)</f>
        <v>12815</v>
      </c>
      <c r="D22" s="278">
        <f ca="1">C26</f>
        <v>0</v>
      </c>
      <c r="E22" s="279" t="s">
        <v>2366</v>
      </c>
      <c r="F22" s="280">
        <f ca="1">'数据-取费表'!B40</f>
        <v>4.7500000000000001E-2</v>
      </c>
      <c r="G22" s="277" t="str">
        <f>IF('数据-取费表'!B22&lt;=1,"单利计息","复利计息")</f>
        <v>复利计息</v>
      </c>
    </row>
    <row r="23" spans="1:7" s="257" customFormat="1" ht="13.5" customHeight="1">
      <c r="A23" s="953" t="s">
        <v>791</v>
      </c>
      <c r="B23" s="258" t="s">
        <v>2371</v>
      </c>
      <c r="C23" s="1357">
        <f ca="1">ROUND(IF('数据-取费表'!B22&lt;=1,C5*F22*'数据-取费表'!B23,C5*(POWER((1+F22),'数据-取费表'!B23)-1)),0)</f>
        <v>12691</v>
      </c>
      <c r="D23" s="281"/>
      <c r="E23" s="281"/>
      <c r="F23" s="282"/>
      <c r="G23" s="283" t="s">
        <v>2372</v>
      </c>
    </row>
    <row r="24" spans="1:7" s="257" customFormat="1" ht="13.5" customHeight="1">
      <c r="A24" s="953" t="s">
        <v>792</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793</v>
      </c>
      <c r="B25" s="258" t="s">
        <v>2377</v>
      </c>
      <c r="C25" s="1357">
        <f ca="1">ROUND(IF('数据-取费表'!B22&lt;=1,C20*F22*'数据-取费表'!B23/2,C20*(POWER((1+F22),'数据-取费表'!B23/2)-1)),0)</f>
        <v>124</v>
      </c>
      <c r="D25" s="281"/>
      <c r="E25" s="284"/>
      <c r="F25" s="282"/>
      <c r="G25" s="285" t="s">
        <v>2378</v>
      </c>
    </row>
    <row r="26" spans="1:7" s="257" customFormat="1">
      <c r="A26" s="953" t="s">
        <v>795</v>
      </c>
      <c r="B26" s="258" t="s">
        <v>2379</v>
      </c>
      <c r="C26" s="281">
        <f ca="1">ROUND(IF('数据-取费表'!B22&lt;=1,F21*F22*'数据-取费表'!B23/2,F21*(POWER((1+F22),'数据-取费表'!B23/2)-1)),4)</f>
        <v>0</v>
      </c>
      <c r="D26" s="281"/>
      <c r="E26" s="284"/>
      <c r="F26" s="282"/>
      <c r="G26" s="286"/>
    </row>
    <row r="27" spans="1:7" s="257" customFormat="1" ht="24.75">
      <c r="A27" s="298" t="s">
        <v>2380</v>
      </c>
      <c r="B27" s="287" t="s">
        <v>2381</v>
      </c>
      <c r="C27" s="288">
        <f ca="1">C28</f>
        <v>4002</v>
      </c>
      <c r="D27" s="278">
        <f ca="1">C29</f>
        <v>0</v>
      </c>
      <c r="E27" s="279" t="s">
        <v>2366</v>
      </c>
      <c r="F27" s="289">
        <f ca="1">IF(B1="",'数据-取费表'!Q16,INDIRECT("'数据-取费表'!q"&amp;$G$1))</f>
        <v>0.03</v>
      </c>
      <c r="G27" s="290" t="s">
        <v>2383</v>
      </c>
    </row>
    <row r="28" spans="1:7" s="257" customFormat="1" ht="13.5" customHeight="1">
      <c r="A28" s="953" t="s">
        <v>791</v>
      </c>
      <c r="B28" s="291" t="s">
        <v>2384</v>
      </c>
      <c r="C28" s="292">
        <f ca="1">ROUND((C5+C19+C20)*F27*'数据-取费表'!B21/'数据-取费表'!B20,0)</f>
        <v>4002</v>
      </c>
      <c r="D28" s="278"/>
      <c r="E28" s="279"/>
      <c r="F28" s="289"/>
      <c r="G28" s="290"/>
    </row>
    <row r="29" spans="1:7" s="257" customFormat="1" ht="13.5" customHeight="1">
      <c r="A29" s="953" t="s">
        <v>792</v>
      </c>
      <c r="B29" s="291" t="s">
        <v>2385</v>
      </c>
      <c r="C29" s="281">
        <f ca="1">ROUND(C21*F27*'数据-取费表'!B21/'数据-取费表'!B20,4)</f>
        <v>0</v>
      </c>
      <c r="D29" s="278"/>
      <c r="E29" s="279"/>
      <c r="F29" s="289"/>
      <c r="G29" s="290"/>
    </row>
    <row r="30" spans="1:7" s="257" customFormat="1" ht="13.5" customHeight="1">
      <c r="A30" s="298" t="s">
        <v>2386</v>
      </c>
      <c r="B30" s="253" t="s">
        <v>2387</v>
      </c>
      <c r="C30" s="278">
        <f>ROUND(F30/(1+'数据-取费表'!C42),4)</f>
        <v>5.33E-2</v>
      </c>
      <c r="D30" s="279" t="s">
        <v>2366</v>
      </c>
      <c r="E30" s="284"/>
      <c r="F30" s="280">
        <f>'数据-取费表'!B41</f>
        <v>5.6000000000000001E-2</v>
      </c>
      <c r="G30" s="277" t="s">
        <v>2388</v>
      </c>
    </row>
    <row r="31" spans="1:7" ht="16.5" customHeight="1">
      <c r="A31" s="252">
        <v>1</v>
      </c>
      <c r="B31" s="253" t="s">
        <v>2389</v>
      </c>
      <c r="C31" s="254">
        <f ca="1">ROUND((C5+C19+C20+C22+C27)/(1-C21-D22-D27-C30),0)</f>
        <v>166106</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19499</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16883</v>
      </c>
      <c r="D34" s="260"/>
      <c r="E34" s="263"/>
      <c r="F34" s="300">
        <f ca="1">IF('数据-取费表'!B24=0,1,IF(B1="",'数据-取费表'!N16,INDIRECT("'数据-取费表'!n"&amp;$G$1)))</f>
        <v>0.95</v>
      </c>
      <c r="G34" s="262" t="s">
        <v>2394</v>
      </c>
    </row>
    <row r="35" spans="1:7" ht="13.5" customHeight="1">
      <c r="A35" s="953" t="s">
        <v>796</v>
      </c>
      <c r="B35" s="258" t="s">
        <v>2395</v>
      </c>
      <c r="C35" s="263">
        <f ca="1">ROUND(C34*F35,0)</f>
        <v>506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506</v>
      </c>
      <c r="D36" s="263"/>
      <c r="E36" s="263"/>
      <c r="F36" s="302">
        <f>'数据-取费表'!B34</f>
        <v>0.03</v>
      </c>
      <c r="G36" s="303" t="s">
        <v>2398</v>
      </c>
    </row>
    <row r="37" spans="1:7" s="301" customFormat="1" ht="13.5" customHeight="1">
      <c r="A37" s="953" t="s">
        <v>798</v>
      </c>
      <c r="B37" s="258" t="s">
        <v>2399</v>
      </c>
      <c r="C37" s="292">
        <f ca="1">ROUND(E37*D37*F34/10000,0)</f>
        <v>1351</v>
      </c>
      <c r="D37" s="260">
        <f ca="1">D19</f>
        <v>71089.5</v>
      </c>
      <c r="E37" s="292">
        <f>'数据-取费表'!B35</f>
        <v>200</v>
      </c>
      <c r="F37" s="302"/>
      <c r="G37" s="304" t="s">
        <v>2400</v>
      </c>
    </row>
    <row r="38" spans="1:7" ht="13.5" customHeight="1">
      <c r="A38" s="953" t="s">
        <v>799</v>
      </c>
      <c r="B38" s="258" t="s">
        <v>2401</v>
      </c>
      <c r="C38" s="263">
        <f ca="1">ROUND(C34*F38,0)</f>
        <v>253</v>
      </c>
      <c r="D38" s="263"/>
      <c r="E38" s="263"/>
      <c r="F38" s="302">
        <f>'数据-取费表'!B36</f>
        <v>1.4999999999999999E-2</v>
      </c>
      <c r="G38" s="262" t="s">
        <v>2396</v>
      </c>
    </row>
    <row r="39" spans="1:7" s="257" customFormat="1" ht="13.5" customHeight="1">
      <c r="A39" s="298" t="s">
        <v>2359</v>
      </c>
      <c r="B39" s="253" t="s">
        <v>2362</v>
      </c>
      <c r="C39" s="275">
        <f ca="1">ROUND(C33*F20,0)</f>
        <v>390</v>
      </c>
      <c r="D39" s="275"/>
      <c r="E39" s="275"/>
      <c r="F39" s="276"/>
      <c r="G39" s="277" t="s">
        <v>2404</v>
      </c>
    </row>
    <row r="40" spans="1:7" s="257" customFormat="1" ht="13.5" customHeight="1">
      <c r="A40" s="298" t="s">
        <v>2361</v>
      </c>
      <c r="B40" s="253" t="s">
        <v>2365</v>
      </c>
      <c r="C40" s="1730">
        <f>F21</f>
        <v>0</v>
      </c>
      <c r="D40" s="279" t="s">
        <v>2407</v>
      </c>
      <c r="E40" s="275"/>
      <c r="F40" s="276"/>
      <c r="G40" s="277" t="s">
        <v>2408</v>
      </c>
    </row>
    <row r="41" spans="1:7" s="257" customFormat="1" ht="13.5" customHeight="1">
      <c r="A41" s="298" t="s">
        <v>2364</v>
      </c>
      <c r="B41" s="253" t="s">
        <v>2369</v>
      </c>
      <c r="C41" s="275">
        <f ca="1">ROUND(SUM(C42:C43),0)</f>
        <v>897</v>
      </c>
      <c r="D41" s="278">
        <f ca="1">C44</f>
        <v>0</v>
      </c>
      <c r="E41" s="279" t="s">
        <v>2407</v>
      </c>
      <c r="F41" s="280"/>
      <c r="G41" s="277" t="str">
        <f>IF('数据-取费表'!B22&lt;=1,"单利计息","复利计息")</f>
        <v>复利计息</v>
      </c>
    </row>
    <row r="42" spans="1:7" ht="13.5" customHeight="1">
      <c r="A42" s="953" t="s">
        <v>791</v>
      </c>
      <c r="B42" s="258" t="s">
        <v>2371</v>
      </c>
      <c r="C42" s="281">
        <f ca="1">ROUND(IF('数据-取费表'!B22&lt;=1,C33*F22*'数据-取费表'!B21/2,C33*(POWER((1+F22),'数据-取费表'!B21/2)-1)),0)</f>
        <v>879</v>
      </c>
      <c r="D42" s="281"/>
      <c r="E42" s="281"/>
      <c r="F42" s="282"/>
      <c r="G42" s="3147" t="s">
        <v>2412</v>
      </c>
    </row>
    <row r="43" spans="1:7" ht="13.5" customHeight="1">
      <c r="A43" s="953" t="s">
        <v>792</v>
      </c>
      <c r="B43" s="258" t="s">
        <v>2374</v>
      </c>
      <c r="C43" s="281">
        <f ca="1">ROUND(IF('数据-取费表'!B22&lt;=1,C39*F22*'数据-取费表'!B21/2,C39*(POWER((1+F22),'数据-取费表'!B21/2)-1)),0)</f>
        <v>18</v>
      </c>
      <c r="D43" s="281"/>
      <c r="E43" s="281"/>
      <c r="F43" s="282"/>
      <c r="G43" s="3148"/>
    </row>
    <row r="44" spans="1:7" ht="13.5" customHeight="1">
      <c r="A44" s="953" t="s">
        <v>793</v>
      </c>
      <c r="B44" s="258" t="s">
        <v>2377</v>
      </c>
      <c r="C44" s="281">
        <f ca="1">ROUND(IF('数据-取费表'!B22&lt;=1,C40*F22*'数据-取费表'!B21/2,C40*(POWER((1+F22),'数据-取费表'!B21/2)-1)),4)</f>
        <v>0</v>
      </c>
      <c r="D44" s="281"/>
      <c r="E44" s="281"/>
      <c r="F44" s="282"/>
      <c r="G44" s="3149"/>
    </row>
    <row r="45" spans="1:7" s="257" customFormat="1" ht="13.5" customHeight="1">
      <c r="A45" s="298" t="s">
        <v>2368</v>
      </c>
      <c r="B45" s="287" t="s">
        <v>2381</v>
      </c>
      <c r="C45" s="288">
        <f ca="1">C46</f>
        <v>597</v>
      </c>
      <c r="D45" s="278">
        <f ca="1">C47</f>
        <v>0</v>
      </c>
      <c r="E45" s="279" t="s">
        <v>2407</v>
      </c>
      <c r="F45" s="289"/>
      <c r="G45" s="290" t="s">
        <v>2416</v>
      </c>
    </row>
    <row r="46" spans="1:7" s="257" customFormat="1" ht="13.5" customHeight="1">
      <c r="A46" s="953" t="s">
        <v>791</v>
      </c>
      <c r="B46" s="291" t="s">
        <v>2417</v>
      </c>
      <c r="C46" s="292">
        <f ca="1">ROUND((C33+C39)*F27,0)</f>
        <v>597</v>
      </c>
      <c r="D46" s="306"/>
      <c r="E46" s="279"/>
      <c r="F46" s="289"/>
      <c r="G46" s="290"/>
    </row>
    <row r="47" spans="1:7" s="257" customFormat="1" ht="13.5" customHeight="1">
      <c r="A47" s="953" t="s">
        <v>792</v>
      </c>
      <c r="B47" s="291" t="s">
        <v>2418</v>
      </c>
      <c r="C47" s="281">
        <f ca="1">ROUND(C40*F27,4)</f>
        <v>0</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22587</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22587</v>
      </c>
      <c r="D51" s="275"/>
      <c r="E51" s="275"/>
      <c r="F51" s="307"/>
      <c r="G51" s="277" t="s">
        <v>2428</v>
      </c>
    </row>
    <row r="52" spans="1:7" s="251" customFormat="1" ht="16.5" thickBot="1">
      <c r="A52" s="308" t="s">
        <v>2429</v>
      </c>
      <c r="B52" s="309"/>
      <c r="C52" s="310">
        <f ca="1">C31+C51</f>
        <v>188693</v>
      </c>
      <c r="D52" s="309"/>
      <c r="E52" s="309"/>
      <c r="F52" s="309"/>
      <c r="G52" s="311"/>
    </row>
    <row r="55" spans="1:7" ht="15">
      <c r="B55" s="313" t="s">
        <v>2430</v>
      </c>
      <c r="C55" s="314"/>
    </row>
    <row r="56" spans="1:7">
      <c r="B56" s="316" t="s">
        <v>1513</v>
      </c>
      <c r="C56" s="318">
        <f ca="1">1-C57</f>
        <v>0.88</v>
      </c>
    </row>
    <row r="57" spans="1:7">
      <c r="B57" s="316" t="s">
        <v>1514</v>
      </c>
      <c r="C57" s="317">
        <f ca="1">ROUND(C51/C52,3)</f>
        <v>0.12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59" sqref="G5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2804</v>
      </c>
      <c r="B1" s="240"/>
      <c r="C1" s="244" t="s">
        <v>2805</v>
      </c>
      <c r="D1" s="387">
        <f>SUM(D29:D30,D33:D39)</f>
        <v>0</v>
      </c>
      <c r="E1" s="2723"/>
      <c r="F1" s="2723"/>
      <c r="G1" s="2723"/>
      <c r="H1" s="2723"/>
      <c r="I1" s="2723"/>
      <c r="J1" s="2723"/>
      <c r="K1" s="1372"/>
      <c r="L1" s="2724" t="s">
        <v>2806</v>
      </c>
      <c r="M1" s="1082">
        <f>SUMPRODUCT((区片价!B5:B9=I2)*(区片价!C3:F3=E2)*(区片价!C5:F9))</f>
        <v>0</v>
      </c>
      <c r="N1" s="1085">
        <f>SUMPRODUCT((因素修正幅度!B5:B9=I2)*(因素修正幅度!C3:F3=E2)*(因素修正幅度!C5:F9))</f>
        <v>0</v>
      </c>
      <c r="O1" s="2725"/>
      <c r="P1" s="2725"/>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t="e">
        <f ca="1">C26</f>
        <v>#DIV/0!</v>
      </c>
      <c r="C2" s="2727" t="s">
        <v>2813</v>
      </c>
      <c r="D2" s="2728" t="s">
        <v>2814</v>
      </c>
      <c r="E2" s="2729" t="s">
        <v>1377</v>
      </c>
      <c r="F2" s="2728" t="s">
        <v>2815</v>
      </c>
      <c r="G2" s="2730" t="str">
        <f>IF(E2="商业",项目基本情况!B37,IF(E2="办公",项目基本情况!C37,IF(E2="住宅",项目基本情况!D37,项目基本情况!E37)))</f>
        <v>六级</v>
      </c>
      <c r="H2" s="2728" t="s">
        <v>2816</v>
      </c>
      <c r="I2" s="2730" t="str">
        <f>IF(E2="商业",项目基本情况!B38,IF(E2="办公",项目基本情况!C38,IF(E2="住宅",项目基本情况!D38,项目基本情况!E38)))</f>
        <v>Ⅵ-20</v>
      </c>
      <c r="J2" s="2731"/>
      <c r="K2" s="1372"/>
      <c r="L2" s="2732"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25.5">
      <c r="A3" s="246" t="s">
        <v>2818</v>
      </c>
      <c r="B3" s="247" t="e">
        <f ca="1">ROUND(B2*10000/D1,0)</f>
        <v>#DIV/0!</v>
      </c>
      <c r="C3" s="2727" t="s">
        <v>2819</v>
      </c>
      <c r="D3" s="2728" t="s">
        <v>2820</v>
      </c>
      <c r="E3" s="2733" t="s">
        <v>3074</v>
      </c>
      <c r="F3" s="2734" t="s">
        <v>3094</v>
      </c>
      <c r="G3" s="915">
        <f>IF(F3="宗地容积率",'数据-汇总表'!I4,IF(F3="估价对象容积率",'数据-汇总表'!I6,'数据-汇总表'!I7))</f>
        <v>3.58</v>
      </c>
      <c r="H3" s="198" t="s">
        <v>2822</v>
      </c>
      <c r="I3" s="946">
        <v>2</v>
      </c>
      <c r="J3" s="2731" t="s">
        <v>2823</v>
      </c>
      <c r="K3" s="1372"/>
      <c r="L3" s="2732" t="s">
        <v>2824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53"/>
      <c r="B4" s="3154"/>
      <c r="C4" s="3154"/>
      <c r="D4" s="3155"/>
      <c r="E4" s="3155"/>
      <c r="F4" s="3155"/>
      <c r="G4" s="3155"/>
      <c r="H4" s="3155"/>
      <c r="I4" s="3155"/>
      <c r="J4" s="3156"/>
      <c r="K4" s="1372"/>
      <c r="L4" s="2732" t="s">
        <v>2825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6">
        <f>ROUND(IF(E2="商业",IF(F16="增加",C6*C7+C16,C6*C7-C16),IF(E2="住宅",IF(F16="增加",C6*C12+C16,C6*C12-C16),IF(F16="增加",C6+C16,C6-C16))),0)</f>
        <v>10340</v>
      </c>
      <c r="D5" s="1789">
        <f>ROUND(IF(E2="商业",IF(F16="增加",C6+C16,C6-C16)),0)</f>
        <v>10340</v>
      </c>
      <c r="E5" s="2737"/>
      <c r="F5" s="2737"/>
      <c r="G5" s="2738"/>
      <c r="H5" s="2738"/>
      <c r="I5" s="2738"/>
      <c r="J5" s="2739"/>
      <c r="K5" s="2740"/>
      <c r="L5" s="2732" t="s">
        <v>2827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ca="1" si="0"/>
        <v>#DIV/0!</v>
      </c>
      <c r="U5" s="1605"/>
      <c r="V5" s="1604" t="e">
        <f t="shared" ca="1"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7">
        <f>SUMIF(L1:L12,G2,M1:M12)</f>
        <v>10340</v>
      </c>
      <c r="D6" s="2747" t="s">
        <v>2830</v>
      </c>
      <c r="E6" s="2748"/>
      <c r="F6" s="2748"/>
      <c r="G6" s="2749"/>
      <c r="H6" s="2749"/>
      <c r="I6" s="2749"/>
      <c r="J6" s="2750"/>
      <c r="K6" s="1844"/>
      <c r="L6" s="2732" t="s">
        <v>2831</v>
      </c>
      <c r="M6" s="1083">
        <f>SUMPRODUCT((区片价!B110:B157=I2)*(区片价!C3:F3=E2)*(区片价!C110:F157))</f>
        <v>10340</v>
      </c>
      <c r="N6" s="1085">
        <f>SUMPRODUCT((因素修正幅度!B110:B157=I2)*(因素修正幅度!C3:F3=E2)*(因素修正幅度!C110:F157))</f>
        <v>0.13</v>
      </c>
      <c r="O6" s="1372"/>
      <c r="P6" s="1372"/>
      <c r="Q6" s="1372"/>
      <c r="R6" s="1604">
        <v>5</v>
      </c>
      <c r="S6" s="1604">
        <f>ROUND(IF(G3&gt;1,IF(R6&lt;7,SUMPRODUCT((B93:B98=R6)*(C92:N92=G2)*(C93:N98)),SUMIF(C92:N92,G2,C100:N100)),IF(R6&lt;7,SUMPRODUCT((B102:B107=R6)*(C92:N92=G2)*(C102:N107)),SUMIF(C92:N92,G2,C109:N109))),4)</f>
        <v>0.73709999999999998</v>
      </c>
      <c r="T6" s="1604" t="e">
        <f t="shared" ca="1" si="0"/>
        <v>#DIV/0!</v>
      </c>
      <c r="U6" s="1605"/>
      <c r="V6" s="1604" t="e">
        <f t="shared" ca="1" si="1"/>
        <v>#DIV/0!</v>
      </c>
      <c r="W6" s="1608"/>
      <c r="X6" s="1608"/>
      <c r="Y6" s="1608"/>
      <c r="Z6" s="1608"/>
      <c r="AA6" s="1608"/>
      <c r="AB6" s="1608"/>
      <c r="AC6" s="2741"/>
      <c r="AD6" s="2742"/>
      <c r="AE6" s="2742"/>
      <c r="AF6" s="2742"/>
      <c r="AG6" s="2742"/>
      <c r="AH6" s="2742"/>
      <c r="AI6" s="2742"/>
      <c r="AJ6" s="2743"/>
    </row>
    <row r="7" spans="1:36" ht="24">
      <c r="A7" s="3157" t="str">
        <f>IF(E2="商业",IF(C8="不临58条商业街","",2),"")</f>
        <v/>
      </c>
      <c r="B7" s="2751" t="s">
        <v>2832</v>
      </c>
      <c r="C7" s="918">
        <f>IF(C8="不临58条商业街",1,ROUND(1+(1.6*E8+1.2*E9+0.8*E10+0.4*E11)*C9,4))</f>
        <v>1</v>
      </c>
      <c r="D7" s="2752" t="s">
        <v>2833</v>
      </c>
      <c r="E7" s="947"/>
      <c r="F7" s="2753"/>
      <c r="G7" s="2754"/>
      <c r="H7" s="2754"/>
      <c r="I7" s="2754"/>
      <c r="J7" s="2755"/>
      <c r="K7" s="1844"/>
      <c r="L7" s="2732" t="s">
        <v>2834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ca="1" si="0"/>
        <v>#DIV/0!</v>
      </c>
      <c r="U7" s="1605"/>
      <c r="V7" s="1604" t="e">
        <f t="shared" ca="1" si="1"/>
        <v>#DIV/0!</v>
      </c>
      <c r="W7" s="2953" t="s">
        <v>2835</v>
      </c>
      <c r="X7" s="1606" t="str">
        <f>G2</f>
        <v>六级</v>
      </c>
      <c r="Y7" s="1606" t="s">
        <v>2836</v>
      </c>
      <c r="Z7" s="1607">
        <f>G3</f>
        <v>3.58</v>
      </c>
      <c r="AA7" s="1608"/>
      <c r="AB7" s="1608"/>
      <c r="AC7" s="1609"/>
      <c r="AD7" s="1610"/>
      <c r="AE7" s="1610"/>
      <c r="AF7" s="1610"/>
      <c r="AG7" s="1610"/>
      <c r="AH7" s="1610"/>
      <c r="AI7" s="1610"/>
      <c r="AJ7" s="1611"/>
    </row>
    <row r="8" spans="1:36" ht="25.5">
      <c r="A8" s="3158"/>
      <c r="B8" s="198" t="s">
        <v>2837</v>
      </c>
      <c r="C8" s="2756" t="s">
        <v>3075</v>
      </c>
      <c r="D8" s="919" t="s">
        <v>139</v>
      </c>
      <c r="E8" s="920" t="e">
        <f>ROUND(C11/E7,4)</f>
        <v>#DIV/0!</v>
      </c>
      <c r="F8" s="2757" t="s">
        <v>2838</v>
      </c>
      <c r="G8" s="2758"/>
      <c r="H8" s="2758"/>
      <c r="I8" s="2758"/>
      <c r="J8" s="2759"/>
      <c r="K8" s="1372"/>
      <c r="L8" s="2732" t="s">
        <v>2839</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ca="1" si="0"/>
        <v>#DIV/0!</v>
      </c>
      <c r="U8" s="1605"/>
      <c r="V8" s="1604" t="e">
        <f t="shared" ca="1" si="1"/>
        <v>#DIV/0!</v>
      </c>
      <c r="W8" s="3150" t="s">
        <v>2840</v>
      </c>
      <c r="X8" s="3151"/>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8"/>
      <c r="B9" s="198" t="s">
        <v>2853</v>
      </c>
      <c r="C9" s="921">
        <f>SUMIF(修正!C59:C119,C8,修正!E59:E119)</f>
        <v>0</v>
      </c>
      <c r="D9" s="200" t="s">
        <v>140</v>
      </c>
      <c r="E9" s="200" t="e">
        <f>ROUND(C11/E7,4)</f>
        <v>#DIV/0!</v>
      </c>
      <c r="F9" s="2757" t="s">
        <v>2854</v>
      </c>
      <c r="G9" s="2758"/>
      <c r="H9" s="2758"/>
      <c r="I9" s="2758"/>
      <c r="J9" s="2759"/>
      <c r="K9" s="1372"/>
      <c r="L9" s="2732" t="s">
        <v>2855</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ca="1" si="0"/>
        <v>#DIV/0!</v>
      </c>
      <c r="U9" s="1605"/>
      <c r="V9" s="1604" t="e">
        <f t="shared" ca="1" si="1"/>
        <v>#DIV/0!</v>
      </c>
      <c r="W9" s="3152"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8"/>
      <c r="B10" s="198" t="s">
        <v>2858</v>
      </c>
      <c r="C10" s="200">
        <f>SUMIF(修正!C59:C119,C8,修正!F59:F119)</f>
        <v>0</v>
      </c>
      <c r="D10" s="200" t="s">
        <v>141</v>
      </c>
      <c r="E10" s="200" t="e">
        <f>ROUND(C11/E7,4)</f>
        <v>#DIV/0!</v>
      </c>
      <c r="F10" s="2757" t="s">
        <v>2859</v>
      </c>
      <c r="G10" s="2758"/>
      <c r="H10" s="2758"/>
      <c r="I10" s="2758"/>
      <c r="J10" s="2759"/>
      <c r="K10" s="1372"/>
      <c r="L10" s="2732" t="s">
        <v>2860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ca="1" si="0"/>
        <v>#DIV/0!</v>
      </c>
      <c r="U10" s="1605"/>
      <c r="V10" s="1604" t="e">
        <f t="shared" ca="1" si="1"/>
        <v>#DIV/0!</v>
      </c>
      <c r="W10" s="31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8"/>
      <c r="B11" s="2760" t="s">
        <v>2861</v>
      </c>
      <c r="C11" s="922">
        <f>C10/4</f>
        <v>0</v>
      </c>
      <c r="D11" s="922" t="s">
        <v>142</v>
      </c>
      <c r="E11" s="922" t="e">
        <f>ROUND(C11/E7,4)</f>
        <v>#DIV/0!</v>
      </c>
      <c r="F11" s="2761" t="s">
        <v>2862</v>
      </c>
      <c r="G11" s="2762"/>
      <c r="H11" s="2762"/>
      <c r="I11" s="2762"/>
      <c r="J11" s="2763"/>
      <c r="K11" s="1372"/>
      <c r="L11" s="2732" t="s">
        <v>2863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ca="1" si="0"/>
        <v>#DIV/0!</v>
      </c>
      <c r="U11" s="1605"/>
      <c r="V11" s="1604" t="e">
        <f t="shared" ca="1" si="1"/>
        <v>#DIV/0!</v>
      </c>
      <c r="W11" s="3152" t="s">
        <v>2864</v>
      </c>
      <c r="X11" s="1616" t="s">
        <v>2836</v>
      </c>
      <c r="Y11" s="1617">
        <f>$G$3</f>
        <v>3.58</v>
      </c>
      <c r="Z11" s="1617">
        <f t="shared" ref="Z11:AJ11" si="3">$G$3</f>
        <v>3.58</v>
      </c>
      <c r="AA11" s="1617">
        <f t="shared" si="3"/>
        <v>3.58</v>
      </c>
      <c r="AB11" s="1617">
        <f t="shared" si="3"/>
        <v>3.58</v>
      </c>
      <c r="AC11" s="1617">
        <f t="shared" si="3"/>
        <v>3.58</v>
      </c>
      <c r="AD11" s="1617">
        <f t="shared" si="3"/>
        <v>3.58</v>
      </c>
      <c r="AE11" s="1617">
        <f t="shared" si="3"/>
        <v>3.58</v>
      </c>
      <c r="AF11" s="1617">
        <f t="shared" si="3"/>
        <v>3.58</v>
      </c>
      <c r="AG11" s="1617">
        <f t="shared" si="3"/>
        <v>3.58</v>
      </c>
      <c r="AH11" s="1617">
        <f t="shared" si="3"/>
        <v>3.58</v>
      </c>
      <c r="AI11" s="1617">
        <f t="shared" si="3"/>
        <v>3.58</v>
      </c>
      <c r="AJ11" s="1617">
        <f t="shared" si="3"/>
        <v>3.58</v>
      </c>
    </row>
    <row r="12" spans="1:36" ht="25.5" thickBot="1">
      <c r="A12" s="3157" t="s">
        <v>2866</v>
      </c>
      <c r="B12" s="2764" t="s">
        <v>2867</v>
      </c>
      <c r="C12" s="918">
        <f>ROUND(C15*D15*E15*F15*G15*H15*I15*J15,4)</f>
        <v>1.21</v>
      </c>
      <c r="D12" s="2765" t="s">
        <v>2868</v>
      </c>
      <c r="E12" s="2766"/>
      <c r="F12" s="2766"/>
      <c r="G12" s="2767"/>
      <c r="H12" s="2767"/>
      <c r="I12" s="2767"/>
      <c r="J12" s="2768"/>
      <c r="K12" s="1372"/>
      <c r="L12" s="2769" t="s">
        <v>2869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ca="1" si="0"/>
        <v>#DIV/0!</v>
      </c>
      <c r="U12" s="1605"/>
      <c r="V12" s="1604" t="e">
        <f t="shared" ca="1" si="1"/>
        <v>#DIV/0!</v>
      </c>
      <c r="W12" s="3152"/>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9"/>
      <c r="B13" s="2770" t="s">
        <v>2871</v>
      </c>
      <c r="C13" s="2771" t="s">
        <v>2872</v>
      </c>
      <c r="D13" s="2952" t="s">
        <v>2873</v>
      </c>
      <c r="E13" s="2952" t="s">
        <v>2874</v>
      </c>
      <c r="F13" s="30" t="s">
        <v>2875</v>
      </c>
      <c r="G13" s="2772" t="s">
        <v>2876</v>
      </c>
      <c r="H13" s="2772" t="s">
        <v>2876</v>
      </c>
      <c r="I13" s="2772" t="s">
        <v>2876</v>
      </c>
      <c r="J13" s="2773" t="s">
        <v>2876</v>
      </c>
      <c r="K13" s="1372"/>
      <c r="L13" s="1372"/>
      <c r="M13" s="1372"/>
      <c r="N13" s="1372"/>
      <c r="O13" s="1372"/>
      <c r="P13" s="1372"/>
      <c r="Q13" s="1372"/>
      <c r="R13" s="1604">
        <v>12</v>
      </c>
      <c r="S13" s="1605"/>
      <c r="T13" s="1604" t="e">
        <f t="shared" ca="1" si="0"/>
        <v>#DIV/0!</v>
      </c>
      <c r="U13" s="1605"/>
      <c r="V13" s="1604" t="e">
        <f t="shared" ca="1" si="1"/>
        <v>#DIV/0!</v>
      </c>
      <c r="W13" s="3152"/>
      <c r="X13" s="1618"/>
      <c r="Y13" s="1615">
        <f>(-0.163*(Y12^2)-0.59*Y12+7617)*(10^(-4))/Y11</f>
        <v>0.21276536312849162</v>
      </c>
      <c r="Z13" s="1615">
        <f t="shared" ref="Z13:AJ13" si="5">(-0.163*(Z12^2)-0.59*Z12+7617)*(10^(-4))/Z11</f>
        <v>0.21276536312849162</v>
      </c>
      <c r="AA13" s="1615">
        <f t="shared" si="5"/>
        <v>0.21276536312849162</v>
      </c>
      <c r="AB13" s="1615">
        <f t="shared" si="5"/>
        <v>0.21276536312849162</v>
      </c>
      <c r="AC13" s="1615">
        <f t="shared" si="5"/>
        <v>0.21276536312849162</v>
      </c>
      <c r="AD13" s="1615">
        <f t="shared" si="5"/>
        <v>0.21276536312849162</v>
      </c>
      <c r="AE13" s="1615">
        <f t="shared" si="5"/>
        <v>0.21276536312849162</v>
      </c>
      <c r="AF13" s="1615">
        <f t="shared" si="5"/>
        <v>0.21276536312849162</v>
      </c>
      <c r="AG13" s="1615">
        <f t="shared" si="5"/>
        <v>0.21276536312849162</v>
      </c>
      <c r="AH13" s="1615">
        <f t="shared" si="5"/>
        <v>0.21276536312849162</v>
      </c>
      <c r="AI13" s="1615">
        <f t="shared" si="5"/>
        <v>0.21276536312849162</v>
      </c>
      <c r="AJ13" s="1615">
        <f t="shared" si="5"/>
        <v>0.21276536312849162</v>
      </c>
    </row>
    <row r="14" spans="1:36" ht="15">
      <c r="A14" s="3159"/>
      <c r="B14" s="2774"/>
      <c r="C14" s="2775" t="s">
        <v>3077</v>
      </c>
      <c r="D14" s="2776" t="s">
        <v>3076</v>
      </c>
      <c r="E14" s="2776" t="s">
        <v>3077</v>
      </c>
      <c r="F14" s="2777" t="s">
        <v>3078</v>
      </c>
      <c r="G14" s="2778" t="s">
        <v>2877</v>
      </c>
      <c r="H14" s="2779"/>
      <c r="I14" s="2780"/>
      <c r="J14" s="2781"/>
      <c r="K14" s="1372"/>
      <c r="L14" s="1372"/>
      <c r="M14" s="1372"/>
      <c r="N14" s="1372"/>
      <c r="O14" s="1372"/>
      <c r="P14" s="1372"/>
      <c r="Q14" s="1372"/>
      <c r="R14" s="1604">
        <v>13</v>
      </c>
      <c r="S14" s="1605"/>
      <c r="T14" s="1604" t="e">
        <f t="shared" ca="1" si="0"/>
        <v>#DIV/0!</v>
      </c>
      <c r="U14" s="1605"/>
      <c r="V14" s="1604" t="e">
        <f t="shared" ca="1" si="1"/>
        <v>#DIV/0!</v>
      </c>
      <c r="W14" s="1608"/>
      <c r="X14" s="1608"/>
      <c r="Y14" s="1608"/>
      <c r="Z14" s="1608"/>
      <c r="AA14" s="1608"/>
      <c r="AB14" s="1608"/>
      <c r="AC14" s="1609"/>
      <c r="AD14" s="1610"/>
      <c r="AE14" s="1610"/>
      <c r="AF14" s="1610"/>
      <c r="AG14" s="1610"/>
      <c r="AH14" s="1610"/>
      <c r="AI14" s="1610"/>
      <c r="AJ14" s="1611"/>
    </row>
    <row r="15" spans="1:36" ht="15.75" thickBot="1">
      <c r="A15" s="3160"/>
      <c r="B15" s="2782" t="s">
        <v>2878</v>
      </c>
      <c r="C15" s="228">
        <f>IF(C14="有",1.1,1)</f>
        <v>1</v>
      </c>
      <c r="D15" s="228">
        <f>IF(D14="有",1.1,1)</f>
        <v>1.1000000000000001</v>
      </c>
      <c r="E15" s="228">
        <f>IF(E14="有",1.1,1)</f>
        <v>1</v>
      </c>
      <c r="F15" s="228">
        <f>IF(F14="500米范围内",1.2,IF(F14="500-1000米",1.1,1))</f>
        <v>1.1000000000000001</v>
      </c>
      <c r="G15" s="948">
        <v>1</v>
      </c>
      <c r="H15" s="948">
        <v>1</v>
      </c>
      <c r="I15" s="948">
        <v>1</v>
      </c>
      <c r="J15" s="949">
        <v>1</v>
      </c>
      <c r="K15" s="1372"/>
      <c r="L15" s="2783" t="s">
        <v>2814</v>
      </c>
      <c r="M15" s="919" t="s">
        <v>2879</v>
      </c>
      <c r="N15" s="919" t="s">
        <v>2880</v>
      </c>
      <c r="O15" s="919" t="s">
        <v>2881</v>
      </c>
      <c r="P15" s="2784" t="s">
        <v>2882</v>
      </c>
      <c r="Q15" s="1372"/>
      <c r="R15" s="1604">
        <v>14</v>
      </c>
      <c r="S15" s="1605"/>
      <c r="T15" s="1604" t="e">
        <f t="shared" ca="1" si="0"/>
        <v>#DIV/0!</v>
      </c>
      <c r="U15" s="1605"/>
      <c r="V15" s="1604" t="e">
        <f t="shared" ca="1" si="1"/>
        <v>#DIV/0!</v>
      </c>
      <c r="W15" s="1608"/>
      <c r="X15" s="1608"/>
      <c r="Y15" s="1608"/>
      <c r="Z15" s="1608"/>
      <c r="AA15" s="1608"/>
      <c r="AB15" s="1608"/>
      <c r="AC15" s="1609"/>
      <c r="AD15" s="1610"/>
      <c r="AE15" s="1610"/>
      <c r="AF15" s="1610"/>
      <c r="AG15" s="1610"/>
      <c r="AH15" s="1610"/>
      <c r="AI15" s="1610"/>
      <c r="AJ15" s="1611"/>
    </row>
    <row r="16" spans="1:36" ht="24">
      <c r="A16" s="3157" t="s">
        <v>2883</v>
      </c>
      <c r="B16" s="2751" t="s">
        <v>2884</v>
      </c>
      <c r="C16" s="2950">
        <f>ROUND(SUM(G17:J17)/C17,0)</f>
        <v>0</v>
      </c>
      <c r="D16" s="2785" t="s">
        <v>2885</v>
      </c>
      <c r="E16" s="2786" t="s">
        <v>3079</v>
      </c>
      <c r="F16" s="2787" t="s">
        <v>3080</v>
      </c>
      <c r="G16" s="2788"/>
      <c r="H16" s="2788"/>
      <c r="I16" s="2788"/>
      <c r="J16" s="2789"/>
      <c r="K16" s="1372"/>
      <c r="L16" s="2790" t="s">
        <v>2886</v>
      </c>
      <c r="M16" s="921">
        <v>0.25</v>
      </c>
      <c r="N16" s="921">
        <v>0.2</v>
      </c>
      <c r="O16" s="921">
        <v>0.15</v>
      </c>
      <c r="P16" s="1371">
        <v>0.1</v>
      </c>
      <c r="Q16" s="1372"/>
      <c r="R16" s="1604">
        <v>15</v>
      </c>
      <c r="S16" s="1605"/>
      <c r="T16" s="1604" t="e">
        <f t="shared" ca="1" si="0"/>
        <v>#DIV/0!</v>
      </c>
      <c r="U16" s="1605"/>
      <c r="V16" s="1604" t="e">
        <f t="shared" ca="1" si="1"/>
        <v>#DIV/0!</v>
      </c>
      <c r="W16" s="1608"/>
      <c r="X16" s="1608"/>
      <c r="Y16" s="1608"/>
      <c r="Z16" s="1608"/>
      <c r="AA16" s="1608"/>
      <c r="AB16" s="1608"/>
      <c r="AC16" s="1609"/>
      <c r="AD16" s="1610"/>
      <c r="AE16" s="1610"/>
      <c r="AF16" s="1610"/>
      <c r="AG16" s="1610"/>
      <c r="AH16" s="1610"/>
      <c r="AI16" s="1610"/>
      <c r="AJ16" s="1611"/>
    </row>
    <row r="17" spans="1:37" ht="13.5" thickBot="1">
      <c r="A17" s="3158"/>
      <c r="B17" s="2791" t="s">
        <v>2887</v>
      </c>
      <c r="C17" s="923">
        <f>SUMPRODUCT((修正!A2:A5=E2)*(修正!B1:M1=G2)*(修正!B2:M5))</f>
        <v>2.5</v>
      </c>
      <c r="D17" s="2792"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2891</v>
      </c>
      <c r="C18" s="925">
        <f>SUMIF(修正!C18:C39,E3,修正!E18:E39)</f>
        <v>1</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9.25" thickBot="1">
      <c r="A19" s="2795" t="s">
        <v>809</v>
      </c>
      <c r="B19" s="2796" t="s">
        <v>2892</v>
      </c>
      <c r="C19" s="926">
        <f>ROUND(IF(H19="按公示增长率计算",SUMPRODUCT((地价!A3:A23=YEAR(G19)&amp;"-"&amp;ROUNDUP(MONTH(G19)/3,0))*(地价!X2:AB2=E2)*(地价!X3:AB23)),IF(H19="地价指数",M20/M19,(1+I19)^O19)),4)</f>
        <v>1.3052999999999999</v>
      </c>
      <c r="D19" s="2803" t="s">
        <v>2893</v>
      </c>
      <c r="E19" s="927">
        <v>41640</v>
      </c>
      <c r="F19" s="2803" t="s">
        <v>2894</v>
      </c>
      <c r="G19" s="928">
        <f>'数据-取费表'!B2</f>
        <v>43312</v>
      </c>
      <c r="H19" s="2804" t="s">
        <v>3081</v>
      </c>
      <c r="I19" s="929" t="str">
        <f>IF(H19="季度增幅（自定义）",SUMIF(N21:N24,E2,O21:O24),"")</f>
        <v/>
      </c>
      <c r="J19" s="2801"/>
      <c r="K19" s="1379"/>
      <c r="L19" s="2805" t="s">
        <v>2895</v>
      </c>
      <c r="M19" s="1736">
        <f>ROUND(SUMIF(地价!B2:F2,E2,地价!B23:F23),0)</f>
        <v>258</v>
      </c>
      <c r="N19" s="2806"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2897</v>
      </c>
      <c r="C20" s="931" t="e">
        <f ca="1">ROUND(POWER(1+G20,J20-I20)*(POWER(1+G20,I20)-1)/(POWER(1+G20,J20)-1),4)</f>
        <v>#DIV/0!</v>
      </c>
      <c r="D20" s="2812" t="s">
        <v>2898</v>
      </c>
      <c r="E20" s="1770">
        <f ca="1">存贷款利率!D4/100</f>
        <v>4.3499999999999997E-2</v>
      </c>
      <c r="F20" s="2812" t="s">
        <v>2890</v>
      </c>
      <c r="G20" s="936">
        <f ca="1">SUMIF(M15:P15,E2,M17:P17)</f>
        <v>5.3999999999999999E-2</v>
      </c>
      <c r="H20" s="2812" t="s">
        <v>2899</v>
      </c>
      <c r="I20" s="937" t="e">
        <f>SUMIF('数据-取费表'!C6:C15,E2,'数据-取费表'!F6:F15)/COUNTIF('数据-取费表'!C6:C15,E2)</f>
        <v>#DIV/0!</v>
      </c>
      <c r="J20" s="938">
        <f>IF(E2="住宅",70,IF(E2="商业",40,50))</f>
        <v>40</v>
      </c>
      <c r="K20" s="1379"/>
      <c r="L20" s="2813" t="s">
        <v>2900</v>
      </c>
      <c r="M20" s="1737">
        <f>ROUND(SUMPRODUCT((地价!A4:A23=YEAR(G19)&amp;"-"&amp;ROUNDUP(MONTH(G19)/3,0))*(地价!B2:F2=E2)*(地价!B4:F23)),0)</f>
        <v>336</v>
      </c>
      <c r="N20" s="2814" t="s">
        <v>2901</v>
      </c>
      <c r="O20" s="2815" t="s">
        <v>2902</v>
      </c>
      <c r="P20" s="2816" t="s">
        <v>2903</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3095</v>
      </c>
      <c r="C21" s="2958">
        <f>IF(B21="容积率修正",IF(G3&lt;=10,D22,J22),C23)</f>
        <v>1.3371999999999999</v>
      </c>
      <c r="D21" s="2819"/>
      <c r="E21" s="2819"/>
      <c r="F21" s="2819"/>
      <c r="G21" s="2819"/>
      <c r="H21" s="2819"/>
      <c r="I21" s="2819"/>
      <c r="J21" s="2820"/>
      <c r="K21" s="1379"/>
      <c r="N21" s="2821" t="s">
        <v>2904</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2905</v>
      </c>
      <c r="B22" s="2822" t="s">
        <v>2906</v>
      </c>
      <c r="C22" s="2957" t="s">
        <v>2907</v>
      </c>
      <c r="D22" s="2957">
        <f>IF(E22=G22,F22,IF(G3&lt;=10,ROUND(F22+(H22-F22)*(G3-E22)/(G22-E22),4),"——"))</f>
        <v>0.89290000000000003</v>
      </c>
      <c r="E22" s="915">
        <f>ROUNDDOWN(G3,1)</f>
        <v>3.5</v>
      </c>
      <c r="F22" s="29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5">
        <f>ROUNDUP(G3,1)</f>
        <v>3.6</v>
      </c>
      <c r="H22" s="2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2957" t="s">
        <v>155</v>
      </c>
      <c r="J22" s="940" t="str">
        <f>IF(G3&gt;10,D113,"——")</f>
        <v>——</v>
      </c>
      <c r="K22" s="1379"/>
      <c r="N22" s="2821" t="s">
        <v>2908</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2909</v>
      </c>
      <c r="B23" s="2823" t="s">
        <v>2910</v>
      </c>
      <c r="C23" s="1015">
        <f>ROUND(IF(G3&gt;1,IF(I3&lt;7,SUMPRODUCT((B93:B98=I3)*(C92:N92=G2)*(C93:N98)),SUMIF(C92:N92,G2,C100:N100)),IF(I3&lt;7,SUMPRODUCT((B102:B107=I3)*(C92:N92=G2)*(C102:N107)),SUMIF(C92:N92,G2,C109:N109))),4)</f>
        <v>1.3371999999999999</v>
      </c>
      <c r="D23" s="2779"/>
      <c r="E23" s="2779"/>
      <c r="F23" s="2824"/>
      <c r="G23" s="2825"/>
      <c r="H23" s="2826"/>
      <c r="I23" s="2827"/>
      <c r="J23" s="2828"/>
      <c r="K23" s="1372"/>
      <c r="N23" s="2821" t="s">
        <v>2911</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2912</v>
      </c>
      <c r="C24" s="926">
        <f>SUMIF(A45:A88,E2,B45:B88)</f>
        <v>1.0317000000000001</v>
      </c>
      <c r="D24" s="2799"/>
      <c r="E24" s="2829"/>
      <c r="F24" s="2829"/>
      <c r="G24" s="2829"/>
      <c r="H24" s="2829"/>
      <c r="I24" s="2829"/>
      <c r="J24" s="2830"/>
      <c r="K24" s="1379"/>
      <c r="N24" s="2831" t="s">
        <v>2913</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2914</v>
      </c>
      <c r="C25" s="932"/>
      <c r="D25" s="2754"/>
      <c r="E25" s="2754"/>
      <c r="F25" s="2833"/>
      <c r="G25" s="2754"/>
      <c r="H25" s="2754"/>
      <c r="I25" s="2754"/>
      <c r="J25" s="2755"/>
      <c r="K25" s="1372"/>
      <c r="N25" s="2834" t="s">
        <v>2915</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2916</v>
      </c>
      <c r="C26" s="205" t="e">
        <f ca="1">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2917</v>
      </c>
      <c r="C27" s="933" t="e">
        <f ca="1">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2918</v>
      </c>
      <c r="C28" s="2846" t="s">
        <v>2919</v>
      </c>
      <c r="D28" s="2846" t="s">
        <v>2920</v>
      </c>
      <c r="E28" s="2847" t="s">
        <v>2921</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2922</v>
      </c>
      <c r="C29" s="205" t="e">
        <f ca="1">ROUND(C5*C18*C19*C20*C21*C24,0)</f>
        <v>#DIV/0!</v>
      </c>
      <c r="D29" s="2851">
        <f>'数据-汇总表'!F20</f>
        <v>0</v>
      </c>
      <c r="E29" s="2956" t="e">
        <f ca="1">ROUND(C29*D29/10000,0)</f>
        <v>#DIV/0!</v>
      </c>
      <c r="F29" s="2852" t="s">
        <v>2923</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2924</v>
      </c>
      <c r="C30" s="228" t="e">
        <f ca="1">ROUND(IF(E2="工业",C29*M39,C29*M38),0)</f>
        <v>#DIV/0!</v>
      </c>
      <c r="D30" s="2857"/>
      <c r="E30" s="2956" t="e">
        <f ca="1">ROUND(C30*D30/10000,0)</f>
        <v>#DIV/0!</v>
      </c>
      <c r="F30" s="2858" t="s">
        <v>2925</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2919</v>
      </c>
      <c r="D32" s="497" t="s">
        <v>2920</v>
      </c>
      <c r="E32" s="497" t="s">
        <v>2921</v>
      </c>
      <c r="F32" s="387" t="s">
        <v>2929</v>
      </c>
      <c r="G32" s="2866" t="s">
        <v>2919</v>
      </c>
      <c r="H32" s="2866" t="s">
        <v>2920</v>
      </c>
      <c r="I32" s="2866"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167" t="s">
        <v>2930</v>
      </c>
      <c r="B33" s="2867" t="s">
        <v>2931</v>
      </c>
      <c r="C33" s="205" t="e">
        <f ca="1">ROUND(D5*C19*C20*C24*F33,0)</f>
        <v>#DIV/0!</v>
      </c>
      <c r="D33" s="2851"/>
      <c r="E33" s="200" t="e">
        <f ca="1">ROUND(C33*D33/10000,0)</f>
        <v>#DIV/0!</v>
      </c>
      <c r="F33" s="200">
        <f>SUMIF(修正!A45:A56,G2,修正!B45:B56)</f>
        <v>0.7</v>
      </c>
      <c r="G33" s="200" t="e">
        <f t="shared" ref="G33" ca="1" si="6">ROUND(IF(E2="工业",C33*$M$39,C33*$M$38),0)</f>
        <v>#DIV/0!</v>
      </c>
      <c r="H33" s="200">
        <f>D33</f>
        <v>0</v>
      </c>
      <c r="I33" s="200" t="e">
        <f ca="1">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8"/>
      <c r="B34" s="2771" t="s">
        <v>2932</v>
      </c>
      <c r="C34" s="205" t="e">
        <f ca="1">ROUND(D5*C19*C20*C24*F34,0)</f>
        <v>#DIV/0!</v>
      </c>
      <c r="D34" s="2851"/>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8"/>
      <c r="B35" s="2771" t="s">
        <v>2933</v>
      </c>
      <c r="C35" s="205" t="e">
        <f ca="1">ROUND(D5*C19*C20*C24*F35,0)</f>
        <v>#DIV/0!</v>
      </c>
      <c r="D35" s="2851"/>
      <c r="E35" s="200" t="e">
        <f t="shared" ca="1" si="7"/>
        <v>#DIV/0!</v>
      </c>
      <c r="F35" s="200">
        <f>SUMIF(修正!A45:A56,G2,修正!D45:D56)</f>
        <v>0.28000000000000003</v>
      </c>
      <c r="G35" s="200" t="e">
        <f ca="1">ROUND(IF(E2="工业",C35*$M$39,C35*$M$38),0)</f>
        <v>#DIV/0!</v>
      </c>
      <c r="H35" s="200">
        <f t="shared" si="8"/>
        <v>0</v>
      </c>
      <c r="I35" s="200" t="e">
        <f t="shared" ca="1"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169"/>
      <c r="B36" s="2771" t="s">
        <v>2934</v>
      </c>
      <c r="C36" s="205" t="e">
        <f ca="1">ROUND(D5*C19*C20*C24*F36,0)</f>
        <v>#DIV/0!</v>
      </c>
      <c r="D36" s="2851"/>
      <c r="E36" s="200" t="e">
        <f t="shared" ca="1" si="7"/>
        <v>#DIV/0!</v>
      </c>
      <c r="F36" s="200">
        <f>SUMIF(修正!A45:A56,G2,修正!E45:E56)</f>
        <v>0.25</v>
      </c>
      <c r="G36" s="200" t="e">
        <f ca="1">ROUND(IF(E2="工业",C36*$M$39,C36*$M$38),0)</f>
        <v>#DIV/0!</v>
      </c>
      <c r="H36" s="200">
        <f t="shared" si="8"/>
        <v>0</v>
      </c>
      <c r="I36" s="200" t="e">
        <f t="shared" ca="1"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2935</v>
      </c>
      <c r="C37" s="200" t="e">
        <f ca="1">ROUND(C5*C19*C20*C24*F37,0)</f>
        <v>#DIV/0!</v>
      </c>
      <c r="D37" s="2851"/>
      <c r="E37" s="200" t="e">
        <f t="shared" ca="1" si="7"/>
        <v>#DIV/0!</v>
      </c>
      <c r="F37" s="205">
        <f>SUMIF(修正!A45:A56,G2,修正!F45:F56)</f>
        <v>0.25</v>
      </c>
      <c r="G37" s="200" t="e">
        <f ca="1">ROUND(IF(E2="工业",C37*$M$39,C37*$M$38),0)</f>
        <v>#DIV/0!</v>
      </c>
      <c r="H37" s="200">
        <f t="shared" si="8"/>
        <v>0</v>
      </c>
      <c r="I37" s="200" t="e">
        <f t="shared" ca="1" si="9"/>
        <v>#DIV/0!</v>
      </c>
      <c r="J37" s="2868"/>
      <c r="K37" s="1372"/>
      <c r="L37" s="2870" t="s">
        <v>2936</v>
      </c>
      <c r="M37" s="2871"/>
      <c r="N37" s="1372"/>
      <c r="O37" s="1372"/>
      <c r="P37" s="1372"/>
      <c r="Q37" s="1372"/>
      <c r="R37" s="1372"/>
      <c r="S37" s="1372"/>
      <c r="T37" s="1372"/>
      <c r="U37" s="1372"/>
      <c r="V37" s="1372"/>
      <c r="W37" s="1372"/>
      <c r="X37" s="1372"/>
      <c r="Y37" s="1372"/>
      <c r="Z37" s="1373"/>
    </row>
    <row r="38" spans="1:37">
      <c r="A38" s="2869"/>
      <c r="B38" s="2771" t="s">
        <v>2937</v>
      </c>
      <c r="C38" s="200" t="e">
        <f ca="1">ROUND(C5*C19*C20*C24*F38,0)</f>
        <v>#DIV/0!</v>
      </c>
      <c r="D38" s="2851"/>
      <c r="E38" s="200" t="e">
        <f t="shared" ca="1" si="7"/>
        <v>#DIV/0!</v>
      </c>
      <c r="F38" s="205">
        <f>SUMIF(修正!A45:A56,G2,修正!G45:G56)</f>
        <v>0.25</v>
      </c>
      <c r="G38" s="200" t="e">
        <f ca="1">ROUND(IF(E2="工业",C38*$M$39,C38*$M$38),0)</f>
        <v>#DIV/0!</v>
      </c>
      <c r="H38" s="200">
        <f t="shared" si="8"/>
        <v>0</v>
      </c>
      <c r="I38" s="200" t="e">
        <f t="shared" ca="1" si="9"/>
        <v>#DIV/0!</v>
      </c>
      <c r="J38" s="2868"/>
      <c r="K38" s="1372"/>
      <c r="L38" s="1889" t="s">
        <v>2938</v>
      </c>
      <c r="M38" s="2872">
        <v>0.25</v>
      </c>
      <c r="N38" s="1372"/>
      <c r="O38" s="1372"/>
      <c r="P38" s="1372"/>
      <c r="Q38" s="1372"/>
      <c r="R38" s="1372"/>
      <c r="S38" s="1372"/>
      <c r="T38" s="1372"/>
      <c r="U38" s="1372"/>
      <c r="V38" s="1372"/>
      <c r="W38" s="1372"/>
      <c r="X38" s="1372"/>
      <c r="Y38" s="1372"/>
      <c r="Z38" s="1373"/>
    </row>
    <row r="39" spans="1:37" ht="13.5" thickBot="1">
      <c r="A39" s="2855"/>
      <c r="B39" s="2873" t="s">
        <v>2939</v>
      </c>
      <c r="C39" s="228" t="e">
        <f ca="1">ROUND(C5*C19*C20*C24*F39,0)</f>
        <v>#DIV/0!</v>
      </c>
      <c r="D39" s="2857"/>
      <c r="E39" s="228" t="e">
        <f t="shared" ca="1" si="7"/>
        <v>#DIV/0!</v>
      </c>
      <c r="F39" s="934">
        <f>SUMIF(修正!A45:A56,G2,修正!H45:H56)</f>
        <v>0.2</v>
      </c>
      <c r="G39" s="228" t="e">
        <f ca="1">ROUND(IF(E2="工业",C39*$M$39,C39*$M$38),0)</f>
        <v>#DIV/0!</v>
      </c>
      <c r="H39" s="228">
        <f t="shared" si="8"/>
        <v>0</v>
      </c>
      <c r="I39" s="228" t="e">
        <f t="shared" ca="1" si="9"/>
        <v>#DIV/0!</v>
      </c>
      <c r="J39" s="2874"/>
      <c r="K39" s="1372"/>
      <c r="L39" s="2875" t="s">
        <v>2882</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2940</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2941</v>
      </c>
      <c r="B46" s="2881">
        <f>1+E48</f>
        <v>1.0317000000000001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2942</v>
      </c>
      <c r="B47" s="2951" t="s">
        <v>2943</v>
      </c>
      <c r="C47" s="2951" t="s">
        <v>2944</v>
      </c>
      <c r="D47" s="2951" t="s">
        <v>2945</v>
      </c>
      <c r="E47" s="818" t="s">
        <v>2946</v>
      </c>
      <c r="F47" s="2885" t="s">
        <v>2947</v>
      </c>
      <c r="G47" s="2951" t="s">
        <v>754</v>
      </c>
      <c r="H47" s="2886" t="s">
        <v>2948</v>
      </c>
      <c r="I47" s="295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4" t="s">
        <v>2950</v>
      </c>
      <c r="B48" s="2887" t="str">
        <f>估价对象房地状况!C4</f>
        <v>估价对象位于XX商圈，周边商业氛围成熟，人流量大，商业繁华度好</v>
      </c>
      <c r="C48" s="2776" t="s">
        <v>3096</v>
      </c>
      <c r="D48" s="1288">
        <f t="shared" ref="D48:D56" si="10">SUMIF($J$47:$N$47,C48,J48:N48)</f>
        <v>0</v>
      </c>
      <c r="E48" s="820">
        <f>ROUND(SUM(D48:D56),4)</f>
        <v>3.1699999999999999E-2</v>
      </c>
      <c r="F48" s="2507">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4" t="s">
        <v>2951</v>
      </c>
      <c r="B49" s="2888" t="str">
        <f>估价对象房地状况!C18</f>
        <v>估价对象周边道路状况、公共交通通达情况、停车便捷程度，综合评价交通便捷度较好</v>
      </c>
      <c r="C49" s="2776" t="s">
        <v>3097</v>
      </c>
      <c r="D49" s="1288">
        <f t="shared" si="10"/>
        <v>1.6199999999999999E-2</v>
      </c>
      <c r="E49" s="821"/>
      <c r="F49" s="2507"/>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4" t="s">
        <v>2952</v>
      </c>
      <c r="B50" s="2888">
        <f>估价对象房地状况!C19</f>
        <v>0</v>
      </c>
      <c r="C50" s="2776" t="s">
        <v>3096</v>
      </c>
      <c r="D50" s="1288">
        <f t="shared" si="10"/>
        <v>0</v>
      </c>
      <c r="E50" s="821"/>
      <c r="F50" s="2507"/>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4" t="s">
        <v>2953</v>
      </c>
      <c r="B51" s="2889" t="s">
        <v>2954</v>
      </c>
      <c r="C51" s="2776" t="s">
        <v>3096</v>
      </c>
      <c r="D51" s="1288">
        <f t="shared" si="10"/>
        <v>0</v>
      </c>
      <c r="E51" s="821"/>
      <c r="F51" s="2507"/>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4" t="s">
        <v>2955</v>
      </c>
      <c r="B52" s="2888">
        <f>估价对象房地状况!C24</f>
        <v>0</v>
      </c>
      <c r="C52" s="2776" t="s">
        <v>3096</v>
      </c>
      <c r="D52" s="1288">
        <f t="shared" si="10"/>
        <v>0</v>
      </c>
      <c r="E52" s="821"/>
      <c r="F52" s="2507"/>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4" t="s">
        <v>2956</v>
      </c>
      <c r="B53" s="2890" t="s">
        <v>2957</v>
      </c>
      <c r="C53" s="2776" t="s">
        <v>3097</v>
      </c>
      <c r="D53" s="1288">
        <f t="shared" si="10"/>
        <v>1.9E-3</v>
      </c>
      <c r="E53" s="821"/>
      <c r="F53" s="2507"/>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91" t="s">
        <v>2958</v>
      </c>
      <c r="B54" s="1727" t="str">
        <f>估价对象房地状况!C21</f>
        <v>估价对象所在区域公共配套设施齐备情况</v>
      </c>
      <c r="C54" s="2776" t="s">
        <v>3097</v>
      </c>
      <c r="D54" s="1288">
        <f t="shared" si="10"/>
        <v>3.2000000000000002E-3</v>
      </c>
      <c r="E54" s="821"/>
      <c r="F54" s="2507"/>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91" t="s">
        <v>2959</v>
      </c>
      <c r="B55" s="2888" t="str">
        <f>估价对象房地状况!C22</f>
        <v>估价对象所在区域基础设施水平</v>
      </c>
      <c r="C55" s="2776" t="s">
        <v>3097</v>
      </c>
      <c r="D55" s="1288">
        <f t="shared" si="10"/>
        <v>6.4999999999999997E-3</v>
      </c>
      <c r="E55" s="821"/>
      <c r="F55" s="2507"/>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92" t="s">
        <v>2960</v>
      </c>
      <c r="B56" s="2893" t="str">
        <f>估价对象房地状况!C20</f>
        <v>区域自然环境：；人文环境；综合评价环境状况一般</v>
      </c>
      <c r="C56" s="2776" t="s">
        <v>3097</v>
      </c>
      <c r="D56" s="1288">
        <f t="shared" si="10"/>
        <v>3.8999999999999998E-3</v>
      </c>
      <c r="E56" s="824"/>
      <c r="F56" s="2507"/>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80" t="s">
        <v>2961</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2942</v>
      </c>
      <c r="B58" s="2951"/>
      <c r="C58" s="2951" t="s">
        <v>2944</v>
      </c>
      <c r="D58" s="2951" t="s">
        <v>2945</v>
      </c>
      <c r="E58" s="818" t="s">
        <v>2946</v>
      </c>
      <c r="F58" s="2885" t="s">
        <v>2962</v>
      </c>
      <c r="G58" s="2951" t="s">
        <v>754</v>
      </c>
      <c r="H58" s="2886" t="s">
        <v>2948</v>
      </c>
      <c r="I58" s="295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4" t="s">
        <v>2963</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2951</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2952</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2953</v>
      </c>
      <c r="B62" s="2889" t="s">
        <v>2954</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2955</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2956</v>
      </c>
      <c r="B64" s="2890" t="s">
        <v>2957</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2958</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2959</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2960</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2964</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2942</v>
      </c>
      <c r="B69" s="2951"/>
      <c r="C69" s="2951" t="s">
        <v>2944</v>
      </c>
      <c r="D69" s="2951" t="s">
        <v>2945</v>
      </c>
      <c r="E69" s="818" t="s">
        <v>2946</v>
      </c>
      <c r="F69" s="2885" t="s">
        <v>2962</v>
      </c>
      <c r="G69" s="2951" t="s">
        <v>754</v>
      </c>
      <c r="H69" s="2886" t="s">
        <v>2948</v>
      </c>
      <c r="I69" s="295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4" t="s">
        <v>2965</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2951</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2952</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2966</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2958</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2959</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2956</v>
      </c>
      <c r="B76" s="2890" t="s">
        <v>2957</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2960</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2967</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2968</v>
      </c>
      <c r="B79" s="2881">
        <f>1+E81</f>
        <v>1</v>
      </c>
      <c r="C79" s="813"/>
      <c r="D79" s="813"/>
      <c r="E79" s="814"/>
      <c r="F79" s="2883"/>
      <c r="G79" s="6"/>
      <c r="H79" s="6"/>
      <c r="I79" s="6"/>
      <c r="J79" s="7"/>
      <c r="K79" s="7"/>
      <c r="L79" s="7"/>
      <c r="M79" s="7"/>
      <c r="N79" s="7"/>
      <c r="Z79" s="2726"/>
      <c r="AA79" s="2802"/>
      <c r="AG79" s="1374"/>
      <c r="AK79" s="2802"/>
    </row>
    <row r="80" spans="1:37" ht="24.75">
      <c r="A80" s="2884" t="s">
        <v>2942</v>
      </c>
      <c r="B80" s="2951"/>
      <c r="C80" s="2951" t="s">
        <v>2944</v>
      </c>
      <c r="D80" s="2951" t="s">
        <v>2945</v>
      </c>
      <c r="E80" s="818" t="s">
        <v>2946</v>
      </c>
      <c r="F80" s="2885" t="s">
        <v>2962</v>
      </c>
      <c r="G80" s="2951" t="s">
        <v>754</v>
      </c>
      <c r="H80" s="2886" t="s">
        <v>2948</v>
      </c>
      <c r="I80" s="2951" t="s">
        <v>2949</v>
      </c>
      <c r="J80" s="602" t="s">
        <v>2597</v>
      </c>
      <c r="K80" s="602" t="s">
        <v>2598</v>
      </c>
      <c r="L80" s="602" t="s">
        <v>2599</v>
      </c>
      <c r="M80" s="602" t="s">
        <v>2600</v>
      </c>
      <c r="N80" s="602" t="s">
        <v>2601</v>
      </c>
      <c r="Z80" s="2726"/>
      <c r="AA80" s="2802"/>
      <c r="AG80" s="1374"/>
      <c r="AK80" s="2802"/>
    </row>
    <row r="81" spans="1:37" ht="38.25">
      <c r="A81" s="2884" t="s">
        <v>2969</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2951</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2952</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2966</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2958</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2959</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2956</v>
      </c>
      <c r="B87" s="2890" t="s">
        <v>2970</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2971</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161" t="s">
        <v>2972</v>
      </c>
      <c r="B90" s="3161"/>
      <c r="C90" s="3161"/>
      <c r="D90" s="3161"/>
      <c r="E90" s="3161"/>
      <c r="F90" s="3161"/>
      <c r="G90" s="3161"/>
      <c r="H90" s="3161"/>
      <c r="I90" s="3161"/>
      <c r="J90" s="3161"/>
      <c r="K90" s="2954"/>
      <c r="L90" s="2954"/>
      <c r="M90" s="2954"/>
      <c r="N90" s="2954"/>
    </row>
    <row r="91" spans="1:37">
      <c r="A91" s="3163" t="s">
        <v>2973</v>
      </c>
      <c r="B91" s="3163" t="s">
        <v>2974</v>
      </c>
      <c r="C91" s="2852" t="s">
        <v>2975</v>
      </c>
      <c r="D91" s="2853"/>
      <c r="E91" s="2853"/>
      <c r="F91" s="2853"/>
      <c r="G91" s="2853"/>
      <c r="H91" s="2853"/>
      <c r="I91" s="2853"/>
      <c r="J91" s="2899"/>
      <c r="K91" s="2900"/>
      <c r="L91" s="2900"/>
      <c r="M91" s="2900"/>
      <c r="N91" s="2900"/>
    </row>
    <row r="92" spans="1:37">
      <c r="A92" s="3163"/>
      <c r="B92" s="3163"/>
      <c r="C92" s="2956" t="s">
        <v>2841</v>
      </c>
      <c r="D92" s="2956" t="s">
        <v>2842</v>
      </c>
      <c r="E92" s="2956" t="s">
        <v>2843</v>
      </c>
      <c r="F92" s="2956" t="s">
        <v>2844</v>
      </c>
      <c r="G92" s="2956" t="s">
        <v>2845</v>
      </c>
      <c r="H92" s="2956" t="s">
        <v>2846</v>
      </c>
      <c r="I92" s="2956" t="s">
        <v>2847</v>
      </c>
      <c r="J92" s="2956" t="s">
        <v>2848</v>
      </c>
      <c r="K92" s="2956" t="s">
        <v>2849</v>
      </c>
      <c r="L92" s="2956" t="s">
        <v>2850</v>
      </c>
      <c r="M92" s="2956" t="s">
        <v>2851</v>
      </c>
      <c r="N92" s="2956" t="s">
        <v>2852</v>
      </c>
    </row>
    <row r="93" spans="1:37">
      <c r="A93" s="3164"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6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6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6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6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6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65"/>
      <c r="B99" s="2901" t="s">
        <v>2857</v>
      </c>
      <c r="C99" s="2903">
        <f>$I$3</f>
        <v>2</v>
      </c>
      <c r="D99" s="2903">
        <f t="shared" ref="D99:M99" si="30">$I$3</f>
        <v>2</v>
      </c>
      <c r="E99" s="2903">
        <f t="shared" si="30"/>
        <v>2</v>
      </c>
      <c r="F99" s="2903">
        <f t="shared" si="30"/>
        <v>2</v>
      </c>
      <c r="G99" s="2903">
        <f t="shared" si="30"/>
        <v>2</v>
      </c>
      <c r="H99" s="2903">
        <f t="shared" si="30"/>
        <v>2</v>
      </c>
      <c r="I99" s="2903">
        <f t="shared" si="30"/>
        <v>2</v>
      </c>
      <c r="J99" s="2903">
        <f t="shared" si="30"/>
        <v>2</v>
      </c>
      <c r="K99" s="2903">
        <f t="shared" si="30"/>
        <v>2</v>
      </c>
      <c r="L99" s="2903">
        <f t="shared" si="30"/>
        <v>2</v>
      </c>
      <c r="M99" s="2903">
        <f t="shared" si="30"/>
        <v>2</v>
      </c>
      <c r="N99" s="2903">
        <f>$I$3</f>
        <v>2</v>
      </c>
    </row>
    <row r="100" spans="1:14">
      <c r="A100" s="3166"/>
      <c r="B100" s="2901">
        <v>7</v>
      </c>
      <c r="C100" s="2904">
        <f>(-0.163*(C99^2)-0.59*C99+7617)*(10^(-4))</f>
        <v>0.76151679999999999</v>
      </c>
      <c r="D100" s="2904">
        <f>(-0.163*(D99^2)-0.59*D99+7617)*(10^(-4))</f>
        <v>0.76151679999999999</v>
      </c>
      <c r="E100" s="2904">
        <f>(-0.161*(E99^2)-7.509*E99+6533)*(10^(-4))</f>
        <v>0.65173380000000003</v>
      </c>
      <c r="F100" s="2904">
        <f>(-0.161*(F99^2)-7.509*F99+6533)*(10^(-4))</f>
        <v>0.65173380000000003</v>
      </c>
      <c r="G100" s="2904">
        <f>(-0.161*(G99^2)-7.509*G99+6533)*(10^(-4))</f>
        <v>0.65173380000000003</v>
      </c>
      <c r="H100" s="2904">
        <f>(-0.161*(H99^2)-7.509*H99+6533)*(10^(-4))</f>
        <v>0.65173380000000003</v>
      </c>
      <c r="I100" s="2904">
        <f>(-0.161*(I99^2)-7.509*I99+6533)*(10^(-4))</f>
        <v>0.65173380000000003</v>
      </c>
      <c r="J100" s="2904">
        <f>(-0.214*(J99^2)-21.991*J99+4665)*(10^(-4))</f>
        <v>0.46201620000000004</v>
      </c>
      <c r="K100" s="2904">
        <f>(-0.214*(K99^2)-21.991*K99+4665)*(10^(-4))</f>
        <v>0.46201620000000004</v>
      </c>
      <c r="L100" s="2904">
        <f>(-0.214*(L99^2)-21.991*L99+4665)*(10^(-4))</f>
        <v>0.46201620000000004</v>
      </c>
      <c r="M100" s="2904">
        <f>(-0.214*(M99^2)-21.991*M99+4665)*(10^(-4))</f>
        <v>0.46201620000000004</v>
      </c>
      <c r="N100" s="2904">
        <f>(-0.214*(N99^2)-21.991*N99+4665)*(10^(-4))</f>
        <v>0.46201620000000004</v>
      </c>
    </row>
    <row r="101" spans="1:14">
      <c r="A101" s="3164" t="s">
        <v>2977</v>
      </c>
      <c r="B101" s="2905" t="s">
        <v>2978</v>
      </c>
      <c r="C101" s="2906">
        <f>$G$3</f>
        <v>3.58</v>
      </c>
      <c r="D101" s="2906">
        <f t="shared" ref="D101:N101" si="31">$G$3</f>
        <v>3.58</v>
      </c>
      <c r="E101" s="2906">
        <f t="shared" si="31"/>
        <v>3.58</v>
      </c>
      <c r="F101" s="2906">
        <f t="shared" si="31"/>
        <v>3.58</v>
      </c>
      <c r="G101" s="2906">
        <f t="shared" si="31"/>
        <v>3.58</v>
      </c>
      <c r="H101" s="2906">
        <f t="shared" si="31"/>
        <v>3.58</v>
      </c>
      <c r="I101" s="2906">
        <f t="shared" si="31"/>
        <v>3.58</v>
      </c>
      <c r="J101" s="2906">
        <f t="shared" si="31"/>
        <v>3.58</v>
      </c>
      <c r="K101" s="2906">
        <f t="shared" si="31"/>
        <v>3.58</v>
      </c>
      <c r="L101" s="2906">
        <f t="shared" si="31"/>
        <v>3.58</v>
      </c>
      <c r="M101" s="2906">
        <f t="shared" si="31"/>
        <v>3.58</v>
      </c>
      <c r="N101" s="2906">
        <f t="shared" si="31"/>
        <v>3.58</v>
      </c>
    </row>
    <row r="102" spans="1:14">
      <c r="A102" s="3165"/>
      <c r="B102" s="2901">
        <v>1</v>
      </c>
      <c r="C102" s="2902">
        <f>1.9362/C101</f>
        <v>0.54083798882681566</v>
      </c>
      <c r="D102" s="2902">
        <f>1.9362/D101</f>
        <v>0.54083798882681566</v>
      </c>
      <c r="E102" s="2902">
        <f>1.8629/E101</f>
        <v>0.52036312849162014</v>
      </c>
      <c r="F102" s="2902">
        <f>1.8629/F101</f>
        <v>0.52036312849162014</v>
      </c>
      <c r="G102" s="2902">
        <f>1.8629/G101</f>
        <v>0.52036312849162014</v>
      </c>
      <c r="H102" s="2902">
        <f>1.8629/H101</f>
        <v>0.52036312849162014</v>
      </c>
      <c r="I102" s="2902">
        <f>1.8629/I101</f>
        <v>0.52036312849162014</v>
      </c>
      <c r="J102" s="2902">
        <f>1.942/J101</f>
        <v>0.54245810055865917</v>
      </c>
      <c r="K102" s="2902">
        <f>1.942/K101</f>
        <v>0.54245810055865917</v>
      </c>
      <c r="L102" s="2902">
        <f>1.942/L101</f>
        <v>0.54245810055865917</v>
      </c>
      <c r="M102" s="2902">
        <f>1.942/M101</f>
        <v>0.54245810055865917</v>
      </c>
      <c r="N102" s="2902">
        <f>1.942/N101</f>
        <v>0.54245810055865917</v>
      </c>
    </row>
    <row r="103" spans="1:14">
      <c r="A103" s="3165"/>
      <c r="B103" s="2901">
        <v>2</v>
      </c>
      <c r="C103" s="2902">
        <f>1.4198/C101</f>
        <v>0.39659217877094971</v>
      </c>
      <c r="D103" s="2902">
        <f>1.4198/D101</f>
        <v>0.39659217877094971</v>
      </c>
      <c r="E103" s="2902">
        <f>1.3372/E101</f>
        <v>0.37351955307262569</v>
      </c>
      <c r="F103" s="2902">
        <f>1.3372/F101</f>
        <v>0.37351955307262569</v>
      </c>
      <c r="G103" s="2902">
        <f>1.3372/G101</f>
        <v>0.37351955307262569</v>
      </c>
      <c r="H103" s="2902">
        <f>1.3372/H101</f>
        <v>0.37351955307262569</v>
      </c>
      <c r="I103" s="2902">
        <f>1.3372/I101</f>
        <v>0.37351955307262569</v>
      </c>
      <c r="J103" s="2902">
        <f>1.2799/J101</f>
        <v>0.35751396648044692</v>
      </c>
      <c r="K103" s="2902">
        <f>1.2799/K101</f>
        <v>0.35751396648044692</v>
      </c>
      <c r="L103" s="2902">
        <f>1.2799/L101</f>
        <v>0.35751396648044692</v>
      </c>
      <c r="M103" s="2902">
        <f>1.2799/M101</f>
        <v>0.35751396648044692</v>
      </c>
      <c r="N103" s="2902">
        <f>1.2799/N101</f>
        <v>0.35751396648044692</v>
      </c>
    </row>
    <row r="104" spans="1:14">
      <c r="A104" s="3165"/>
      <c r="B104" s="2901">
        <v>3</v>
      </c>
      <c r="C104" s="2902">
        <f>1.1594/C101</f>
        <v>0.32385474860335195</v>
      </c>
      <c r="D104" s="2902">
        <f>1.1594/D101</f>
        <v>0.32385474860335195</v>
      </c>
      <c r="E104" s="2902">
        <f>1.0788/E101</f>
        <v>0.30134078212290499</v>
      </c>
      <c r="F104" s="2902">
        <f>1.0788/F101</f>
        <v>0.30134078212290499</v>
      </c>
      <c r="G104" s="2902">
        <f>1.0788/G101</f>
        <v>0.30134078212290499</v>
      </c>
      <c r="H104" s="2902">
        <f>1.0788/H101</f>
        <v>0.30134078212290499</v>
      </c>
      <c r="I104" s="2902">
        <f>1.0788/I101</f>
        <v>0.30134078212290499</v>
      </c>
      <c r="J104" s="2902">
        <f>1.0072/J101</f>
        <v>0.28134078212290503</v>
      </c>
      <c r="K104" s="2902">
        <f>1.0072/K101</f>
        <v>0.28134078212290503</v>
      </c>
      <c r="L104" s="2902">
        <f>1.0072/L101</f>
        <v>0.28134078212290503</v>
      </c>
      <c r="M104" s="2902">
        <f>1.0072/M101</f>
        <v>0.28134078212290503</v>
      </c>
      <c r="N104" s="2902">
        <f>1.0072/N101</f>
        <v>0.28134078212290503</v>
      </c>
    </row>
    <row r="105" spans="1:14">
      <c r="A105" s="3165"/>
      <c r="B105" s="2901">
        <v>4</v>
      </c>
      <c r="C105" s="2902">
        <f>0.9622/C101</f>
        <v>0.26877094972067039</v>
      </c>
      <c r="D105" s="2902">
        <f>0.9622/D101</f>
        <v>0.26877094972067039</v>
      </c>
      <c r="E105" s="2902">
        <f>0.8656/E101</f>
        <v>0.24178770949720671</v>
      </c>
      <c r="F105" s="2902">
        <f>0.8656/F101</f>
        <v>0.24178770949720671</v>
      </c>
      <c r="G105" s="2902">
        <f>0.8656/G101</f>
        <v>0.24178770949720671</v>
      </c>
      <c r="H105" s="2902">
        <f>0.8656/H101</f>
        <v>0.24178770949720671</v>
      </c>
      <c r="I105" s="2902">
        <f>0.8656/I101</f>
        <v>0.24178770949720671</v>
      </c>
      <c r="J105" s="2902">
        <f>0.7525/J101</f>
        <v>0.21019553072625696</v>
      </c>
      <c r="K105" s="2902">
        <f>0.7525/K101</f>
        <v>0.21019553072625696</v>
      </c>
      <c r="L105" s="2902">
        <f>0.7525/L101</f>
        <v>0.21019553072625696</v>
      </c>
      <c r="M105" s="2902">
        <f>0.7525/M101</f>
        <v>0.21019553072625696</v>
      </c>
      <c r="N105" s="2902">
        <f>0.7525/N101</f>
        <v>0.21019553072625696</v>
      </c>
    </row>
    <row r="106" spans="1:14">
      <c r="A106" s="3165"/>
      <c r="B106" s="2901">
        <v>5</v>
      </c>
      <c r="C106" s="2902">
        <f>0.8417/C101</f>
        <v>0.23511173184357542</v>
      </c>
      <c r="D106" s="2902">
        <f>0.8417/D101</f>
        <v>0.23511173184357542</v>
      </c>
      <c r="E106" s="2902">
        <f>0.7371/E101</f>
        <v>0.20589385474860333</v>
      </c>
      <c r="F106" s="2902">
        <f>0.7371/F101</f>
        <v>0.20589385474860333</v>
      </c>
      <c r="G106" s="2902">
        <f>0.7371/G101</f>
        <v>0.20589385474860333</v>
      </c>
      <c r="H106" s="2902">
        <f>0.7371/H101</f>
        <v>0.20589385474860333</v>
      </c>
      <c r="I106" s="2902">
        <f>0.7371/I101</f>
        <v>0.20589385474860333</v>
      </c>
      <c r="J106" s="2902">
        <f>0.5659/J101</f>
        <v>0.158072625698324</v>
      </c>
      <c r="K106" s="2902">
        <f>0.5659/K101</f>
        <v>0.158072625698324</v>
      </c>
      <c r="L106" s="2902">
        <f>0.5659/L101</f>
        <v>0.158072625698324</v>
      </c>
      <c r="M106" s="2902">
        <f>0.5659/M101</f>
        <v>0.158072625698324</v>
      </c>
      <c r="N106" s="2902">
        <f>0.5659/N101</f>
        <v>0.158072625698324</v>
      </c>
    </row>
    <row r="107" spans="1:14">
      <c r="A107" s="3165"/>
      <c r="B107" s="2901">
        <v>6</v>
      </c>
      <c r="C107" s="2902">
        <f>0.7608/C101</f>
        <v>0.21251396648044693</v>
      </c>
      <c r="D107" s="2902">
        <f>0.7608/D101</f>
        <v>0.21251396648044693</v>
      </c>
      <c r="E107" s="2902">
        <f>0.6482/E101</f>
        <v>0.18106145251396646</v>
      </c>
      <c r="F107" s="2902">
        <f>0.6482/F101</f>
        <v>0.18106145251396646</v>
      </c>
      <c r="G107" s="2902">
        <f>0.6482/G101</f>
        <v>0.18106145251396646</v>
      </c>
      <c r="H107" s="2902">
        <f>0.6482/H101</f>
        <v>0.18106145251396646</v>
      </c>
      <c r="I107" s="2902">
        <f>0.6482/I101</f>
        <v>0.18106145251396646</v>
      </c>
      <c r="J107" s="2902">
        <f>0.4525/J101</f>
        <v>0.12639664804469275</v>
      </c>
      <c r="K107" s="2902">
        <f>0.4525/K101</f>
        <v>0.12639664804469275</v>
      </c>
      <c r="L107" s="2902">
        <f>0.4525/L101</f>
        <v>0.12639664804469275</v>
      </c>
      <c r="M107" s="2902">
        <f>0.4525/M101</f>
        <v>0.12639664804469275</v>
      </c>
      <c r="N107" s="2902">
        <f>0.4525/N101</f>
        <v>0.12639664804469275</v>
      </c>
    </row>
    <row r="108" spans="1:14">
      <c r="A108" s="3165"/>
      <c r="B108" s="3120" t="s">
        <v>2870</v>
      </c>
      <c r="C108" s="2903">
        <f>C99</f>
        <v>2</v>
      </c>
      <c r="D108" s="2903">
        <f t="shared" ref="D108:N108" si="32">D99</f>
        <v>2</v>
      </c>
      <c r="E108" s="2903">
        <f t="shared" si="32"/>
        <v>2</v>
      </c>
      <c r="F108" s="2903">
        <f t="shared" si="32"/>
        <v>2</v>
      </c>
      <c r="G108" s="2903">
        <f t="shared" si="32"/>
        <v>2</v>
      </c>
      <c r="H108" s="2903">
        <f t="shared" si="32"/>
        <v>2</v>
      </c>
      <c r="I108" s="2903">
        <f t="shared" si="32"/>
        <v>2</v>
      </c>
      <c r="J108" s="2903">
        <f t="shared" si="32"/>
        <v>2</v>
      </c>
      <c r="K108" s="2903">
        <f t="shared" si="32"/>
        <v>2</v>
      </c>
      <c r="L108" s="2903">
        <f t="shared" si="32"/>
        <v>2</v>
      </c>
      <c r="M108" s="2903">
        <f t="shared" si="32"/>
        <v>2</v>
      </c>
      <c r="N108" s="2903">
        <f t="shared" si="32"/>
        <v>2</v>
      </c>
    </row>
    <row r="109" spans="1:14">
      <c r="A109" s="3166"/>
      <c r="B109" s="3121"/>
      <c r="C109" s="2904">
        <f>(-0.163*(C108^2)-0.59*C108+7617)*(10^(-4))/C101</f>
        <v>0.21271418994413407</v>
      </c>
      <c r="D109" s="2904">
        <f>(-0.163*(D108^2)-0.59*D108+7617)*(10^(-4))/D101</f>
        <v>0.21271418994413407</v>
      </c>
      <c r="E109" s="2904">
        <f>(-0.161*(E108^2)-7.509*E108+6533)*(10^(-4))/E101</f>
        <v>0.18204854748603352</v>
      </c>
      <c r="F109" s="2904">
        <f>(-0.161*(F108^2)-7.509*F108+6533)*(10^(-4))/F101</f>
        <v>0.18204854748603352</v>
      </c>
      <c r="G109" s="2904">
        <f>(-0.161*(G108^2)-7.509*G108+6533)*(10^(-4))/G101</f>
        <v>0.18204854748603352</v>
      </c>
      <c r="H109" s="2904">
        <f>(-0.161*(H108^2)-7.509*H108+6533)*(10^(-4))/H101</f>
        <v>0.18204854748603352</v>
      </c>
      <c r="I109" s="2904">
        <f>(-0.161*(I108^2)-7.509*I108+6533)*(10^(-4))/I101</f>
        <v>0.18204854748603352</v>
      </c>
      <c r="J109" s="2904">
        <f>(-0.214*(J108^2)-21.991*J108+4665)*(10^(-4))/J101</f>
        <v>0.12905480446927375</v>
      </c>
      <c r="K109" s="2904">
        <f>(-0.214*(K108^2)-21.991*K108+4665)*(10^(-4))/K101</f>
        <v>0.12905480446927375</v>
      </c>
      <c r="L109" s="2904">
        <f>(-0.214*(L108^2)-21.991*L108+4665)*(10^(-4))/L101</f>
        <v>0.12905480446927375</v>
      </c>
      <c r="M109" s="2904">
        <f>(-0.214*(M108^2)-21.991*M108+4665)*(10^(-4))/M101</f>
        <v>0.12905480446927375</v>
      </c>
      <c r="N109" s="2904">
        <f>(-0.214*(N108^2)-21.991*N108+4665)*(10^(-4))/N101</f>
        <v>0.12905480446927375</v>
      </c>
    </row>
    <row r="110" spans="1:14">
      <c r="A110" s="3162" t="s">
        <v>2980</v>
      </c>
      <c r="B110" s="3162"/>
      <c r="C110" s="3162"/>
      <c r="D110" s="3162"/>
      <c r="E110" s="3162"/>
      <c r="F110" s="3162"/>
      <c r="G110" s="3162"/>
      <c r="H110" s="3162"/>
      <c r="I110" s="3162"/>
      <c r="J110" s="3162"/>
      <c r="K110" s="2955"/>
      <c r="L110" s="2955"/>
      <c r="M110" s="2955"/>
      <c r="N110" s="2955"/>
    </row>
    <row r="112" spans="1:14" ht="13.5" thickBot="1"/>
    <row r="113" spans="1:13" ht="25.5" thickBot="1">
      <c r="A113" s="902" t="s">
        <v>2981</v>
      </c>
      <c r="B113" s="1289">
        <f>G3</f>
        <v>3.58</v>
      </c>
      <c r="C113" s="903" t="s">
        <v>2982</v>
      </c>
      <c r="D113" s="904">
        <f>SUMPRODUCT((A115:A118=F113)*(B114:M114=H113)*B115:M118)</f>
        <v>0.79410000000000003</v>
      </c>
      <c r="E113" s="2730" t="s">
        <v>2814</v>
      </c>
      <c r="F113" s="2909" t="str">
        <f>E2</f>
        <v>商业</v>
      </c>
      <c r="G113" s="2730" t="s">
        <v>2815</v>
      </c>
      <c r="H113" s="2909" t="str">
        <f>G2</f>
        <v>六级</v>
      </c>
      <c r="I113" s="2730"/>
      <c r="J113" s="2910"/>
      <c r="K113" s="2910"/>
      <c r="L113" s="2910"/>
      <c r="M113" s="2910"/>
    </row>
    <row r="114" spans="1:13">
      <c r="A114" s="907"/>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8" t="s">
        <v>2879</v>
      </c>
      <c r="B115" s="909">
        <f>ROUND(0.9335-0.0094*B113,4)</f>
        <v>0.89980000000000004</v>
      </c>
      <c r="C115" s="909">
        <f>B115</f>
        <v>0.89980000000000004</v>
      </c>
      <c r="D115" s="909">
        <f>ROUND(0.8331-0.0109*B113,4)</f>
        <v>0.79410000000000003</v>
      </c>
      <c r="E115" s="909">
        <f>D115</f>
        <v>0.79410000000000003</v>
      </c>
      <c r="F115" s="909">
        <f>E115</f>
        <v>0.79410000000000003</v>
      </c>
      <c r="G115" s="909">
        <f>F115</f>
        <v>0.79410000000000003</v>
      </c>
      <c r="H115" s="909">
        <f>G115</f>
        <v>0.79410000000000003</v>
      </c>
      <c r="I115" s="909">
        <f>ROUND(0.689-0.0155*B113,4)</f>
        <v>0.63349999999999995</v>
      </c>
      <c r="J115" s="909">
        <f t="shared" ref="J115:M118" si="33">I115</f>
        <v>0.63349999999999995</v>
      </c>
      <c r="K115" s="909">
        <f t="shared" si="33"/>
        <v>0.63349999999999995</v>
      </c>
      <c r="L115" s="909">
        <f t="shared" si="33"/>
        <v>0.63349999999999995</v>
      </c>
      <c r="M115" s="910">
        <f t="shared" si="33"/>
        <v>0.63349999999999995</v>
      </c>
    </row>
    <row r="116" spans="1:13">
      <c r="A116" s="908" t="s">
        <v>2880</v>
      </c>
      <c r="B116" s="909">
        <f>ROUND(0.949-0.012*B113,4)</f>
        <v>0.90600000000000003</v>
      </c>
      <c r="C116" s="909">
        <f>B116</f>
        <v>0.90600000000000003</v>
      </c>
      <c r="D116" s="909">
        <f>ROUND(0.8567-0.013*B113,4)</f>
        <v>0.81020000000000003</v>
      </c>
      <c r="E116" s="909">
        <f t="shared" ref="E116:H117" si="34">D116</f>
        <v>0.81020000000000003</v>
      </c>
      <c r="F116" s="909">
        <f t="shared" si="34"/>
        <v>0.81020000000000003</v>
      </c>
      <c r="G116" s="909">
        <f t="shared" si="34"/>
        <v>0.81020000000000003</v>
      </c>
      <c r="H116" s="909">
        <f t="shared" si="34"/>
        <v>0.81020000000000003</v>
      </c>
      <c r="I116" s="909">
        <f>ROUND(0.7694-0.014*B113,4)</f>
        <v>0.71930000000000005</v>
      </c>
      <c r="J116" s="909">
        <f t="shared" si="33"/>
        <v>0.71930000000000005</v>
      </c>
      <c r="K116" s="909">
        <f t="shared" si="33"/>
        <v>0.71930000000000005</v>
      </c>
      <c r="L116" s="909">
        <f t="shared" si="33"/>
        <v>0.71930000000000005</v>
      </c>
      <c r="M116" s="910">
        <f t="shared" si="33"/>
        <v>0.71930000000000005</v>
      </c>
    </row>
    <row r="117" spans="1:13">
      <c r="A117" s="908" t="s">
        <v>2881</v>
      </c>
      <c r="B117" s="909">
        <f>ROUND(0.8808-0.006*B113,4)</f>
        <v>0.85929999999999995</v>
      </c>
      <c r="C117" s="909">
        <f>B117</f>
        <v>0.85929999999999995</v>
      </c>
      <c r="D117" s="909">
        <f>ROUND(0.8748-0.008*B113,4)</f>
        <v>0.84619999999999995</v>
      </c>
      <c r="E117" s="909">
        <f t="shared" si="34"/>
        <v>0.84619999999999995</v>
      </c>
      <c r="F117" s="909">
        <f t="shared" si="34"/>
        <v>0.84619999999999995</v>
      </c>
      <c r="G117" s="909">
        <f t="shared" si="34"/>
        <v>0.84619999999999995</v>
      </c>
      <c r="H117" s="909">
        <f t="shared" si="34"/>
        <v>0.84619999999999995</v>
      </c>
      <c r="I117" s="909">
        <f>ROUND(0.7412-0.0095*B113,4)</f>
        <v>0.70720000000000005</v>
      </c>
      <c r="J117" s="909">
        <f t="shared" si="33"/>
        <v>0.70720000000000005</v>
      </c>
      <c r="K117" s="909">
        <f t="shared" si="33"/>
        <v>0.70720000000000005</v>
      </c>
      <c r="L117" s="909">
        <f t="shared" si="33"/>
        <v>0.70720000000000005</v>
      </c>
      <c r="M117" s="910">
        <f t="shared" si="33"/>
        <v>0.70720000000000005</v>
      </c>
    </row>
    <row r="118" spans="1:13" ht="13.5" thickBot="1">
      <c r="A118" s="713" t="s">
        <v>2882</v>
      </c>
      <c r="B118" s="911">
        <f>ROUND(0.7275-0.01*B113,4)</f>
        <v>0.69169999999999998</v>
      </c>
      <c r="C118" s="911">
        <f>B118</f>
        <v>0.69169999999999998</v>
      </c>
      <c r="D118" s="911">
        <f>ROUND(0.7043-0.012*B113,4)</f>
        <v>0.6613</v>
      </c>
      <c r="E118" s="911">
        <f>D118</f>
        <v>0.6613</v>
      </c>
      <c r="F118" s="911">
        <f>E118</f>
        <v>0.6613</v>
      </c>
      <c r="G118" s="911">
        <f>ROUND(0.6299-0.0122*B113,4)</f>
        <v>0.58620000000000005</v>
      </c>
      <c r="H118" s="911">
        <f>G118</f>
        <v>0.58620000000000005</v>
      </c>
      <c r="I118" s="911">
        <f>ROUND(0.5667-0.0136*B113,4)</f>
        <v>0.51800000000000002</v>
      </c>
      <c r="J118" s="911">
        <f t="shared" si="33"/>
        <v>0.51800000000000002</v>
      </c>
      <c r="K118" s="911">
        <f t="shared" si="33"/>
        <v>0.51800000000000002</v>
      </c>
      <c r="L118" s="911">
        <f t="shared" si="33"/>
        <v>0.51800000000000002</v>
      </c>
      <c r="M118" s="912">
        <f t="shared" si="33"/>
        <v>0.51800000000000002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18" t="s">
        <v>1403</v>
      </c>
      <c r="C6" s="1298">
        <f ca="1">ROUND(F6*F8*F7*(1-F9)/10000,0)</f>
        <v>0</v>
      </c>
      <c r="D6" s="164" t="s">
        <v>3032</v>
      </c>
      <c r="E6" s="346" t="s">
        <v>1405</v>
      </c>
      <c r="F6" s="347">
        <f ca="1">INDIRECT("'数据-取费表'!u"&amp;$G$1)</f>
        <v>0</v>
      </c>
      <c r="G6" s="1853"/>
      <c r="H6" s="1293" t="s">
        <v>1035</v>
      </c>
      <c r="I6" s="3218" t="s">
        <v>1403</v>
      </c>
      <c r="J6" s="345">
        <f ca="1">ROUND(M6*M8*M7*(1-M9)/10000,0)</f>
        <v>0</v>
      </c>
      <c r="K6" s="164" t="s">
        <v>3031</v>
      </c>
      <c r="L6" s="346" t="s">
        <v>1405</v>
      </c>
      <c r="M6" s="347">
        <f ca="1">INDIRECT("'数据-取费表'!z"&amp;$G$1)</f>
        <v>0</v>
      </c>
    </row>
    <row r="7" spans="1:37" ht="18" customHeight="1">
      <c r="A7" s="1297"/>
      <c r="B7" s="3219"/>
      <c r="C7" s="1299"/>
      <c r="D7" s="351"/>
      <c r="E7" s="1300" t="s">
        <v>1406</v>
      </c>
      <c r="F7" s="347">
        <f ca="1">IF(INDIRECT("'数据-取费表'!ah"&amp;$G$1)="",INDIRECT("'数据-取费表'!k"&amp;$G$1),INDIRECT("'数据-取费表'!ah"&amp;$G$1))</f>
        <v>0</v>
      </c>
      <c r="G7" s="1853"/>
      <c r="H7" s="348"/>
      <c r="I7" s="3219"/>
      <c r="J7" s="350"/>
      <c r="K7" s="351"/>
      <c r="L7" s="346" t="s">
        <v>1406</v>
      </c>
      <c r="M7" s="347">
        <f ca="1">F7</f>
        <v>0</v>
      </c>
    </row>
    <row r="8" spans="1:37" ht="18" customHeight="1">
      <c r="A8" s="348"/>
      <c r="B8" s="3219"/>
      <c r="C8" s="350"/>
      <c r="D8" s="351"/>
      <c r="E8" s="346" t="s">
        <v>1407</v>
      </c>
      <c r="F8" s="347">
        <f ca="1">INDIRECT("'数据-取费表'!ai"&amp;$G$1)</f>
        <v>0</v>
      </c>
      <c r="G8" s="1853"/>
      <c r="H8" s="348"/>
      <c r="I8" s="3219"/>
      <c r="J8" s="350"/>
      <c r="K8" s="351"/>
      <c r="L8" s="346" t="s">
        <v>1407</v>
      </c>
      <c r="M8" s="347">
        <f ca="1">INDIRECT("'数据-取费表'!ai"&amp;$G$1)</f>
        <v>0</v>
      </c>
    </row>
    <row r="9" spans="1:37" ht="18" customHeight="1">
      <c r="A9" s="348"/>
      <c r="B9" s="3220"/>
      <c r="C9" s="350"/>
      <c r="D9" s="351"/>
      <c r="E9" s="346" t="s">
        <v>1408</v>
      </c>
      <c r="F9" s="356">
        <f ca="1">INDIRECT("'数据-取费表'!w"&amp;$G$1)</f>
        <v>0</v>
      </c>
      <c r="G9" s="1853"/>
      <c r="H9" s="348"/>
      <c r="I9" s="322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4"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0</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3033</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6" t="s">
        <v>1548</v>
      </c>
      <c r="L53" s="3217"/>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18" t="s">
        <v>1403</v>
      </c>
      <c r="C6" s="1298">
        <f ca="1">ROUND(F6*F8*F7*(1-F9),0)</f>
        <v>0</v>
      </c>
      <c r="D6" s="164" t="s">
        <v>3029</v>
      </c>
      <c r="E6" s="346" t="s">
        <v>1405</v>
      </c>
      <c r="F6" s="347">
        <f ca="1">INDIRECT("'数据-取费表'!u"&amp;$G$1)</f>
        <v>0</v>
      </c>
      <c r="G6" s="1853"/>
      <c r="H6" s="1293" t="s">
        <v>1035</v>
      </c>
      <c r="I6" s="3218" t="s">
        <v>1403</v>
      </c>
      <c r="J6" s="345">
        <f ca="1">ROUND(M6*M8*M7*(1-M9),0)</f>
        <v>0</v>
      </c>
      <c r="K6" s="1836" t="s">
        <v>3030</v>
      </c>
      <c r="L6" s="346" t="s">
        <v>1405</v>
      </c>
      <c r="M6" s="347">
        <f ca="1">INDIRECT("'数据-取费表'!z"&amp;$G$1)</f>
        <v>0</v>
      </c>
    </row>
    <row r="7" spans="1:37" ht="18" customHeight="1">
      <c r="A7" s="1297"/>
      <c r="B7" s="3219"/>
      <c r="C7" s="1299"/>
      <c r="D7" s="351"/>
      <c r="E7" s="1300" t="s">
        <v>1406</v>
      </c>
      <c r="F7" s="347">
        <f ca="1">IF(INDIRECT("'数据-取费表'!ah"&amp;$G$1)="",INDIRECT("'数据-取费表'!k"&amp;$G$1),INDIRECT("'数据-取费表'!ah"&amp;$G$1))</f>
        <v>0</v>
      </c>
      <c r="G7" s="1853"/>
      <c r="H7" s="348"/>
      <c r="I7" s="3219"/>
      <c r="J7" s="350"/>
      <c r="K7" s="351"/>
      <c r="L7" s="346" t="s">
        <v>1406</v>
      </c>
      <c r="M7" s="347">
        <f ca="1">F7</f>
        <v>0</v>
      </c>
    </row>
    <row r="8" spans="1:37" ht="18" customHeight="1">
      <c r="A8" s="348"/>
      <c r="B8" s="3219"/>
      <c r="C8" s="350"/>
      <c r="D8" s="351"/>
      <c r="E8" s="346" t="s">
        <v>1407</v>
      </c>
      <c r="F8" s="347">
        <f ca="1">INDIRECT("'数据-取费表'!ai"&amp;$G$1)</f>
        <v>0</v>
      </c>
      <c r="G8" s="1853"/>
      <c r="H8" s="348"/>
      <c r="I8" s="3219"/>
      <c r="J8" s="350"/>
      <c r="K8" s="351"/>
      <c r="L8" s="346" t="s">
        <v>1407</v>
      </c>
      <c r="M8" s="347">
        <f ca="1">INDIRECT("'数据-取费表'!ai"&amp;$G$1)</f>
        <v>0</v>
      </c>
    </row>
    <row r="9" spans="1:37" ht="18" customHeight="1">
      <c r="A9" s="348"/>
      <c r="B9" s="3220"/>
      <c r="C9" s="350"/>
      <c r="D9" s="351"/>
      <c r="E9" s="346" t="s">
        <v>1408</v>
      </c>
      <c r="F9" s="356">
        <f ca="1">INDIRECT("'数据-取费表'!w"&amp;$G$1)</f>
        <v>0</v>
      </c>
      <c r="G9" s="1853"/>
      <c r="H9" s="348"/>
      <c r="I9" s="322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37" t="s">
        <v>3042</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4"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0</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6" t="s">
        <v>1548</v>
      </c>
      <c r="L53" s="3217"/>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0</v>
      </c>
      <c r="C2" s="2572" t="s">
        <v>2519</v>
      </c>
      <c r="D2" s="2573" t="s">
        <v>2520</v>
      </c>
      <c r="E2" s="2574">
        <f>SUM(E6:E13)</f>
        <v>0</v>
      </c>
    </row>
    <row r="3" spans="1:6" ht="15.75">
      <c r="A3" s="2570" t="s">
        <v>1395</v>
      </c>
      <c r="B3" s="2571" t="e">
        <f ca="1">ROUND(B2*10000/E2,0)</f>
        <v>#DIV/0!</v>
      </c>
      <c r="C3" s="2572" t="s">
        <v>2527</v>
      </c>
      <c r="D3" s="2575"/>
      <c r="E3" s="2576"/>
    </row>
    <row r="4" spans="1:6" ht="15.75">
      <c r="A4" s="2577"/>
      <c r="B4" s="2575"/>
      <c r="C4" s="2575"/>
      <c r="D4" s="2575"/>
      <c r="E4" s="2576"/>
    </row>
    <row r="5" spans="1:6" ht="15">
      <c r="A5" s="2578" t="s">
        <v>2521</v>
      </c>
      <c r="B5" s="3221" t="s">
        <v>2522</v>
      </c>
      <c r="C5" s="3221"/>
      <c r="D5" s="2579"/>
      <c r="E5" s="2580" t="s">
        <v>2523</v>
      </c>
      <c r="F5" s="2581" t="s">
        <v>2524</v>
      </c>
    </row>
    <row r="6" spans="1:6">
      <c r="A6" s="2582">
        <f>'数据-取费表'!AN6</f>
        <v>0</v>
      </c>
      <c r="B6" s="2581" t="e">
        <f ca="1">IF(F6="是",'数据-取费表'!AO6,0)</f>
        <v>#REF!</v>
      </c>
      <c r="C6" s="2572" t="s">
        <v>2519</v>
      </c>
      <c r="D6" s="2575"/>
      <c r="E6" s="2583">
        <f>IF(OR(A6=0,F6="否"),0,'数据-取费表'!K6+'数据-取费表'!S6)</f>
        <v>0</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28" t="s">
        <v>1077</v>
      </c>
      <c r="B2" s="3229" t="s">
        <v>1078</v>
      </c>
      <c r="C2" s="3229"/>
      <c r="D2" s="1303" t="s">
        <v>1079</v>
      </c>
      <c r="E2" s="1303" t="s">
        <v>1080</v>
      </c>
      <c r="F2" s="1303" t="s">
        <v>1081</v>
      </c>
      <c r="G2" s="1303" t="s">
        <v>1082</v>
      </c>
      <c r="H2" s="1303" t="s">
        <v>1083</v>
      </c>
      <c r="I2" s="1304" t="s">
        <v>1084</v>
      </c>
    </row>
    <row r="3" spans="1:9">
      <c r="A3" s="3228"/>
      <c r="B3" s="3229" t="s">
        <v>1085</v>
      </c>
      <c r="C3" s="3229"/>
      <c r="D3" s="1305"/>
      <c r="E3" s="1303"/>
      <c r="F3" s="1306"/>
      <c r="G3" s="1306"/>
      <c r="H3" s="1307"/>
      <c r="I3" s="1308">
        <f>ROUND(D3*E3*F3*G3*H3/10000,0)</f>
        <v>0</v>
      </c>
    </row>
    <row r="4" spans="1:9">
      <c r="A4" s="3228"/>
      <c r="B4" s="3229" t="s">
        <v>1086</v>
      </c>
      <c r="C4" s="3229"/>
      <c r="D4" s="1305"/>
      <c r="E4" s="1303"/>
      <c r="F4" s="1306"/>
      <c r="G4" s="1306"/>
      <c r="H4" s="1307"/>
      <c r="I4" s="1308">
        <f t="shared" ref="I4:I9" si="0">ROUND(D4*E4*F4*G4*H4/10000,0)</f>
        <v>0</v>
      </c>
    </row>
    <row r="5" spans="1:9">
      <c r="A5" s="3228"/>
      <c r="B5" s="3229" t="s">
        <v>1087</v>
      </c>
      <c r="C5" s="3229"/>
      <c r="D5" s="1305"/>
      <c r="E5" s="1303"/>
      <c r="F5" s="1306"/>
      <c r="G5" s="1306"/>
      <c r="H5" s="1307"/>
      <c r="I5" s="1308">
        <f t="shared" si="0"/>
        <v>0</v>
      </c>
    </row>
    <row r="6" spans="1:9">
      <c r="A6" s="3228"/>
      <c r="B6" s="3229" t="s">
        <v>1088</v>
      </c>
      <c r="C6" s="3229"/>
      <c r="D6" s="1305"/>
      <c r="E6" s="1303"/>
      <c r="F6" s="1306"/>
      <c r="G6" s="1306"/>
      <c r="H6" s="1307"/>
      <c r="I6" s="1308">
        <f t="shared" si="0"/>
        <v>0</v>
      </c>
    </row>
    <row r="7" spans="1:9">
      <c r="A7" s="3228"/>
      <c r="B7" s="3229" t="s">
        <v>1089</v>
      </c>
      <c r="C7" s="3229"/>
      <c r="D7" s="1305"/>
      <c r="E7" s="1303"/>
      <c r="F7" s="1306"/>
      <c r="G7" s="1306"/>
      <c r="H7" s="1307"/>
      <c r="I7" s="1308">
        <f t="shared" si="0"/>
        <v>0</v>
      </c>
    </row>
    <row r="8" spans="1:9">
      <c r="A8" s="3228"/>
      <c r="B8" s="3229" t="s">
        <v>1090</v>
      </c>
      <c r="C8" s="3229"/>
      <c r="D8" s="1305"/>
      <c r="E8" s="1303"/>
      <c r="F8" s="1306"/>
      <c r="G8" s="1306"/>
      <c r="H8" s="1307"/>
      <c r="I8" s="1308">
        <f t="shared" si="0"/>
        <v>0</v>
      </c>
    </row>
    <row r="9" spans="1:9">
      <c r="A9" s="3228"/>
      <c r="B9" s="3229" t="s">
        <v>1091</v>
      </c>
      <c r="C9" s="3229"/>
      <c r="D9" s="1305"/>
      <c r="E9" s="1303"/>
      <c r="F9" s="1306"/>
      <c r="G9" s="1306"/>
      <c r="H9" s="1307"/>
      <c r="I9" s="1308">
        <f t="shared" si="0"/>
        <v>0</v>
      </c>
    </row>
    <row r="10" spans="1:9">
      <c r="A10" s="3228"/>
      <c r="B10" s="3230" t="s">
        <v>1092</v>
      </c>
      <c r="C10" s="3230"/>
      <c r="D10" s="1309"/>
      <c r="E10" s="1309" t="e">
        <f>ROUND(D1*10000/D10/H9,0)</f>
        <v>#DIV/0!</v>
      </c>
      <c r="F10" s="1310"/>
      <c r="G10" s="1310"/>
      <c r="H10" s="1311"/>
      <c r="I10" s="1312">
        <f>SUM(I3:I9)</f>
        <v>0</v>
      </c>
    </row>
    <row r="11" spans="1:9" ht="14.25">
      <c r="A11" s="3228" t="s">
        <v>1093</v>
      </c>
      <c r="B11" s="3229" t="s">
        <v>1094</v>
      </c>
      <c r="C11" s="3229"/>
      <c r="D11" s="1305" t="s">
        <v>1095</v>
      </c>
      <c r="E11" s="1305" t="s">
        <v>1096</v>
      </c>
      <c r="F11" s="1306" t="s">
        <v>1097</v>
      </c>
      <c r="G11" s="1306" t="s">
        <v>1083</v>
      </c>
      <c r="H11" s="1313" t="s">
        <v>1098</v>
      </c>
      <c r="I11" s="1304" t="s">
        <v>1084</v>
      </c>
    </row>
    <row r="12" spans="1:9">
      <c r="A12" s="3228"/>
      <c r="B12" s="3229" t="s">
        <v>1099</v>
      </c>
      <c r="C12" s="3229"/>
      <c r="D12" s="1305"/>
      <c r="E12" s="1305"/>
      <c r="F12" s="1306"/>
      <c r="G12" s="1307"/>
      <c r="H12" s="1314"/>
      <c r="I12" s="1304">
        <f>ROUND(D12*E12*F12*G12/10000,0)</f>
        <v>0</v>
      </c>
    </row>
    <row r="13" spans="1:9">
      <c r="A13" s="3228"/>
      <c r="B13" s="3229" t="s">
        <v>1100</v>
      </c>
      <c r="C13" s="3229"/>
      <c r="D13" s="1305"/>
      <c r="E13" s="1305"/>
      <c r="F13" s="1306"/>
      <c r="G13" s="1307"/>
      <c r="H13" s="1314"/>
      <c r="I13" s="1304">
        <f>ROUND(D13*E13*F13*G13/10000,0)</f>
        <v>0</v>
      </c>
    </row>
    <row r="14" spans="1:9">
      <c r="A14" s="3228"/>
      <c r="B14" s="3229" t="s">
        <v>1101</v>
      </c>
      <c r="C14" s="3229"/>
      <c r="D14" s="1305"/>
      <c r="E14" s="1305"/>
      <c r="F14" s="1306"/>
      <c r="G14" s="1307"/>
      <c r="H14" s="1314"/>
      <c r="I14" s="1304">
        <f>ROUND(D14*E14*F14*G14/10000,0)</f>
        <v>0</v>
      </c>
    </row>
    <row r="15" spans="1:9">
      <c r="A15" s="3228"/>
      <c r="B15" s="3230" t="s">
        <v>1092</v>
      </c>
      <c r="C15" s="3230"/>
      <c r="D15" s="1309"/>
      <c r="E15" s="1309">
        <f>SUM(E12:E14)</f>
        <v>0</v>
      </c>
      <c r="F15" s="1310"/>
      <c r="G15" s="1307"/>
      <c r="H15" s="1314"/>
      <c r="I15" s="1315">
        <f>SUM(I12:I14)</f>
        <v>0</v>
      </c>
    </row>
    <row r="16" spans="1:9" ht="24">
      <c r="A16" s="3228" t="s">
        <v>1102</v>
      </c>
      <c r="B16" s="3229" t="s">
        <v>1103</v>
      </c>
      <c r="C16" s="3229"/>
      <c r="D16" s="1305" t="s">
        <v>1079</v>
      </c>
      <c r="E16" s="1316" t="s">
        <v>1104</v>
      </c>
      <c r="F16" s="1306" t="s">
        <v>1105</v>
      </c>
      <c r="G16" s="1307" t="s">
        <v>1083</v>
      </c>
      <c r="H16" s="1313" t="s">
        <v>1098</v>
      </c>
      <c r="I16" s="1304" t="s">
        <v>1084</v>
      </c>
    </row>
    <row r="17" spans="1:9" ht="14.25">
      <c r="A17" s="3228"/>
      <c r="B17" s="3229" t="s">
        <v>1106</v>
      </c>
      <c r="C17" s="3229"/>
      <c r="D17" s="1305"/>
      <c r="E17" s="1305"/>
      <c r="F17" s="1306"/>
      <c r="G17" s="1307"/>
      <c r="H17" s="1317"/>
      <c r="I17" s="1318">
        <f>ROUND(D17*E17*F17*G17/10000,0)</f>
        <v>0</v>
      </c>
    </row>
    <row r="18" spans="1:9" ht="14.25">
      <c r="A18" s="3228"/>
      <c r="B18" s="3229" t="s">
        <v>1107</v>
      </c>
      <c r="C18" s="3229"/>
      <c r="D18" s="1305"/>
      <c r="E18" s="1305"/>
      <c r="F18" s="1306"/>
      <c r="G18" s="1307"/>
      <c r="H18" s="1317"/>
      <c r="I18" s="1318">
        <f>ROUND(D18*E18*F18*G18/10000,0)</f>
        <v>0</v>
      </c>
    </row>
    <row r="19" spans="1:9" ht="14.25">
      <c r="A19" s="3228"/>
      <c r="B19" s="3229" t="s">
        <v>1108</v>
      </c>
      <c r="C19" s="3229"/>
      <c r="D19" s="1305"/>
      <c r="E19" s="1305"/>
      <c r="F19" s="1306"/>
      <c r="G19" s="1307"/>
      <c r="H19" s="1317"/>
      <c r="I19" s="1318">
        <f>ROUND(D19*E19*F19*G19/10000,0)</f>
        <v>0</v>
      </c>
    </row>
    <row r="20" spans="1:9">
      <c r="A20" s="3228"/>
      <c r="B20" s="3230" t="s">
        <v>1092</v>
      </c>
      <c r="C20" s="3230"/>
      <c r="D20" s="1309">
        <f>SUM(D17:D19)</f>
        <v>0</v>
      </c>
      <c r="E20" s="1309"/>
      <c r="F20" s="1310"/>
      <c r="G20" s="1307"/>
      <c r="H20" s="1314"/>
      <c r="I20" s="1315">
        <f>SUM(I17:I19)</f>
        <v>0</v>
      </c>
    </row>
    <row r="21" spans="1:9">
      <c r="A21" s="3228" t="s">
        <v>1109</v>
      </c>
      <c r="B21" s="3231"/>
      <c r="C21" s="3231"/>
      <c r="D21" s="3231"/>
      <c r="E21" s="3231"/>
      <c r="F21" s="3231"/>
      <c r="G21" s="3231"/>
      <c r="H21" s="1767">
        <v>0.1</v>
      </c>
      <c r="I21" s="1312">
        <f>ROUND(I10*H21,0)</f>
        <v>0</v>
      </c>
    </row>
    <row r="22" spans="1:9" ht="14.25">
      <c r="A22" s="3232" t="s">
        <v>1110</v>
      </c>
      <c r="B22" s="3233"/>
      <c r="C22" s="3234"/>
      <c r="D22" s="1319" t="s">
        <v>1111</v>
      </c>
      <c r="E22" s="1319" t="s">
        <v>1112</v>
      </c>
      <c r="F22" s="1320" t="s">
        <v>1113</v>
      </c>
      <c r="G22" s="1320" t="s">
        <v>1114</v>
      </c>
      <c r="H22" s="1313" t="s">
        <v>1115</v>
      </c>
      <c r="I22" s="1304" t="s">
        <v>1116</v>
      </c>
    </row>
    <row r="23" spans="1:9" ht="14.25" thickBot="1">
      <c r="A23" s="3235"/>
      <c r="B23" s="3236"/>
      <c r="C23" s="3237"/>
      <c r="D23" s="1321"/>
      <c r="E23" s="1321"/>
      <c r="F23" s="1321"/>
      <c r="G23" s="1322"/>
      <c r="H23" s="1323"/>
      <c r="I23" s="1324">
        <f>ROUND(E23*D23*F23*(1-G23)/10000,0)</f>
        <v>0</v>
      </c>
    </row>
    <row r="26" spans="1:9">
      <c r="A26" s="1325" t="s">
        <v>1117</v>
      </c>
      <c r="B26" s="1325"/>
      <c r="C26" s="1325"/>
      <c r="D26" s="1325"/>
      <c r="E26" s="3225">
        <f>C27-C30-C31-C32</f>
        <v>0</v>
      </c>
      <c r="F26" s="3225"/>
      <c r="G26" s="3225"/>
      <c r="H26" s="1739" t="s">
        <v>1340</v>
      </c>
    </row>
    <row r="27" spans="1:9">
      <c r="A27" s="1326">
        <v>1</v>
      </c>
      <c r="B27" s="1327" t="s">
        <v>1118</v>
      </c>
      <c r="C27" s="1327">
        <f>C28+C29</f>
        <v>0</v>
      </c>
      <c r="D27" s="1327"/>
      <c r="E27" s="3226"/>
      <c r="F27" s="3226"/>
      <c r="G27" s="3226"/>
    </row>
    <row r="28" spans="1:9">
      <c r="A28" s="1328" t="s">
        <v>1119</v>
      </c>
      <c r="B28" s="1327" t="s">
        <v>1120</v>
      </c>
      <c r="C28" s="1327"/>
      <c r="D28" s="1327"/>
      <c r="E28" s="3226"/>
      <c r="F28" s="3226"/>
      <c r="G28" s="322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7"/>
      <c r="F32" s="3227"/>
      <c r="G32" s="3227"/>
    </row>
    <row r="33" spans="1:7" hidden="1">
      <c r="A33" s="3222" t="s">
        <v>1129</v>
      </c>
      <c r="B33" s="3223"/>
      <c r="C33" s="3223"/>
      <c r="D33" s="3224"/>
      <c r="E33" s="3225"/>
      <c r="F33" s="3225"/>
      <c r="G33" s="3225"/>
    </row>
    <row r="34" spans="1:7" hidden="1">
      <c r="A34" s="1330">
        <v>1</v>
      </c>
      <c r="B34" s="1327" t="s">
        <v>1130</v>
      </c>
      <c r="C34" s="1327"/>
      <c r="D34" s="1327"/>
      <c r="E34" s="3226"/>
      <c r="F34" s="3226"/>
      <c r="G34" s="3226"/>
    </row>
    <row r="35" spans="1:7" hidden="1">
      <c r="A35" s="1330">
        <v>2</v>
      </c>
      <c r="B35" s="1327" t="s">
        <v>1131</v>
      </c>
      <c r="C35" s="1327"/>
      <c r="D35" s="1327"/>
      <c r="E35" s="3226"/>
      <c r="F35" s="3226"/>
      <c r="G35" s="3226"/>
    </row>
    <row r="36" spans="1:7" hidden="1">
      <c r="A36" s="1330">
        <v>3</v>
      </c>
      <c r="B36" s="1327" t="s">
        <v>1132</v>
      </c>
      <c r="C36" s="1327"/>
      <c r="D36" s="1327"/>
      <c r="E36" s="3226"/>
      <c r="F36" s="3226"/>
      <c r="G36" s="3226"/>
    </row>
    <row r="37" spans="1:7" hidden="1">
      <c r="A37" s="1330">
        <v>4</v>
      </c>
      <c r="B37" s="1327" t="s">
        <v>1133</v>
      </c>
      <c r="C37" s="1327"/>
      <c r="D37" s="1327"/>
      <c r="E37" s="3226"/>
      <c r="F37" s="3226"/>
      <c r="G37" s="3226"/>
    </row>
    <row r="38" spans="1:7" hidden="1">
      <c r="A38" s="3222" t="s">
        <v>1134</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朝国用（2011出）第00137号]，估价对象（分摊）出让国有建设用地使用权面积为19833.08平方米，建筑面积为71089.5平方米。</v>
      </c>
    </row>
    <row r="8" spans="1:1" ht="57.75">
      <c r="A8" s="1953" t="s">
        <v>1614</v>
      </c>
    </row>
    <row r="9" spans="1:1" ht="18.75">
      <c r="A9" s="1952" t="s">
        <v>1615</v>
      </c>
    </row>
    <row r="10" spans="1:1" ht="72">
      <c r="A10" s="195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京朝国用（2011出）第00137号]，估价对象（分摊）出让国有建设用地使用权面积为19833.08平方米，规划建筑面积为71089.5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2018年7月31日（评估专业人员实地查勘之日）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31日，估价对象规划用途为住宅，土地取得方式为出让，出让国有建设用地使用权剩余土地使用年限为住宅62.69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62.69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"本次评估采用的主估价方法为"&amp;结果表住宅!K4&amp;"和"&amp;结果表住宅!L4&amp;"。"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8" t="s">
        <v>2529</v>
      </c>
      <c r="C1" s="1636" t="s">
        <v>2530</v>
      </c>
      <c r="D1" s="1623"/>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2533</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2534</v>
      </c>
      <c r="D3" s="398">
        <f>IF(D1="",'数据-汇总表'!E3,SUMIF('数据-汇总表'!$C19:$C33,D1,'数据-汇总表'!$E19:$E33))</f>
        <v>71089.5</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2535</v>
      </c>
      <c r="B4" s="401"/>
      <c r="C4" s="3189" t="s">
        <v>2536</v>
      </c>
      <c r="D4" s="3190"/>
      <c r="E4" s="3191" t="s">
        <v>2537</v>
      </c>
      <c r="F4" s="3192"/>
      <c r="G4" s="3189" t="s">
        <v>2538</v>
      </c>
      <c r="H4" s="3190"/>
      <c r="I4" s="3189" t="s">
        <v>2539</v>
      </c>
      <c r="J4" s="3190"/>
      <c r="K4" s="2602" t="s">
        <v>2540</v>
      </c>
      <c r="L4" s="1132"/>
      <c r="M4" s="1133"/>
      <c r="N4" s="1133"/>
      <c r="O4" s="1133"/>
      <c r="P4" s="3193" t="s">
        <v>2541</v>
      </c>
      <c r="Q4" s="3194"/>
      <c r="R4" s="3199" t="s">
        <v>2537</v>
      </c>
      <c r="S4" s="3200"/>
      <c r="T4" s="3199" t="s">
        <v>2538</v>
      </c>
      <c r="U4" s="3200"/>
      <c r="V4" s="3184" t="s">
        <v>2539</v>
      </c>
      <c r="W4" s="3184"/>
      <c r="X4" s="1815"/>
      <c r="Y4" s="3199" t="s">
        <v>2541</v>
      </c>
      <c r="Z4" s="3200"/>
      <c r="AA4" s="3186" t="s">
        <v>2537</v>
      </c>
      <c r="AB4" s="3186" t="s">
        <v>2538</v>
      </c>
      <c r="AC4" s="3186" t="s">
        <v>2539</v>
      </c>
    </row>
    <row r="5" spans="1:29" ht="15">
      <c r="A5" s="403"/>
      <c r="B5" s="404"/>
      <c r="C5" s="3207" t="s">
        <v>2542</v>
      </c>
      <c r="D5" s="3208"/>
      <c r="E5" s="3214" t="s">
        <v>2543</v>
      </c>
      <c r="F5" s="3215"/>
      <c r="G5" s="3207" t="s">
        <v>2544</v>
      </c>
      <c r="H5" s="3208"/>
      <c r="I5" s="3207" t="s">
        <v>2545</v>
      </c>
      <c r="J5" s="3208"/>
      <c r="K5" s="2603"/>
      <c r="L5" s="1132"/>
      <c r="M5" s="1133"/>
      <c r="N5" s="1133"/>
      <c r="O5" s="1133"/>
      <c r="P5" s="3195"/>
      <c r="Q5" s="3196"/>
      <c r="R5" s="3201"/>
      <c r="S5" s="3202"/>
      <c r="T5" s="3201"/>
      <c r="U5" s="3202"/>
      <c r="V5" s="3184"/>
      <c r="W5" s="3184"/>
      <c r="X5" s="1815"/>
      <c r="Y5" s="3201"/>
      <c r="Z5" s="3202"/>
      <c r="AA5" s="3187"/>
      <c r="AB5" s="3187"/>
      <c r="AC5" s="3187"/>
    </row>
    <row r="6" spans="1:29" ht="15.75" thickBot="1">
      <c r="A6" s="405"/>
      <c r="B6" s="406"/>
      <c r="C6" s="3205" t="s">
        <v>2546</v>
      </c>
      <c r="D6" s="3206"/>
      <c r="E6" s="3212" t="s">
        <v>2546</v>
      </c>
      <c r="F6" s="3213"/>
      <c r="G6" s="3205" t="s">
        <v>2546</v>
      </c>
      <c r="H6" s="3206"/>
      <c r="I6" s="3205" t="s">
        <v>2546</v>
      </c>
      <c r="J6" s="3206"/>
      <c r="K6" s="2603" t="s">
        <v>2547</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7" t="s">
        <v>2548</v>
      </c>
      <c r="B7" s="408"/>
      <c r="C7" s="409">
        <f>'数据-取费表'!B2</f>
        <v>43312</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209" t="s">
        <v>2549</v>
      </c>
      <c r="Q7" s="3211"/>
      <c r="R7" s="769" t="s">
        <v>23</v>
      </c>
      <c r="S7" s="770">
        <f t="shared" ref="S7:S15" si="0">F7</f>
        <v>0</v>
      </c>
      <c r="T7" s="769" t="s">
        <v>23</v>
      </c>
      <c r="U7" s="770">
        <f t="shared" ref="U7:U15" si="1">H7</f>
        <v>0</v>
      </c>
      <c r="V7" s="769" t="s">
        <v>23</v>
      </c>
      <c r="W7" s="770">
        <f t="shared" ref="W7:W15" si="2">J7</f>
        <v>0</v>
      </c>
      <c r="X7" s="771"/>
      <c r="Y7" s="3209" t="s">
        <v>2549</v>
      </c>
      <c r="Z7" s="3210"/>
      <c r="AA7" s="772" t="e">
        <f>D7/F7</f>
        <v>#DIV/0!</v>
      </c>
      <c r="AB7" s="772" t="e">
        <f>D7/H7</f>
        <v>#DIV/0!</v>
      </c>
      <c r="AC7" s="772" t="e">
        <f>D7/J7</f>
        <v>#DIV/0!</v>
      </c>
    </row>
    <row r="8" spans="1:29" s="117" customFormat="1" ht="15.75" thickBot="1">
      <c r="A8" s="407" t="s">
        <v>2550</v>
      </c>
      <c r="B8" s="408"/>
      <c r="C8" s="413" t="s">
        <v>2551</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209" t="s">
        <v>2552</v>
      </c>
      <c r="Q8" s="3210"/>
      <c r="R8" s="769" t="s">
        <v>23</v>
      </c>
      <c r="S8" s="770">
        <f t="shared" si="0"/>
        <v>0</v>
      </c>
      <c r="T8" s="769" t="s">
        <v>23</v>
      </c>
      <c r="U8" s="770">
        <f t="shared" si="1"/>
        <v>0</v>
      </c>
      <c r="V8" s="769" t="s">
        <v>23</v>
      </c>
      <c r="W8" s="770">
        <f t="shared" si="2"/>
        <v>0</v>
      </c>
      <c r="X8" s="771"/>
      <c r="Y8" s="3209" t="s">
        <v>2552</v>
      </c>
      <c r="Z8" s="3210"/>
      <c r="AA8" s="772" t="e">
        <f t="shared" ref="AA8:AA19" si="3">D8/F8</f>
        <v>#DIV/0!</v>
      </c>
      <c r="AB8" s="772" t="e">
        <f t="shared" ref="AB8:AB19" si="4">D8/H8</f>
        <v>#DIV/0!</v>
      </c>
      <c r="AC8" s="772" t="e">
        <f t="shared" ref="AC8:AC19" si="5">D8/J8</f>
        <v>#DIV/0!</v>
      </c>
    </row>
    <row r="9" spans="1:29" s="117" customFormat="1">
      <c r="A9" s="414" t="s">
        <v>2553</v>
      </c>
      <c r="B9" s="71" t="s">
        <v>2554</v>
      </c>
      <c r="C9" s="415"/>
      <c r="D9" s="135">
        <v>100</v>
      </c>
      <c r="E9" s="416"/>
      <c r="F9" s="417">
        <f>SUMIF(63:63,E9,64:64)-SUMIF(63:63,C9,64:64)+100</f>
        <v>100</v>
      </c>
      <c r="G9" s="418"/>
      <c r="H9" s="135">
        <f>SUMIF(63:63,G9,64:64)-SUMIF(63:63,C9,64:64)+100</f>
        <v>100</v>
      </c>
      <c r="I9" s="418"/>
      <c r="J9" s="135">
        <f>SUMIF(63:63,I9,64:64)-SUMIF(63:63,C9,64:64)+100</f>
        <v>100</v>
      </c>
      <c r="K9" s="2604"/>
      <c r="L9" s="1134"/>
      <c r="M9" s="1135"/>
      <c r="N9" s="1135"/>
      <c r="O9" s="1135"/>
      <c r="P9" s="3185" t="s">
        <v>2555</v>
      </c>
      <c r="Q9" s="1797" t="str">
        <f t="shared" ref="Q9:Q15" si="6">B9</f>
        <v>用途</v>
      </c>
      <c r="R9" s="769" t="s">
        <v>17</v>
      </c>
      <c r="S9" s="770">
        <f t="shared" si="0"/>
        <v>100</v>
      </c>
      <c r="T9" s="769" t="s">
        <v>17</v>
      </c>
      <c r="U9" s="770">
        <f t="shared" si="1"/>
        <v>100</v>
      </c>
      <c r="V9" s="769" t="s">
        <v>17</v>
      </c>
      <c r="W9" s="770">
        <f t="shared" si="2"/>
        <v>100</v>
      </c>
      <c r="X9" s="771"/>
      <c r="Y9" s="3005"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85"/>
      <c r="Q11" s="1797" t="str">
        <f t="shared" si="6"/>
        <v>容积率</v>
      </c>
      <c r="R11" s="769" t="s">
        <v>21</v>
      </c>
      <c r="S11" s="770" t="e">
        <f t="shared" si="0"/>
        <v>#N/A</v>
      </c>
      <c r="T11" s="769" t="s">
        <v>21</v>
      </c>
      <c r="U11" s="770" t="e">
        <f t="shared" si="1"/>
        <v>#N/A</v>
      </c>
      <c r="V11" s="769" t="s">
        <v>21</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6">
        <v>111</v>
      </c>
      <c r="C12" s="431"/>
      <c r="D12" s="432">
        <v>100</v>
      </c>
      <c r="E12" s="431"/>
      <c r="F12" s="424">
        <f>SUMIF(70:70,E12,71:71)-SUMIF(70:70,C12,71:71)+100</f>
        <v>100</v>
      </c>
      <c r="G12" s="431"/>
      <c r="H12" s="136">
        <f>SUMIF(70:70,G12,71:71)-SUMIF(70:70,C12,71:71)+100</f>
        <v>100</v>
      </c>
      <c r="I12" s="431"/>
      <c r="J12" s="136">
        <f>SUMIF(70:70,I12,71:71)-SUMIF(70:70,C12,71:71)+100</f>
        <v>100</v>
      </c>
      <c r="K12" s="2607"/>
      <c r="L12" s="1134"/>
      <c r="M12" s="1135"/>
      <c r="N12" s="1135"/>
      <c r="O12" s="1135"/>
      <c r="P12" s="3185"/>
      <c r="Q12" s="1797">
        <f t="shared" si="6"/>
        <v>111</v>
      </c>
      <c r="R12" s="769" t="s">
        <v>21</v>
      </c>
      <c r="S12" s="770">
        <f t="shared" si="0"/>
        <v>100</v>
      </c>
      <c r="T12" s="769" t="s">
        <v>21</v>
      </c>
      <c r="U12" s="770">
        <f t="shared" si="1"/>
        <v>100</v>
      </c>
      <c r="V12" s="769" t="s">
        <v>21</v>
      </c>
      <c r="W12" s="770">
        <f t="shared" si="2"/>
        <v>100</v>
      </c>
      <c r="X12" s="771"/>
      <c r="Y12" s="3005"/>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85"/>
      <c r="Q13" s="1797">
        <f t="shared" si="6"/>
        <v>111</v>
      </c>
      <c r="R13" s="769" t="s">
        <v>21</v>
      </c>
      <c r="S13" s="770">
        <f t="shared" si="0"/>
        <v>100</v>
      </c>
      <c r="T13" s="769" t="s">
        <v>21</v>
      </c>
      <c r="U13" s="770">
        <f t="shared" si="1"/>
        <v>100</v>
      </c>
      <c r="V13" s="769" t="s">
        <v>21</v>
      </c>
      <c r="W13" s="770">
        <f t="shared" si="2"/>
        <v>100</v>
      </c>
      <c r="X13" s="771"/>
      <c r="Y13" s="3005"/>
      <c r="Z13" s="55">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85"/>
      <c r="Q14" s="1797">
        <f t="shared" si="6"/>
        <v>111</v>
      </c>
      <c r="R14" s="769" t="s">
        <v>21</v>
      </c>
      <c r="S14" s="770">
        <f t="shared" si="0"/>
        <v>100</v>
      </c>
      <c r="T14" s="769" t="s">
        <v>21</v>
      </c>
      <c r="U14" s="770">
        <f t="shared" si="1"/>
        <v>100</v>
      </c>
      <c r="V14" s="769" t="s">
        <v>21</v>
      </c>
      <c r="W14" s="770">
        <f t="shared" si="2"/>
        <v>100</v>
      </c>
      <c r="X14" s="771"/>
      <c r="Y14" s="3005"/>
      <c r="Z14" s="55">
        <f t="shared" si="7"/>
        <v>111</v>
      </c>
      <c r="AA14" s="772">
        <f t="shared" si="3"/>
        <v>1</v>
      </c>
      <c r="AB14" s="772">
        <f t="shared" si="4"/>
        <v>1</v>
      </c>
      <c r="AC14" s="772">
        <f t="shared" si="5"/>
        <v>1</v>
      </c>
    </row>
    <row r="15" spans="1:29" ht="99.75">
      <c r="A15" s="439" t="s">
        <v>2559</v>
      </c>
      <c r="B15" s="69" t="s">
        <v>2089</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75" t="s">
        <v>2560</v>
      </c>
      <c r="Q15" s="1812" t="str">
        <f t="shared" si="6"/>
        <v>居住社区成熟度</v>
      </c>
      <c r="R15" s="773" t="s">
        <v>21</v>
      </c>
      <c r="S15" s="774">
        <f t="shared" si="0"/>
        <v>100</v>
      </c>
      <c r="T15" s="773" t="s">
        <v>21</v>
      </c>
      <c r="U15" s="774">
        <f t="shared" si="1"/>
        <v>100</v>
      </c>
      <c r="V15" s="773" t="s">
        <v>21</v>
      </c>
      <c r="W15" s="774">
        <f t="shared" si="2"/>
        <v>100</v>
      </c>
      <c r="X15" s="1815"/>
      <c r="Y15" s="3177" t="s">
        <v>2560</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176"/>
      <c r="Q16" s="1812"/>
      <c r="R16" s="773"/>
      <c r="S16" s="774"/>
      <c r="T16" s="773"/>
      <c r="U16" s="774"/>
      <c r="V16" s="773"/>
      <c r="W16" s="774"/>
      <c r="X16" s="1815"/>
      <c r="Y16" s="3178"/>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76"/>
      <c r="Q17" s="1812" t="str">
        <f>B17</f>
        <v>交通便捷度</v>
      </c>
      <c r="R17" s="773" t="s">
        <v>21</v>
      </c>
      <c r="S17" s="774">
        <f>F17</f>
        <v>100</v>
      </c>
      <c r="T17" s="773" t="s">
        <v>21</v>
      </c>
      <c r="U17" s="774">
        <f>H17</f>
        <v>100</v>
      </c>
      <c r="V17" s="773" t="s">
        <v>21</v>
      </c>
      <c r="W17" s="774">
        <f>J17</f>
        <v>100</v>
      </c>
      <c r="X17" s="1815"/>
      <c r="Y17" s="3178"/>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176"/>
      <c r="Q18" s="1812"/>
      <c r="R18" s="773"/>
      <c r="S18" s="774"/>
      <c r="T18" s="773"/>
      <c r="U18" s="774"/>
      <c r="V18" s="773"/>
      <c r="W18" s="774"/>
      <c r="X18" s="1815"/>
      <c r="Y18" s="3178"/>
      <c r="Z18" s="1816"/>
      <c r="AA18" s="1813">
        <v>1</v>
      </c>
      <c r="AB18" s="1813">
        <v>1</v>
      </c>
      <c r="AC18" s="1813">
        <v>1</v>
      </c>
    </row>
    <row r="19" spans="1:29" ht="42.75">
      <c r="A19" s="427"/>
      <c r="B19" s="450" t="s">
        <v>2099</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76"/>
      <c r="Q19" s="1812" t="str">
        <f>B19</f>
        <v>公共配套设施</v>
      </c>
      <c r="R19" s="773" t="s">
        <v>21</v>
      </c>
      <c r="S19" s="774">
        <f>F19</f>
        <v>100</v>
      </c>
      <c r="T19" s="773" t="s">
        <v>21</v>
      </c>
      <c r="U19" s="774">
        <f>H19</f>
        <v>100</v>
      </c>
      <c r="V19" s="773" t="s">
        <v>21</v>
      </c>
      <c r="W19" s="774">
        <f>J19</f>
        <v>100</v>
      </c>
      <c r="X19" s="1815"/>
      <c r="Y19" s="3178"/>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176"/>
      <c r="Q20" s="1812"/>
      <c r="R20" s="773"/>
      <c r="S20" s="774"/>
      <c r="T20" s="773"/>
      <c r="U20" s="774"/>
      <c r="V20" s="773"/>
      <c r="W20" s="774"/>
      <c r="X20" s="1815"/>
      <c r="Y20" s="3178"/>
      <c r="Z20" s="1816"/>
      <c r="AA20" s="1813">
        <v>1</v>
      </c>
      <c r="AB20" s="1813">
        <v>1</v>
      </c>
      <c r="AC20" s="1813">
        <v>1</v>
      </c>
    </row>
    <row r="21" spans="1:29" ht="28.5">
      <c r="A21" s="427"/>
      <c r="B21" s="1386" t="s">
        <v>2102</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76"/>
      <c r="Q21" s="1812" t="str">
        <f>B21</f>
        <v>基础设施水平</v>
      </c>
      <c r="R21" s="773" t="s">
        <v>17</v>
      </c>
      <c r="S21" s="774">
        <f>F21</f>
        <v>100</v>
      </c>
      <c r="T21" s="773" t="s">
        <v>17</v>
      </c>
      <c r="U21" s="774">
        <f>H21</f>
        <v>100</v>
      </c>
      <c r="V21" s="773" t="s">
        <v>17</v>
      </c>
      <c r="W21" s="774">
        <f>J21</f>
        <v>100</v>
      </c>
      <c r="X21" s="1815"/>
      <c r="Y21" s="3178"/>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176"/>
      <c r="Q22" s="1812"/>
      <c r="R22" s="773"/>
      <c r="S22" s="774"/>
      <c r="T22" s="773"/>
      <c r="U22" s="774"/>
      <c r="V22" s="773"/>
      <c r="W22" s="774"/>
      <c r="X22" s="1815"/>
      <c r="Y22" s="3178"/>
      <c r="Z22" s="1816"/>
      <c r="AA22" s="1813">
        <v>1</v>
      </c>
      <c r="AB22" s="1813">
        <v>1</v>
      </c>
      <c r="AC22" s="1813">
        <v>1</v>
      </c>
    </row>
    <row r="23" spans="1:29" ht="57">
      <c r="A23" s="427"/>
      <c r="B23" s="450" t="s">
        <v>2106</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76"/>
      <c r="Q23" s="1812" t="str">
        <f>B23</f>
        <v>自然及人文环境</v>
      </c>
      <c r="R23" s="773" t="s">
        <v>21</v>
      </c>
      <c r="S23" s="774">
        <f>F23</f>
        <v>100</v>
      </c>
      <c r="T23" s="773" t="s">
        <v>21</v>
      </c>
      <c r="U23" s="774">
        <f>H23</f>
        <v>100</v>
      </c>
      <c r="V23" s="773" t="s">
        <v>21</v>
      </c>
      <c r="W23" s="774">
        <f>J23</f>
        <v>100</v>
      </c>
      <c r="X23" s="1815"/>
      <c r="Y23" s="3178"/>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176"/>
      <c r="Q24" s="1812"/>
      <c r="R24" s="773"/>
      <c r="S24" s="774"/>
      <c r="T24" s="773"/>
      <c r="U24" s="774"/>
      <c r="V24" s="773"/>
      <c r="W24" s="774"/>
      <c r="X24" s="1815"/>
      <c r="Y24" s="3178"/>
      <c r="Z24" s="1816"/>
      <c r="AA24" s="1813">
        <v>1</v>
      </c>
      <c r="AB24" s="1813">
        <v>1</v>
      </c>
      <c r="AC24" s="1813">
        <v>1</v>
      </c>
    </row>
    <row r="25" spans="1:29" ht="15">
      <c r="A25" s="427"/>
      <c r="B25" s="421" t="s">
        <v>2561</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17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8"/>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176"/>
      <c r="Q26" s="1812" t="str">
        <f t="shared" si="11"/>
        <v>朝向</v>
      </c>
      <c r="R26" s="773" t="s">
        <v>21</v>
      </c>
      <c r="S26" s="774">
        <f t="shared" si="12"/>
        <v>100</v>
      </c>
      <c r="T26" s="773" t="s">
        <v>21</v>
      </c>
      <c r="U26" s="774">
        <f t="shared" si="13"/>
        <v>100</v>
      </c>
      <c r="V26" s="773" t="s">
        <v>21</v>
      </c>
      <c r="W26" s="774">
        <f t="shared" si="14"/>
        <v>100</v>
      </c>
      <c r="X26" s="1815"/>
      <c r="Y26" s="3178"/>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176"/>
      <c r="Q27" s="1797">
        <f t="shared" si="11"/>
        <v>111</v>
      </c>
      <c r="R27" s="769" t="s">
        <v>21</v>
      </c>
      <c r="S27" s="770">
        <f t="shared" si="12"/>
        <v>100</v>
      </c>
      <c r="T27" s="769" t="s">
        <v>21</v>
      </c>
      <c r="U27" s="770">
        <f t="shared" si="13"/>
        <v>100</v>
      </c>
      <c r="V27" s="769" t="s">
        <v>21</v>
      </c>
      <c r="W27" s="770">
        <f t="shared" si="14"/>
        <v>100</v>
      </c>
      <c r="X27" s="771"/>
      <c r="Y27" s="3178"/>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176"/>
      <c r="Q28" s="1812">
        <f t="shared" si="11"/>
        <v>111</v>
      </c>
      <c r="R28" s="773" t="s">
        <v>21</v>
      </c>
      <c r="S28" s="774">
        <f t="shared" si="12"/>
        <v>100</v>
      </c>
      <c r="T28" s="773" t="s">
        <v>21</v>
      </c>
      <c r="U28" s="774">
        <f t="shared" si="13"/>
        <v>100</v>
      </c>
      <c r="V28" s="773" t="s">
        <v>21</v>
      </c>
      <c r="W28" s="774">
        <f t="shared" si="14"/>
        <v>100</v>
      </c>
      <c r="X28" s="1815"/>
      <c r="Y28" s="317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176"/>
      <c r="Q29" s="1812">
        <f t="shared" si="11"/>
        <v>111</v>
      </c>
      <c r="R29" s="773" t="s">
        <v>21</v>
      </c>
      <c r="S29" s="774">
        <f t="shared" si="12"/>
        <v>100</v>
      </c>
      <c r="T29" s="773" t="s">
        <v>21</v>
      </c>
      <c r="U29" s="774">
        <f t="shared" si="13"/>
        <v>100</v>
      </c>
      <c r="V29" s="773" t="s">
        <v>21</v>
      </c>
      <c r="W29" s="774">
        <f t="shared" si="14"/>
        <v>100</v>
      </c>
      <c r="X29" s="1815"/>
      <c r="Y29" s="317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176"/>
      <c r="Q30" s="1812">
        <f t="shared" si="11"/>
        <v>111</v>
      </c>
      <c r="R30" s="773" t="s">
        <v>21</v>
      </c>
      <c r="S30" s="774">
        <f t="shared" si="12"/>
        <v>100</v>
      </c>
      <c r="T30" s="773" t="s">
        <v>21</v>
      </c>
      <c r="U30" s="774">
        <f t="shared" si="13"/>
        <v>100</v>
      </c>
      <c r="V30" s="773" t="s">
        <v>21</v>
      </c>
      <c r="W30" s="774">
        <f t="shared" si="14"/>
        <v>100</v>
      </c>
      <c r="X30" s="1815"/>
      <c r="Y30" s="317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176"/>
      <c r="Q31" s="1812">
        <f t="shared" si="11"/>
        <v>111</v>
      </c>
      <c r="R31" s="773" t="s">
        <v>21</v>
      </c>
      <c r="S31" s="774">
        <f t="shared" si="12"/>
        <v>100</v>
      </c>
      <c r="T31" s="773" t="s">
        <v>21</v>
      </c>
      <c r="U31" s="774">
        <f t="shared" si="13"/>
        <v>100</v>
      </c>
      <c r="V31" s="773" t="s">
        <v>21</v>
      </c>
      <c r="W31" s="774">
        <f t="shared" si="14"/>
        <v>100</v>
      </c>
      <c r="X31" s="1815"/>
      <c r="Y31" s="3178"/>
      <c r="Z31" s="1816">
        <f t="shared" si="18"/>
        <v>111</v>
      </c>
      <c r="AA31" s="1813">
        <f t="shared" si="15"/>
        <v>1</v>
      </c>
      <c r="AB31" s="1813">
        <f t="shared" si="16"/>
        <v>1</v>
      </c>
      <c r="AC31" s="1813">
        <f t="shared" si="17"/>
        <v>1</v>
      </c>
    </row>
    <row r="32" spans="1:29" ht="15">
      <c r="A32" s="439" t="s">
        <v>2563</v>
      </c>
      <c r="B32" s="71" t="s">
        <v>2564</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179" t="s">
        <v>2565</v>
      </c>
      <c r="Q32" s="1812" t="str">
        <f t="shared" si="11"/>
        <v>建筑类型</v>
      </c>
      <c r="R32" s="773" t="s">
        <v>21</v>
      </c>
      <c r="S32" s="774">
        <f t="shared" si="12"/>
        <v>100</v>
      </c>
      <c r="T32" s="773" t="s">
        <v>21</v>
      </c>
      <c r="U32" s="774">
        <f t="shared" si="13"/>
        <v>100</v>
      </c>
      <c r="V32" s="773" t="s">
        <v>21</v>
      </c>
      <c r="W32" s="774">
        <f t="shared" si="14"/>
        <v>100</v>
      </c>
      <c r="X32" s="1815"/>
      <c r="Y32" s="3182" t="s">
        <v>2565</v>
      </c>
      <c r="Z32" s="1816" t="str">
        <f t="shared" si="18"/>
        <v>建筑类型</v>
      </c>
      <c r="AA32" s="1813">
        <f t="shared" si="15"/>
        <v>1</v>
      </c>
      <c r="AB32" s="1813">
        <f t="shared" si="16"/>
        <v>1</v>
      </c>
      <c r="AC32" s="1813">
        <f t="shared" si="17"/>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7"/>
      <c r="L33" s="1140"/>
      <c r="M33" s="1143"/>
      <c r="N33" s="1143"/>
      <c r="O33" s="1143"/>
      <c r="P33" s="3180"/>
      <c r="Q33" s="775" t="str">
        <f t="shared" si="11"/>
        <v>项目建筑规模</v>
      </c>
      <c r="R33" s="776" t="s">
        <v>21</v>
      </c>
      <c r="S33" s="777" t="e">
        <f t="shared" si="12"/>
        <v>#N/A</v>
      </c>
      <c r="T33" s="776" t="s">
        <v>21</v>
      </c>
      <c r="U33" s="777" t="e">
        <f t="shared" si="13"/>
        <v>#N/A</v>
      </c>
      <c r="V33" s="776" t="s">
        <v>21</v>
      </c>
      <c r="W33" s="777" t="e">
        <f t="shared" si="14"/>
        <v>#N/A</v>
      </c>
      <c r="X33" s="778"/>
      <c r="Y33" s="3182"/>
      <c r="Z33" s="779" t="str">
        <f t="shared" si="18"/>
        <v>项目建筑规模</v>
      </c>
      <c r="AA33" s="1813" t="e">
        <f t="shared" si="15"/>
        <v>#N/A</v>
      </c>
      <c r="AB33" s="1813" t="e">
        <f t="shared" si="16"/>
        <v>#N/A</v>
      </c>
      <c r="AC33" s="1813" t="e">
        <f t="shared" si="17"/>
        <v>#N/A</v>
      </c>
    </row>
    <row r="34" spans="1:29" ht="15">
      <c r="A34" s="471"/>
      <c r="B34" s="421" t="s">
        <v>2567</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180"/>
      <c r="Q34" s="1812" t="str">
        <f t="shared" si="11"/>
        <v>建筑结构</v>
      </c>
      <c r="R34" s="773" t="s">
        <v>21</v>
      </c>
      <c r="S34" s="774">
        <f t="shared" si="12"/>
        <v>100</v>
      </c>
      <c r="T34" s="773" t="s">
        <v>21</v>
      </c>
      <c r="U34" s="774">
        <f t="shared" si="13"/>
        <v>100</v>
      </c>
      <c r="V34" s="773" t="s">
        <v>21</v>
      </c>
      <c r="W34" s="774">
        <f t="shared" si="14"/>
        <v>100</v>
      </c>
      <c r="X34" s="1815"/>
      <c r="Y34" s="3182"/>
      <c r="Z34" s="1816" t="str">
        <f t="shared" si="18"/>
        <v>建筑结构</v>
      </c>
      <c r="AA34" s="1813">
        <f t="shared" si="15"/>
        <v>1</v>
      </c>
      <c r="AB34" s="1813">
        <f t="shared" si="16"/>
        <v>1</v>
      </c>
      <c r="AC34" s="1813">
        <f t="shared" si="17"/>
        <v>1</v>
      </c>
    </row>
    <row r="35" spans="1:29" ht="15">
      <c r="A35" s="471"/>
      <c r="B35" s="421" t="s">
        <v>2568</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180"/>
      <c r="Q35" s="1812" t="str">
        <f t="shared" si="11"/>
        <v>建筑品质</v>
      </c>
      <c r="R35" s="773" t="s">
        <v>21</v>
      </c>
      <c r="S35" s="774">
        <f t="shared" si="12"/>
        <v>100</v>
      </c>
      <c r="T35" s="773" t="s">
        <v>21</v>
      </c>
      <c r="U35" s="774">
        <f t="shared" si="13"/>
        <v>100</v>
      </c>
      <c r="V35" s="773" t="s">
        <v>21</v>
      </c>
      <c r="W35" s="774">
        <f t="shared" si="14"/>
        <v>100</v>
      </c>
      <c r="X35" s="1815"/>
      <c r="Y35" s="3182"/>
      <c r="Z35" s="1816" t="str">
        <f t="shared" si="18"/>
        <v>建筑品质</v>
      </c>
      <c r="AA35" s="1813">
        <f t="shared" si="15"/>
        <v>1</v>
      </c>
      <c r="AB35" s="1813">
        <f t="shared" si="16"/>
        <v>1</v>
      </c>
      <c r="AC35" s="1813">
        <f t="shared" si="17"/>
        <v>1</v>
      </c>
    </row>
    <row r="36" spans="1:29" ht="15">
      <c r="A36" s="471"/>
      <c r="B36" s="421" t="s">
        <v>2569</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180"/>
      <c r="Q36" s="1812" t="str">
        <f t="shared" si="11"/>
        <v>公共部分装修</v>
      </c>
      <c r="R36" s="773" t="s">
        <v>21</v>
      </c>
      <c r="S36" s="774">
        <f t="shared" si="12"/>
        <v>100</v>
      </c>
      <c r="T36" s="773" t="s">
        <v>21</v>
      </c>
      <c r="U36" s="774">
        <f t="shared" si="13"/>
        <v>100</v>
      </c>
      <c r="V36" s="773" t="s">
        <v>21</v>
      </c>
      <c r="W36" s="774">
        <f t="shared" si="14"/>
        <v>100</v>
      </c>
      <c r="X36" s="1815"/>
      <c r="Y36" s="3182"/>
      <c r="Z36" s="1816" t="str">
        <f t="shared" si="18"/>
        <v>公共部分装修</v>
      </c>
      <c r="AA36" s="1813">
        <f t="shared" si="15"/>
        <v>1</v>
      </c>
      <c r="AB36" s="1813">
        <f t="shared" si="16"/>
        <v>1</v>
      </c>
      <c r="AC36" s="1813">
        <f t="shared" si="17"/>
        <v>1</v>
      </c>
    </row>
    <row r="37" spans="1:29" s="117" customFormat="1" ht="15">
      <c r="A37" s="472"/>
      <c r="B37" s="421"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80"/>
      <c r="Q37" s="1797" t="str">
        <f t="shared" si="11"/>
        <v>成新度</v>
      </c>
      <c r="R37" s="769" t="s">
        <v>21</v>
      </c>
      <c r="S37" s="770" t="e">
        <f t="shared" si="12"/>
        <v>#N/A</v>
      </c>
      <c r="T37" s="769" t="s">
        <v>21</v>
      </c>
      <c r="U37" s="770" t="e">
        <f t="shared" si="13"/>
        <v>#N/A</v>
      </c>
      <c r="V37" s="769" t="s">
        <v>21</v>
      </c>
      <c r="W37" s="770" t="e">
        <f t="shared" si="14"/>
        <v>#N/A</v>
      </c>
      <c r="X37" s="771"/>
      <c r="Y37" s="3182"/>
      <c r="Z37" s="55" t="str">
        <f t="shared" si="18"/>
        <v>成新度</v>
      </c>
      <c r="AA37" s="772" t="e">
        <f t="shared" si="15"/>
        <v>#N/A</v>
      </c>
      <c r="AB37" s="772" t="e">
        <f t="shared" si="16"/>
        <v>#N/A</v>
      </c>
      <c r="AC37" s="772" t="e">
        <f t="shared" si="17"/>
        <v>#N/A</v>
      </c>
    </row>
    <row r="38" spans="1:29" ht="15">
      <c r="A38" s="471"/>
      <c r="B38" s="421" t="s">
        <v>2571</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180" t="s">
        <v>2565</v>
      </c>
      <c r="Q38" s="1812" t="str">
        <f t="shared" si="11"/>
        <v>物业管理</v>
      </c>
      <c r="R38" s="773" t="s">
        <v>21</v>
      </c>
      <c r="S38" s="774">
        <f t="shared" si="12"/>
        <v>100</v>
      </c>
      <c r="T38" s="773" t="s">
        <v>21</v>
      </c>
      <c r="U38" s="774">
        <f t="shared" si="13"/>
        <v>100</v>
      </c>
      <c r="V38" s="773" t="s">
        <v>21</v>
      </c>
      <c r="W38" s="774">
        <f t="shared" si="14"/>
        <v>100</v>
      </c>
      <c r="X38" s="1815"/>
      <c r="Y38" s="3182" t="s">
        <v>2565</v>
      </c>
      <c r="Z38" s="1816" t="str">
        <f t="shared" si="18"/>
        <v>物业管理</v>
      </c>
      <c r="AA38" s="1813">
        <f t="shared" si="15"/>
        <v>1</v>
      </c>
      <c r="AB38" s="1813">
        <f t="shared" si="16"/>
        <v>1</v>
      </c>
      <c r="AC38" s="1813">
        <f t="shared" si="17"/>
        <v>1</v>
      </c>
    </row>
    <row r="39" spans="1:29" ht="15">
      <c r="A39" s="471"/>
      <c r="B39" s="421" t="s">
        <v>2572</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180"/>
      <c r="Q39" s="1812" t="str">
        <f t="shared" si="11"/>
        <v>市政基础设施</v>
      </c>
      <c r="R39" s="773" t="s">
        <v>21</v>
      </c>
      <c r="S39" s="774">
        <f t="shared" si="12"/>
        <v>100</v>
      </c>
      <c r="T39" s="773" t="s">
        <v>21</v>
      </c>
      <c r="U39" s="774">
        <f t="shared" si="13"/>
        <v>100</v>
      </c>
      <c r="V39" s="773" t="s">
        <v>21</v>
      </c>
      <c r="W39" s="774">
        <f t="shared" si="14"/>
        <v>100</v>
      </c>
      <c r="X39" s="1815"/>
      <c r="Y39" s="3182"/>
      <c r="Z39" s="1816" t="str">
        <f t="shared" si="18"/>
        <v>市政基础设施</v>
      </c>
      <c r="AA39" s="1813">
        <f t="shared" si="15"/>
        <v>1</v>
      </c>
      <c r="AB39" s="1813">
        <f t="shared" si="16"/>
        <v>1</v>
      </c>
      <c r="AC39" s="1813">
        <f t="shared" si="17"/>
        <v>1</v>
      </c>
    </row>
    <row r="40" spans="1:29" ht="15">
      <c r="A40" s="471"/>
      <c r="B40" s="421" t="s">
        <v>2573</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180"/>
      <c r="Q40" s="1812" t="str">
        <f t="shared" si="11"/>
        <v>房型</v>
      </c>
      <c r="R40" s="773" t="s">
        <v>21</v>
      </c>
      <c r="S40" s="774">
        <f t="shared" si="12"/>
        <v>100</v>
      </c>
      <c r="T40" s="773" t="s">
        <v>21</v>
      </c>
      <c r="U40" s="774">
        <f t="shared" si="13"/>
        <v>100</v>
      </c>
      <c r="V40" s="773" t="s">
        <v>21</v>
      </c>
      <c r="W40" s="774">
        <f t="shared" si="14"/>
        <v>100</v>
      </c>
      <c r="X40" s="1815"/>
      <c r="Y40" s="3182"/>
      <c r="Z40" s="1816" t="str">
        <f t="shared" si="18"/>
        <v>房型</v>
      </c>
      <c r="AA40" s="1813">
        <f t="shared" si="15"/>
        <v>1</v>
      </c>
      <c r="AB40" s="1813">
        <f t="shared" si="16"/>
        <v>1</v>
      </c>
      <c r="AC40" s="1813">
        <f t="shared" si="17"/>
        <v>1</v>
      </c>
    </row>
    <row r="41" spans="1:29" s="470" customFormat="1" ht="28.5">
      <c r="A41" s="467"/>
      <c r="B41" s="421"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7"/>
      <c r="L41" s="1140"/>
      <c r="M41" s="1143"/>
      <c r="N41" s="1143"/>
      <c r="O41" s="1143"/>
      <c r="P41" s="3180"/>
      <c r="Q41" s="775" t="str">
        <f t="shared" si="11"/>
        <v>单套/主力户型建筑面积</v>
      </c>
      <c r="R41" s="776" t="s">
        <v>21</v>
      </c>
      <c r="S41" s="777">
        <f t="shared" si="12"/>
        <v>100</v>
      </c>
      <c r="T41" s="776" t="s">
        <v>21</v>
      </c>
      <c r="U41" s="777">
        <f t="shared" si="13"/>
        <v>100</v>
      </c>
      <c r="V41" s="776" t="s">
        <v>21</v>
      </c>
      <c r="W41" s="777">
        <f t="shared" si="14"/>
        <v>100</v>
      </c>
      <c r="X41" s="778"/>
      <c r="Y41" s="3182"/>
      <c r="Z41" s="779" t="str">
        <f t="shared" si="18"/>
        <v>单套/主力户型建筑面积</v>
      </c>
      <c r="AA41" s="1813">
        <f t="shared" si="15"/>
        <v>1</v>
      </c>
      <c r="AB41" s="1813">
        <f t="shared" si="16"/>
        <v>1</v>
      </c>
      <c r="AC41" s="1813">
        <f t="shared" si="17"/>
        <v>1</v>
      </c>
    </row>
    <row r="42" spans="1:29" ht="15">
      <c r="A42" s="471"/>
      <c r="B42" s="421" t="s">
        <v>2575</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180"/>
      <c r="Q42" s="1812" t="str">
        <f t="shared" si="11"/>
        <v>内部装修</v>
      </c>
      <c r="R42" s="773" t="s">
        <v>21</v>
      </c>
      <c r="S42" s="774">
        <f t="shared" si="12"/>
        <v>100</v>
      </c>
      <c r="T42" s="773" t="s">
        <v>21</v>
      </c>
      <c r="U42" s="774">
        <f t="shared" si="13"/>
        <v>100</v>
      </c>
      <c r="V42" s="773" t="s">
        <v>21</v>
      </c>
      <c r="W42" s="774">
        <f t="shared" si="14"/>
        <v>100</v>
      </c>
      <c r="X42" s="1815"/>
      <c r="Y42" s="3182"/>
      <c r="Z42" s="1816" t="str">
        <f t="shared" si="18"/>
        <v>内部装修</v>
      </c>
      <c r="AA42" s="1813">
        <f t="shared" si="15"/>
        <v>1</v>
      </c>
      <c r="AB42" s="1813">
        <f t="shared" si="16"/>
        <v>1</v>
      </c>
      <c r="AC42" s="1813">
        <f t="shared" si="17"/>
        <v>1</v>
      </c>
    </row>
    <row r="43" spans="1:29" ht="15">
      <c r="A43" s="471"/>
      <c r="B43" s="421" t="s">
        <v>2576</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180"/>
      <c r="Q43" s="1812" t="str">
        <f t="shared" si="11"/>
        <v>内部装修维护情况</v>
      </c>
      <c r="R43" s="773" t="s">
        <v>21</v>
      </c>
      <c r="S43" s="774">
        <f t="shared" si="12"/>
        <v>100</v>
      </c>
      <c r="T43" s="773" t="s">
        <v>21</v>
      </c>
      <c r="U43" s="774">
        <f t="shared" si="13"/>
        <v>100</v>
      </c>
      <c r="V43" s="773" t="s">
        <v>21</v>
      </c>
      <c r="W43" s="774">
        <f t="shared" si="14"/>
        <v>100</v>
      </c>
      <c r="X43" s="1815"/>
      <c r="Y43" s="3182"/>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7"/>
      <c r="L44" s="1134"/>
      <c r="M44" s="1135"/>
      <c r="N44" s="1135"/>
      <c r="O44" s="1135"/>
      <c r="P44" s="3180"/>
      <c r="Q44" s="1797">
        <f t="shared" si="11"/>
        <v>111</v>
      </c>
      <c r="R44" s="769" t="s">
        <v>21</v>
      </c>
      <c r="S44" s="770">
        <f t="shared" si="12"/>
        <v>100</v>
      </c>
      <c r="T44" s="769" t="s">
        <v>21</v>
      </c>
      <c r="U44" s="770">
        <f t="shared" si="13"/>
        <v>100</v>
      </c>
      <c r="V44" s="769" t="s">
        <v>21</v>
      </c>
      <c r="W44" s="770">
        <f t="shared" si="14"/>
        <v>100</v>
      </c>
      <c r="X44" s="771"/>
      <c r="Y44" s="318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180"/>
      <c r="Q45" s="1812">
        <f t="shared" si="11"/>
        <v>111</v>
      </c>
      <c r="R45" s="773" t="s">
        <v>21</v>
      </c>
      <c r="S45" s="774">
        <f t="shared" si="12"/>
        <v>100</v>
      </c>
      <c r="T45" s="773" t="s">
        <v>21</v>
      </c>
      <c r="U45" s="774">
        <f t="shared" si="13"/>
        <v>100</v>
      </c>
      <c r="V45" s="773" t="s">
        <v>21</v>
      </c>
      <c r="W45" s="774">
        <f t="shared" si="14"/>
        <v>100</v>
      </c>
      <c r="X45" s="1815"/>
      <c r="Y45" s="3182"/>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181"/>
      <c r="Q46" s="1812">
        <f t="shared" si="11"/>
        <v>111</v>
      </c>
      <c r="R46" s="773" t="s">
        <v>20</v>
      </c>
      <c r="S46" s="774">
        <f t="shared" si="12"/>
        <v>100</v>
      </c>
      <c r="T46" s="773" t="s">
        <v>20</v>
      </c>
      <c r="U46" s="774">
        <f t="shared" si="13"/>
        <v>100</v>
      </c>
      <c r="V46" s="773" t="s">
        <v>20</v>
      </c>
      <c r="W46" s="774">
        <f t="shared" si="14"/>
        <v>100</v>
      </c>
      <c r="X46" s="1815"/>
      <c r="Y46" s="3183"/>
      <c r="Z46" s="1816">
        <f t="shared" si="18"/>
        <v>111</v>
      </c>
      <c r="AA46" s="1813">
        <f t="shared" si="15"/>
        <v>1</v>
      </c>
      <c r="AB46" s="1813">
        <f t="shared" si="16"/>
        <v>1</v>
      </c>
      <c r="AC46" s="1813">
        <f t="shared" si="17"/>
        <v>1</v>
      </c>
    </row>
    <row r="47" spans="1:29" ht="15">
      <c r="A47" s="478" t="s">
        <v>2577</v>
      </c>
      <c r="B47" s="479"/>
      <c r="C47" s="1409" t="s">
        <v>19</v>
      </c>
      <c r="D47" s="1410"/>
      <c r="E47" s="1411"/>
      <c r="F47" s="1412"/>
      <c r="G47" s="1413"/>
      <c r="H47" s="1414"/>
      <c r="I47" s="1411"/>
      <c r="J47" s="1414"/>
      <c r="K47" s="2627"/>
      <c r="L47" s="1145"/>
      <c r="M47" s="1146"/>
      <c r="N47" s="1133"/>
      <c r="O47" s="1146"/>
      <c r="P47" s="3170" t="str">
        <f>A47</f>
        <v>成交单价（元/平方米）</v>
      </c>
      <c r="Q47" s="3170"/>
      <c r="R47" s="3171">
        <f>E47</f>
        <v>0</v>
      </c>
      <c r="S47" s="3171"/>
      <c r="T47" s="3171">
        <f>G47</f>
        <v>0</v>
      </c>
      <c r="U47" s="3171"/>
      <c r="V47" s="3171">
        <f>I47</f>
        <v>0</v>
      </c>
      <c r="W47" s="3171"/>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8"/>
      <c r="L48" s="1145"/>
      <c r="M48" s="1146"/>
      <c r="N48" s="1146"/>
      <c r="O48" s="1146"/>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9"/>
      <c r="L49" s="1145"/>
      <c r="M49" s="1146"/>
      <c r="N49" s="1146"/>
      <c r="O49" s="1146"/>
      <c r="P49" s="3172" t="str">
        <f>A49</f>
        <v>估价对象XX用房的比较价值（楼面单价，元/平方米）</v>
      </c>
      <c r="Q49" s="3173"/>
      <c r="R49" s="3174" t="e">
        <f>IF(F1="售价",ROUND(AVERAGE(R48:V48),0),ROUND(AVERAGE(R48:V48),1))</f>
        <v>#DIV/0!</v>
      </c>
      <c r="S49" s="3174"/>
      <c r="T49" s="3174"/>
      <c r="U49" s="3174"/>
      <c r="V49" s="3174"/>
      <c r="W49" s="317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2"/>
      <c r="Q57" s="503"/>
    </row>
    <row r="58" spans="1:29" s="507" customFormat="1" ht="15">
      <c r="A58" s="504" t="s">
        <v>2584</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8"/>
      <c r="B59" s="2633"/>
      <c r="C59" s="1575">
        <v>100</v>
      </c>
      <c r="D59" s="510"/>
      <c r="E59" s="511"/>
      <c r="F59" s="511"/>
      <c r="G59" s="511"/>
      <c r="H59" s="511"/>
      <c r="I59" s="511"/>
      <c r="J59" s="511"/>
      <c r="K59" s="511"/>
      <c r="L59" s="511"/>
      <c r="M59" s="512"/>
      <c r="N59" s="511"/>
      <c r="O59" s="512"/>
      <c r="P59" s="2634"/>
    </row>
    <row r="60" spans="1:29" s="117" customFormat="1" ht="15.75" thickBot="1">
      <c r="A60" s="514" t="s">
        <v>2585</v>
      </c>
      <c r="B60" s="515"/>
      <c r="C60" s="516"/>
      <c r="D60" s="517"/>
      <c r="E60" s="517"/>
      <c r="F60" s="517"/>
      <c r="G60" s="517"/>
      <c r="H60" s="517"/>
      <c r="I60" s="517"/>
      <c r="J60" s="517"/>
      <c r="K60" s="517"/>
      <c r="L60" s="517"/>
      <c r="M60" s="518"/>
      <c r="N60" s="517"/>
      <c r="O60" s="518"/>
      <c r="P60" s="2634"/>
      <c r="Q60" s="503"/>
    </row>
    <row r="61" spans="1:29" s="117" customFormat="1" ht="15">
      <c r="A61" s="520" t="s">
        <v>2586</v>
      </c>
      <c r="B61" s="509"/>
      <c r="C61" s="521" t="s">
        <v>2587</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2588</v>
      </c>
      <c r="B63" s="527" t="s">
        <v>2554</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2102</v>
      </c>
      <c r="C82" s="538" t="s">
        <v>2604</v>
      </c>
      <c r="D82" s="538" t="s">
        <v>2605</v>
      </c>
      <c r="E82" s="538" t="s">
        <v>2606</v>
      </c>
      <c r="F82" s="538" t="s">
        <v>2607</v>
      </c>
      <c r="G82" s="538" t="s">
        <v>2608</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2610</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7" customFormat="1" ht="15.75" thickTop="1">
      <c r="A88" s="578"/>
      <c r="B88" s="537" t="s">
        <v>2611</v>
      </c>
      <c r="C88" s="553"/>
      <c r="D88" s="553"/>
      <c r="E88" s="553"/>
      <c r="F88" s="2641"/>
      <c r="G88" s="553"/>
      <c r="H88" s="553"/>
      <c r="I88" s="553"/>
      <c r="J88" s="553"/>
      <c r="K88" s="553"/>
      <c r="L88" s="553"/>
      <c r="M88" s="580"/>
      <c r="N88" s="1153"/>
      <c r="O88" s="1153"/>
      <c r="P88" s="263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2563</v>
      </c>
      <c r="B100" s="527" t="s">
        <v>2612</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2614</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2615</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2616</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2617</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2618</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2619</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2620</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6">
        <v>6</v>
      </c>
      <c r="C139" s="1087">
        <v>96</v>
      </c>
      <c r="D139" s="2654" t="s">
        <v>2631</v>
      </c>
      <c r="E139" s="1088">
        <v>100</v>
      </c>
      <c r="F139" s="1089">
        <v>102.5</v>
      </c>
      <c r="G139" s="2654" t="s">
        <v>2631</v>
      </c>
      <c r="H139" s="1090">
        <v>105</v>
      </c>
      <c r="I139" s="2655" t="s">
        <v>2632</v>
      </c>
      <c r="J139" s="1087">
        <v>20</v>
      </c>
      <c r="K139" s="1091">
        <f>C145/(J139-2)</f>
        <v>4.0555555555555553E-3</v>
      </c>
    </row>
    <row r="140" spans="1:17" ht="15">
      <c r="B140" s="1092">
        <v>5</v>
      </c>
      <c r="C140" s="1093">
        <v>100</v>
      </c>
      <c r="D140" s="1093"/>
      <c r="E140" s="1094"/>
      <c r="F140" s="1095">
        <v>102</v>
      </c>
      <c r="G140" s="1093"/>
      <c r="H140" s="1096"/>
      <c r="I140" s="2656" t="s">
        <v>2633</v>
      </c>
      <c r="J140" s="314">
        <f>ROUNDUP((J139-1)/2,0)</f>
        <v>10</v>
      </c>
      <c r="K140" s="1097">
        <v>100</v>
      </c>
    </row>
    <row r="141" spans="1:17" ht="15">
      <c r="B141" s="1092">
        <v>4</v>
      </c>
      <c r="C141" s="1093">
        <v>102</v>
      </c>
      <c r="D141" s="1093"/>
      <c r="E141" s="1094"/>
      <c r="F141" s="1095">
        <v>101.5</v>
      </c>
      <c r="G141" s="1093"/>
      <c r="H141" s="1096"/>
      <c r="I141" s="2656" t="s">
        <v>2634</v>
      </c>
      <c r="J141" s="314">
        <v>1</v>
      </c>
      <c r="K141" s="1098">
        <f>ROUND(100+(J141-J140)*K139*100,1)</f>
        <v>96.4</v>
      </c>
    </row>
    <row r="142" spans="1:17" ht="15">
      <c r="B142" s="1092">
        <v>3</v>
      </c>
      <c r="C142" s="1093">
        <v>103</v>
      </c>
      <c r="D142" s="1093"/>
      <c r="E142" s="1094"/>
      <c r="F142" s="1095">
        <v>101</v>
      </c>
      <c r="G142" s="1093"/>
      <c r="H142" s="1096"/>
      <c r="I142" s="2656" t="s">
        <v>2635</v>
      </c>
      <c r="J142" s="314">
        <f>J139</f>
        <v>20</v>
      </c>
      <c r="K142" s="1099">
        <v>95</v>
      </c>
    </row>
    <row r="143" spans="1:17" ht="15">
      <c r="B143" s="1092">
        <v>2</v>
      </c>
      <c r="C143" s="1093">
        <v>100</v>
      </c>
      <c r="D143" s="1093"/>
      <c r="E143" s="1094"/>
      <c r="F143" s="1095">
        <v>100.5</v>
      </c>
      <c r="G143" s="1093"/>
      <c r="H143" s="1096"/>
      <c r="I143" s="2656" t="s">
        <v>2636</v>
      </c>
      <c r="J143" s="1093">
        <v>15</v>
      </c>
      <c r="K143" s="1098">
        <f>ROUND(100+(J143-J140)*K139*100,1)</f>
        <v>102</v>
      </c>
    </row>
    <row r="144" spans="1:17" ht="15">
      <c r="B144" s="1092">
        <v>1</v>
      </c>
      <c r="C144" s="1093">
        <v>98</v>
      </c>
      <c r="D144" s="2657" t="s">
        <v>2637</v>
      </c>
      <c r="E144" s="1094">
        <v>102</v>
      </c>
      <c r="F144" s="1100">
        <v>100</v>
      </c>
      <c r="G144" s="2657" t="s">
        <v>2637</v>
      </c>
      <c r="H144" s="1096">
        <v>105</v>
      </c>
      <c r="I144" s="2656" t="s">
        <v>2636</v>
      </c>
      <c r="J144" s="1093">
        <v>18</v>
      </c>
      <c r="K144" s="1098">
        <f>ROUND(100+(J144-J140)*K139*100,1)</f>
        <v>103.2</v>
      </c>
    </row>
    <row r="145" spans="2:11" ht="15.75" thickBot="1">
      <c r="B145" s="2658" t="s">
        <v>2638</v>
      </c>
      <c r="C145" s="1101">
        <f>ROUND(MAX(C139:C144)/MIN(C139:C144)-1,3)</f>
        <v>7.2999999999999995E-2</v>
      </c>
      <c r="D145" s="1102"/>
      <c r="E145" s="1102"/>
      <c r="F145" s="2659" t="s">
        <v>2639</v>
      </c>
      <c r="G145" s="2660"/>
      <c r="H145" s="2661"/>
      <c r="I145" s="2662" t="s">
        <v>2636</v>
      </c>
      <c r="J145" s="1103">
        <v>8</v>
      </c>
      <c r="K145" s="1104">
        <f>ROUND(100+(J145-J140)*K139*100,1)</f>
        <v>99.2</v>
      </c>
    </row>
    <row r="147" spans="2:11">
      <c r="B147" s="2643" t="s">
        <v>2640</v>
      </c>
    </row>
    <row r="148" spans="2:11">
      <c r="B148" s="264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75" t="s">
        <v>2686</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71089.5</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249" t="s">
        <v>2651</v>
      </c>
      <c r="Q4" s="3250"/>
      <c r="R4" s="3253" t="s">
        <v>2647</v>
      </c>
      <c r="S4" s="3254"/>
      <c r="T4" s="3253" t="s">
        <v>2648</v>
      </c>
      <c r="U4" s="3254"/>
      <c r="V4" s="3255" t="s">
        <v>2649</v>
      </c>
      <c r="W4" s="3255"/>
      <c r="X4" s="2676"/>
      <c r="Y4" s="3253" t="s">
        <v>2651</v>
      </c>
      <c r="Z4" s="3254"/>
      <c r="AA4" s="3257" t="s">
        <v>2647</v>
      </c>
      <c r="AB4" s="3257" t="s">
        <v>2648</v>
      </c>
      <c r="AC4" s="3246" t="s">
        <v>2649</v>
      </c>
    </row>
    <row r="5" spans="1:29" ht="15">
      <c r="A5" s="403"/>
      <c r="B5" s="404"/>
      <c r="C5" s="3207" t="s">
        <v>2542</v>
      </c>
      <c r="D5" s="3208"/>
      <c r="E5" s="3214" t="s">
        <v>2543</v>
      </c>
      <c r="F5" s="3215"/>
      <c r="G5" s="3207" t="s">
        <v>2544</v>
      </c>
      <c r="H5" s="3208"/>
      <c r="I5" s="3207" t="s">
        <v>2545</v>
      </c>
      <c r="J5" s="3208"/>
      <c r="K5" s="609"/>
      <c r="L5" s="1132"/>
      <c r="M5" s="1133"/>
      <c r="N5" s="1133"/>
      <c r="O5" s="1133"/>
      <c r="P5" s="3251"/>
      <c r="Q5" s="3196"/>
      <c r="R5" s="3201"/>
      <c r="S5" s="3202"/>
      <c r="T5" s="3201"/>
      <c r="U5" s="3202"/>
      <c r="V5" s="3184"/>
      <c r="W5" s="3184"/>
      <c r="X5" s="1815"/>
      <c r="Y5" s="3201"/>
      <c r="Z5" s="3202"/>
      <c r="AA5" s="3187"/>
      <c r="AB5" s="3187"/>
      <c r="AC5" s="3247"/>
    </row>
    <row r="6" spans="1:29" ht="15.75" thickBot="1">
      <c r="A6" s="405"/>
      <c r="B6" s="406"/>
      <c r="C6" s="3205" t="s">
        <v>2546</v>
      </c>
      <c r="D6" s="3206"/>
      <c r="E6" s="3212" t="s">
        <v>2546</v>
      </c>
      <c r="F6" s="3213"/>
      <c r="G6" s="3205" t="s">
        <v>2546</v>
      </c>
      <c r="H6" s="3206"/>
      <c r="I6" s="3205" t="s">
        <v>2546</v>
      </c>
      <c r="J6" s="3206"/>
      <c r="K6" s="609" t="s">
        <v>2547</v>
      </c>
      <c r="L6" s="1132"/>
      <c r="M6" s="1133"/>
      <c r="N6" s="1133"/>
      <c r="O6" s="1133"/>
      <c r="P6" s="3252"/>
      <c r="Q6" s="3198"/>
      <c r="R6" s="3201"/>
      <c r="S6" s="3202"/>
      <c r="T6" s="3203"/>
      <c r="U6" s="3204"/>
      <c r="V6" s="3184"/>
      <c r="W6" s="3184"/>
      <c r="X6" s="1815"/>
      <c r="Y6" s="3203"/>
      <c r="Z6" s="3204"/>
      <c r="AA6" s="3188"/>
      <c r="AB6" s="3188"/>
      <c r="AC6" s="3248"/>
    </row>
    <row r="7" spans="1:29" s="117" customFormat="1" ht="15.75" thickBot="1">
      <c r="A7" s="407" t="s">
        <v>2548</v>
      </c>
      <c r="B7" s="408"/>
      <c r="C7" s="409">
        <f>'数据-取费表'!B2</f>
        <v>43312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2549</v>
      </c>
      <c r="Q7" s="3211"/>
      <c r="R7" s="769" t="s">
        <v>17</v>
      </c>
      <c r="S7" s="770">
        <f t="shared" ref="S7:S15" si="0">F7</f>
        <v>0</v>
      </c>
      <c r="T7" s="769" t="s">
        <v>17</v>
      </c>
      <c r="U7" s="770">
        <f t="shared" ref="U7:U15" si="1">H7</f>
        <v>0</v>
      </c>
      <c r="V7" s="769" t="s">
        <v>17</v>
      </c>
      <c r="W7" s="770">
        <f t="shared" ref="W7:W15" si="2">J7</f>
        <v>0</v>
      </c>
      <c r="X7" s="771"/>
      <c r="Y7" s="3209" t="s">
        <v>2549</v>
      </c>
      <c r="Z7" s="3210"/>
      <c r="AA7" s="772" t="e">
        <f>D7/F7</f>
        <v>#DIV/0!</v>
      </c>
      <c r="AB7" s="772" t="e">
        <f>D7/H7</f>
        <v>#DIV/0!</v>
      </c>
      <c r="AC7" s="2677" t="e">
        <f>D7/J7</f>
        <v>#DIV/0!</v>
      </c>
    </row>
    <row r="8" spans="1:29" s="117"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2552</v>
      </c>
      <c r="Q8" s="3210"/>
      <c r="R8" s="769" t="s">
        <v>17</v>
      </c>
      <c r="S8" s="770">
        <f t="shared" si="0"/>
        <v>0</v>
      </c>
      <c r="T8" s="769" t="s">
        <v>17</v>
      </c>
      <c r="U8" s="770">
        <f t="shared" si="1"/>
        <v>0</v>
      </c>
      <c r="V8" s="769" t="s">
        <v>17</v>
      </c>
      <c r="W8" s="770">
        <f t="shared" si="2"/>
        <v>0</v>
      </c>
      <c r="X8" s="771"/>
      <c r="Y8" s="3209" t="s">
        <v>2552</v>
      </c>
      <c r="Z8" s="3210"/>
      <c r="AA8" s="772" t="e">
        <f t="shared" ref="AA8:AA47" si="3">D8/F8</f>
        <v>#DIV/0!</v>
      </c>
      <c r="AB8" s="772" t="e">
        <f t="shared" ref="AB8:AB47" si="4">D8/H8</f>
        <v>#DIV/0!</v>
      </c>
      <c r="AC8" s="2677" t="e">
        <f t="shared" ref="AC8:AC47" si="5">D8/J8</f>
        <v>#DIV/0!</v>
      </c>
    </row>
    <row r="9" spans="1:29" s="117" customFormat="1">
      <c r="A9" s="414" t="s">
        <v>2553</v>
      </c>
      <c r="B9" s="71" t="s">
        <v>2554</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85" t="s">
        <v>2555</v>
      </c>
      <c r="Q9" s="1797" t="str">
        <f t="shared" ref="Q9:Q15" si="6">B9</f>
        <v>用途</v>
      </c>
      <c r="R9" s="769" t="s">
        <v>17</v>
      </c>
      <c r="S9" s="770">
        <f t="shared" si="0"/>
        <v>100</v>
      </c>
      <c r="T9" s="769" t="s">
        <v>17</v>
      </c>
      <c r="U9" s="770">
        <f t="shared" si="1"/>
        <v>100</v>
      </c>
      <c r="V9" s="769" t="s">
        <v>17</v>
      </c>
      <c r="W9" s="770">
        <f t="shared" si="2"/>
        <v>100</v>
      </c>
      <c r="X9" s="771"/>
      <c r="Y9" s="3005" t="s">
        <v>2556</v>
      </c>
      <c r="Z9" s="55" t="str">
        <f t="shared" ref="Z9:Z15" si="7">Q9</f>
        <v>用途</v>
      </c>
      <c r="AA9" s="772">
        <f t="shared" si="3"/>
        <v>1</v>
      </c>
      <c r="AB9" s="772">
        <f t="shared" si="4"/>
        <v>1</v>
      </c>
      <c r="AC9" s="2677">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2677">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85"/>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2677" t="e">
        <f t="shared" si="5"/>
        <v>#N/A</v>
      </c>
    </row>
    <row r="12" spans="1:29" s="117" customFormat="1" ht="15">
      <c r="A12" s="430"/>
      <c r="B12" s="2606">
        <v>111</v>
      </c>
      <c r="C12" s="431"/>
      <c r="D12" s="432">
        <v>100</v>
      </c>
      <c r="E12" s="431"/>
      <c r="F12" s="136">
        <f>SUMIF(71:71,E12,72:72)-SUMIF(71:71,C12,72:72)+100</f>
        <v>100</v>
      </c>
      <c r="G12" s="2678"/>
      <c r="H12" s="136">
        <f>SUMIF(71:71,G12,72:72)-SUMIF(71:71,C12,72:72)+100</f>
        <v>100</v>
      </c>
      <c r="I12" s="431"/>
      <c r="J12" s="136">
        <f>SUMIF(71:71,I12,72:72)-SUMIF(71:71,C12,72:72)+100</f>
        <v>100</v>
      </c>
      <c r="K12" s="612"/>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2677">
        <f>D12/J12</f>
        <v>1</v>
      </c>
    </row>
    <row r="13" spans="1:29" ht="15">
      <c r="A13" s="427"/>
      <c r="B13" s="2606">
        <v>111</v>
      </c>
      <c r="C13" s="433"/>
      <c r="D13" s="434">
        <v>100</v>
      </c>
      <c r="E13" s="431"/>
      <c r="F13" s="136">
        <f>SUMIF(73:73,E13,74:74)-SUMIF(73:73,C13,74:74)+100</f>
        <v>100</v>
      </c>
      <c r="G13" s="2678"/>
      <c r="H13" s="434">
        <f>SUMIF(73:73,G13,74:74)-SUMIF(73:73,C13,74:74)+100</f>
        <v>100</v>
      </c>
      <c r="I13" s="431"/>
      <c r="J13" s="434">
        <f>SUMIF(73:73,I13,74:74)-SUMIF(73:73,C13,74:74)+100</f>
        <v>100</v>
      </c>
      <c r="K13" s="612"/>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85"/>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2677">
        <f t="shared" si="5"/>
        <v>1</v>
      </c>
    </row>
    <row r="15" spans="1:29" ht="71.25">
      <c r="A15" s="439" t="s">
        <v>2559</v>
      </c>
      <c r="B15" s="628" t="s">
        <v>2687</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75" t="s">
        <v>2560</v>
      </c>
      <c r="Q15" s="1812" t="str">
        <f t="shared" si="6"/>
        <v>办公集聚程度</v>
      </c>
      <c r="R15" s="773" t="s">
        <v>17</v>
      </c>
      <c r="S15" s="774">
        <f t="shared" si="0"/>
        <v>100</v>
      </c>
      <c r="T15" s="773" t="s">
        <v>17</v>
      </c>
      <c r="U15" s="774">
        <f t="shared" si="1"/>
        <v>100</v>
      </c>
      <c r="V15" s="773" t="s">
        <v>17</v>
      </c>
      <c r="W15" s="774">
        <f t="shared" si="2"/>
        <v>100</v>
      </c>
      <c r="X15" s="1815"/>
      <c r="Y15" s="3177" t="s">
        <v>2560</v>
      </c>
      <c r="Z15" s="1816" t="str">
        <f t="shared" si="7"/>
        <v>办公集聚程度</v>
      </c>
      <c r="AA15" s="1813">
        <f t="shared" si="3"/>
        <v>1</v>
      </c>
      <c r="AB15" s="1813">
        <f t="shared" si="4"/>
        <v>1</v>
      </c>
      <c r="AC15" s="2680">
        <f t="shared" si="5"/>
        <v>1</v>
      </c>
    </row>
    <row r="16" spans="1:29" ht="15">
      <c r="A16" s="427"/>
      <c r="B16" s="629"/>
      <c r="C16" s="2617"/>
      <c r="D16" s="447"/>
      <c r="E16" s="446"/>
      <c r="F16" s="447"/>
      <c r="G16" s="2617"/>
      <c r="H16" s="449"/>
      <c r="I16" s="446"/>
      <c r="J16" s="447"/>
      <c r="K16" s="614"/>
      <c r="L16" s="1142"/>
      <c r="M16" s="1133"/>
      <c r="N16" s="1133"/>
      <c r="O16" s="1133"/>
      <c r="P16" s="3176"/>
      <c r="Q16" s="1812"/>
      <c r="R16" s="773"/>
      <c r="S16" s="774"/>
      <c r="T16" s="773"/>
      <c r="U16" s="774"/>
      <c r="V16" s="773"/>
      <c r="W16" s="774"/>
      <c r="X16" s="1815"/>
      <c r="Y16" s="3178"/>
      <c r="Z16" s="1816"/>
      <c r="AA16" s="1813">
        <v>1</v>
      </c>
      <c r="AB16" s="1813">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76"/>
      <c r="Q17" s="1812" t="str">
        <f>B17</f>
        <v>交通便捷度</v>
      </c>
      <c r="R17" s="773" t="s">
        <v>17</v>
      </c>
      <c r="S17" s="774">
        <f>F17</f>
        <v>100</v>
      </c>
      <c r="T17" s="773" t="s">
        <v>17</v>
      </c>
      <c r="U17" s="774">
        <f>H17</f>
        <v>100</v>
      </c>
      <c r="V17" s="773" t="s">
        <v>17</v>
      </c>
      <c r="W17" s="774">
        <f>J17</f>
        <v>100</v>
      </c>
      <c r="X17" s="1815"/>
      <c r="Y17" s="3178"/>
      <c r="Z17" s="1816" t="str">
        <f>Q17</f>
        <v>交通便捷度</v>
      </c>
      <c r="AA17" s="1813">
        <f t="shared" si="3"/>
        <v>1</v>
      </c>
      <c r="AB17" s="1813">
        <f t="shared" si="4"/>
        <v>1</v>
      </c>
      <c r="AC17" s="2680">
        <f t="shared" si="5"/>
        <v>1</v>
      </c>
    </row>
    <row r="18" spans="1:29" ht="15">
      <c r="A18" s="427"/>
      <c r="B18" s="631"/>
      <c r="C18" s="2682"/>
      <c r="D18" s="449"/>
      <c r="E18" s="2615"/>
      <c r="F18" s="449"/>
      <c r="G18" s="2616"/>
      <c r="H18" s="447"/>
      <c r="I18" s="2616"/>
      <c r="J18" s="447"/>
      <c r="K18" s="614"/>
      <c r="L18" s="1142"/>
      <c r="M18" s="1133"/>
      <c r="N18" s="1133"/>
      <c r="O18" s="1133"/>
      <c r="P18" s="3176"/>
      <c r="Q18" s="1812"/>
      <c r="R18" s="773"/>
      <c r="S18" s="774"/>
      <c r="T18" s="773"/>
      <c r="U18" s="774"/>
      <c r="V18" s="773"/>
      <c r="W18" s="774"/>
      <c r="X18" s="1815"/>
      <c r="Y18" s="3178"/>
      <c r="Z18" s="1816"/>
      <c r="AA18" s="1813">
        <v>1</v>
      </c>
      <c r="AB18" s="1813">
        <v>1</v>
      </c>
      <c r="AC18" s="2680">
        <v>1</v>
      </c>
    </row>
    <row r="19" spans="1:29" ht="42.75">
      <c r="A19" s="427"/>
      <c r="B19" s="630" t="s">
        <v>2688</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76"/>
      <c r="Q19" s="1812" t="str">
        <f>B19</f>
        <v>公共配套设施</v>
      </c>
      <c r="R19" s="773" t="s">
        <v>17</v>
      </c>
      <c r="S19" s="774">
        <f>F19</f>
        <v>100</v>
      </c>
      <c r="T19" s="773" t="s">
        <v>17</v>
      </c>
      <c r="U19" s="774">
        <f>H19</f>
        <v>100</v>
      </c>
      <c r="V19" s="773" t="s">
        <v>17</v>
      </c>
      <c r="W19" s="774">
        <f>J19</f>
        <v>100</v>
      </c>
      <c r="X19" s="1815"/>
      <c r="Y19" s="3178"/>
      <c r="Z19" s="1816" t="str">
        <f>Q19</f>
        <v>公共配套设施</v>
      </c>
      <c r="AA19" s="1813">
        <f t="shared" si="3"/>
        <v>1</v>
      </c>
      <c r="AB19" s="1813">
        <f t="shared" si="4"/>
        <v>1</v>
      </c>
      <c r="AC19" s="2680">
        <f t="shared" si="5"/>
        <v>1</v>
      </c>
    </row>
    <row r="20" spans="1:29" ht="15">
      <c r="A20" s="427"/>
      <c r="B20" s="631"/>
      <c r="C20" s="2617"/>
      <c r="D20" s="447"/>
      <c r="E20" s="2610"/>
      <c r="F20" s="447"/>
      <c r="G20" s="2611"/>
      <c r="H20" s="447"/>
      <c r="I20" s="2611"/>
      <c r="J20" s="447"/>
      <c r="K20" s="614"/>
      <c r="L20" s="1142"/>
      <c r="M20" s="1133"/>
      <c r="N20" s="1133"/>
      <c r="O20" s="1133"/>
      <c r="P20" s="3176"/>
      <c r="Q20" s="1812"/>
      <c r="R20" s="773"/>
      <c r="S20" s="774"/>
      <c r="T20" s="773"/>
      <c r="U20" s="774"/>
      <c r="V20" s="773"/>
      <c r="W20" s="774"/>
      <c r="X20" s="1815"/>
      <c r="Y20" s="3178"/>
      <c r="Z20" s="1816"/>
      <c r="AA20" s="1813">
        <v>1</v>
      </c>
      <c r="AB20" s="1813">
        <v>1</v>
      </c>
      <c r="AC20" s="2680">
        <v>1</v>
      </c>
    </row>
    <row r="21" spans="1:29" ht="28.5">
      <c r="A21" s="427"/>
      <c r="B21" s="632" t="s">
        <v>2689</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76"/>
      <c r="Q21" s="1812" t="str">
        <f>B21</f>
        <v>基础设施水平</v>
      </c>
      <c r="R21" s="773" t="s">
        <v>17</v>
      </c>
      <c r="S21" s="774">
        <f>F21</f>
        <v>100</v>
      </c>
      <c r="T21" s="773" t="s">
        <v>17</v>
      </c>
      <c r="U21" s="774">
        <f>H21</f>
        <v>100</v>
      </c>
      <c r="V21" s="773" t="s">
        <v>17</v>
      </c>
      <c r="W21" s="774">
        <f>J21</f>
        <v>100</v>
      </c>
      <c r="X21" s="1815"/>
      <c r="Y21" s="3178"/>
      <c r="Z21" s="1816" t="str">
        <f>Q21</f>
        <v>基础设施水平</v>
      </c>
      <c r="AA21" s="1813">
        <f t="shared" ref="AA21" si="8">D21/F21</f>
        <v>1</v>
      </c>
      <c r="AB21" s="1813">
        <f t="shared" ref="AB21" si="9">D21/H21</f>
        <v>1</v>
      </c>
      <c r="AC21" s="2680">
        <f t="shared" ref="AC21" si="10">D21/J21</f>
        <v>1</v>
      </c>
    </row>
    <row r="22" spans="1:29" ht="15">
      <c r="A22" s="427"/>
      <c r="B22" s="632"/>
      <c r="C22" s="2682"/>
      <c r="D22" s="447"/>
      <c r="E22" s="446"/>
      <c r="F22" s="447"/>
      <c r="G22" s="2617"/>
      <c r="H22" s="447"/>
      <c r="I22" s="2617"/>
      <c r="J22" s="447"/>
      <c r="K22" s="1385"/>
      <c r="L22" s="1142"/>
      <c r="M22" s="1133"/>
      <c r="N22" s="1133"/>
      <c r="O22" s="1133"/>
      <c r="P22" s="3176"/>
      <c r="Q22" s="1812"/>
      <c r="R22" s="773"/>
      <c r="S22" s="774"/>
      <c r="T22" s="773"/>
      <c r="U22" s="774"/>
      <c r="V22" s="773"/>
      <c r="W22" s="774"/>
      <c r="X22" s="1815"/>
      <c r="Y22" s="3178"/>
      <c r="Z22" s="1816"/>
      <c r="AA22" s="1813">
        <v>1</v>
      </c>
      <c r="AB22" s="1813">
        <v>1</v>
      </c>
      <c r="AC22" s="2680">
        <v>1</v>
      </c>
    </row>
    <row r="23" spans="1:29" ht="42.75">
      <c r="A23" s="427"/>
      <c r="B23" s="630" t="s">
        <v>2690</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76"/>
      <c r="Q23" s="1812" t="str">
        <f>B23</f>
        <v>环境质量</v>
      </c>
      <c r="R23" s="773" t="s">
        <v>17</v>
      </c>
      <c r="S23" s="774">
        <f>F23</f>
        <v>100</v>
      </c>
      <c r="T23" s="773" t="s">
        <v>17</v>
      </c>
      <c r="U23" s="774">
        <f>H23</f>
        <v>100</v>
      </c>
      <c r="V23" s="773" t="s">
        <v>17</v>
      </c>
      <c r="W23" s="774">
        <f>J23</f>
        <v>100</v>
      </c>
      <c r="X23" s="1815"/>
      <c r="Y23" s="3178"/>
      <c r="Z23" s="1816" t="str">
        <f>Q23</f>
        <v>环境质量</v>
      </c>
      <c r="AA23" s="1813">
        <f t="shared" si="3"/>
        <v>1</v>
      </c>
      <c r="AB23" s="1813">
        <f t="shared" si="4"/>
        <v>1</v>
      </c>
      <c r="AC23" s="2680">
        <f t="shared" si="5"/>
        <v>1</v>
      </c>
    </row>
    <row r="24" spans="1:29" ht="15">
      <c r="A24" s="427"/>
      <c r="B24" s="632"/>
      <c r="C24" s="2617"/>
      <c r="D24" s="447"/>
      <c r="E24" s="2610"/>
      <c r="F24" s="447"/>
      <c r="G24" s="2611"/>
      <c r="H24" s="447"/>
      <c r="I24" s="2611"/>
      <c r="J24" s="447"/>
      <c r="K24" s="614"/>
      <c r="L24" s="1142"/>
      <c r="M24" s="1133"/>
      <c r="N24" s="1133"/>
      <c r="O24" s="1133"/>
      <c r="P24" s="3176"/>
      <c r="Q24" s="1812"/>
      <c r="R24" s="773"/>
      <c r="S24" s="774"/>
      <c r="T24" s="773"/>
      <c r="U24" s="774"/>
      <c r="V24" s="773"/>
      <c r="W24" s="774"/>
      <c r="X24" s="1815"/>
      <c r="Y24" s="3178"/>
      <c r="Z24" s="1816"/>
      <c r="AA24" s="1813">
        <v>1</v>
      </c>
      <c r="AB24" s="1813">
        <v>1</v>
      </c>
      <c r="AC24" s="2680">
        <v>1</v>
      </c>
    </row>
    <row r="25" spans="1:29" ht="27">
      <c r="A25" s="403"/>
      <c r="B25" s="630" t="s">
        <v>2691</v>
      </c>
      <c r="C25" s="2621"/>
      <c r="D25" s="434">
        <v>100</v>
      </c>
      <c r="E25" s="433"/>
      <c r="F25" s="434">
        <f>SUMIF(87:87,E26,88:88)-SUMIF(87:87,C26,88:88)+100</f>
        <v>100</v>
      </c>
      <c r="G25" s="2621"/>
      <c r="H25" s="434">
        <f>SUMIF(87:87,G26,88:88)-SUMIF(87:87,C26,88:88)+100</f>
        <v>100</v>
      </c>
      <c r="I25" s="433"/>
      <c r="J25" s="434">
        <f>SUMIF(87:87,I26,88:88)-SUMIF(87:87,C26,88:88)+100</f>
        <v>100</v>
      </c>
      <c r="K25" s="613"/>
      <c r="L25" s="1142"/>
      <c r="M25" s="1133"/>
      <c r="N25" s="1133"/>
      <c r="O25" s="1133"/>
      <c r="P25" s="3176"/>
      <c r="Q25" s="1812" t="str">
        <f>B25</f>
        <v>毗邻道路的类型与等级</v>
      </c>
      <c r="R25" s="773" t="s">
        <v>17</v>
      </c>
      <c r="S25" s="774">
        <f>F25</f>
        <v>100</v>
      </c>
      <c r="T25" s="773" t="s">
        <v>17</v>
      </c>
      <c r="U25" s="774">
        <f>H25</f>
        <v>100</v>
      </c>
      <c r="V25" s="773" t="s">
        <v>17</v>
      </c>
      <c r="W25" s="774">
        <f>J25</f>
        <v>100</v>
      </c>
      <c r="X25" s="1815"/>
      <c r="Y25" s="3178"/>
      <c r="Z25" s="1816" t="str">
        <f>Q25</f>
        <v>毗邻道路的类型与等级</v>
      </c>
      <c r="AA25" s="1813">
        <f t="shared" si="3"/>
        <v>1</v>
      </c>
      <c r="AB25" s="1813">
        <f t="shared" si="4"/>
        <v>1</v>
      </c>
      <c r="AC25" s="2680">
        <f t="shared" si="5"/>
        <v>1</v>
      </c>
    </row>
    <row r="26" spans="1:29" ht="15">
      <c r="A26" s="403"/>
      <c r="B26" s="631"/>
      <c r="C26" s="633"/>
      <c r="D26" s="434"/>
      <c r="E26" s="615"/>
      <c r="F26" s="434"/>
      <c r="G26" s="633"/>
      <c r="H26" s="434"/>
      <c r="I26" s="615"/>
      <c r="J26" s="434"/>
      <c r="K26" s="614"/>
      <c r="L26" s="1142"/>
      <c r="M26" s="1133"/>
      <c r="N26" s="1133"/>
      <c r="O26" s="1133"/>
      <c r="P26" s="3176"/>
      <c r="Q26" s="1812"/>
      <c r="R26" s="773"/>
      <c r="S26" s="774"/>
      <c r="T26" s="773"/>
      <c r="U26" s="774"/>
      <c r="V26" s="773"/>
      <c r="W26" s="774"/>
      <c r="X26" s="1815"/>
      <c r="Y26" s="3178"/>
      <c r="Z26" s="1816"/>
      <c r="AA26" s="1813">
        <v>1</v>
      </c>
      <c r="AB26" s="1813">
        <v>1</v>
      </c>
      <c r="AC26" s="268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76"/>
      <c r="Q27" s="1812" t="str">
        <f t="shared" ref="Q27:Q47" si="11">B27</f>
        <v>楼层</v>
      </c>
      <c r="R27" s="773" t="s">
        <v>17</v>
      </c>
      <c r="S27" s="774">
        <f>F27</f>
        <v>100</v>
      </c>
      <c r="T27" s="773" t="s">
        <v>17</v>
      </c>
      <c r="U27" s="774">
        <f>H27</f>
        <v>100</v>
      </c>
      <c r="V27" s="773" t="s">
        <v>17</v>
      </c>
      <c r="W27" s="774">
        <f>J27</f>
        <v>100</v>
      </c>
      <c r="X27" s="1815"/>
      <c r="Y27" s="3178"/>
      <c r="Z27" s="1816" t="str">
        <f>Q27</f>
        <v>楼层</v>
      </c>
      <c r="AA27" s="1813">
        <f t="shared" si="3"/>
        <v>1</v>
      </c>
      <c r="AB27" s="1813">
        <f t="shared" si="4"/>
        <v>1</v>
      </c>
      <c r="AC27" s="2680">
        <f t="shared" si="5"/>
        <v>1</v>
      </c>
    </row>
    <row r="28" spans="1:29" s="117" customFormat="1" ht="15">
      <c r="A28" s="430"/>
      <c r="B28" s="630" t="s">
        <v>2692</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176"/>
      <c r="Q28" s="1797" t="str">
        <f t="shared" si="11"/>
        <v>朝向</v>
      </c>
      <c r="R28" s="769" t="s">
        <v>17</v>
      </c>
      <c r="S28" s="770">
        <f>F28</f>
        <v>100</v>
      </c>
      <c r="T28" s="769" t="s">
        <v>17</v>
      </c>
      <c r="U28" s="770">
        <f>H28</f>
        <v>100</v>
      </c>
      <c r="V28" s="769" t="s">
        <v>17</v>
      </c>
      <c r="W28" s="770">
        <f>J28</f>
        <v>100</v>
      </c>
      <c r="X28" s="771"/>
      <c r="Y28" s="3178"/>
      <c r="Z28" s="55"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176"/>
      <c r="Q29" s="1812">
        <f t="shared" si="11"/>
        <v>111</v>
      </c>
      <c r="R29" s="773" t="s">
        <v>17</v>
      </c>
      <c r="S29" s="774">
        <f t="shared" ref="S29:S47" si="12">F29</f>
        <v>100</v>
      </c>
      <c r="T29" s="773" t="s">
        <v>17</v>
      </c>
      <c r="U29" s="774">
        <f t="shared" ref="U29:U47" si="13">H29</f>
        <v>100</v>
      </c>
      <c r="V29" s="773" t="s">
        <v>17</v>
      </c>
      <c r="W29" s="774">
        <f t="shared" ref="W29:W47" si="14">J29</f>
        <v>100</v>
      </c>
      <c r="X29" s="1815"/>
      <c r="Y29" s="3178"/>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176"/>
      <c r="Q30" s="1812">
        <f t="shared" si="11"/>
        <v>111</v>
      </c>
      <c r="R30" s="773" t="s">
        <v>17</v>
      </c>
      <c r="S30" s="774">
        <f t="shared" si="12"/>
        <v>100</v>
      </c>
      <c r="T30" s="773" t="s">
        <v>17</v>
      </c>
      <c r="U30" s="774">
        <f t="shared" si="13"/>
        <v>100</v>
      </c>
      <c r="V30" s="773" t="s">
        <v>17</v>
      </c>
      <c r="W30" s="774">
        <f t="shared" si="14"/>
        <v>100</v>
      </c>
      <c r="X30" s="1815"/>
      <c r="Y30" s="3178"/>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176"/>
      <c r="Q31" s="1812">
        <f t="shared" si="11"/>
        <v>111</v>
      </c>
      <c r="R31" s="773" t="s">
        <v>17</v>
      </c>
      <c r="S31" s="774">
        <f t="shared" si="12"/>
        <v>100</v>
      </c>
      <c r="T31" s="773" t="s">
        <v>17</v>
      </c>
      <c r="U31" s="774">
        <f t="shared" si="13"/>
        <v>100</v>
      </c>
      <c r="V31" s="773" t="s">
        <v>17</v>
      </c>
      <c r="W31" s="774">
        <f t="shared" si="14"/>
        <v>100</v>
      </c>
      <c r="X31" s="1815"/>
      <c r="Y31" s="3178"/>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176"/>
      <c r="Q32" s="1812">
        <f t="shared" si="11"/>
        <v>111</v>
      </c>
      <c r="R32" s="773" t="s">
        <v>17</v>
      </c>
      <c r="S32" s="774">
        <f t="shared" si="12"/>
        <v>100</v>
      </c>
      <c r="T32" s="773" t="s">
        <v>17</v>
      </c>
      <c r="U32" s="774">
        <f t="shared" si="13"/>
        <v>100</v>
      </c>
      <c r="V32" s="773" t="s">
        <v>17</v>
      </c>
      <c r="W32" s="774">
        <f t="shared" si="14"/>
        <v>100</v>
      </c>
      <c r="X32" s="1815"/>
      <c r="Y32" s="3178"/>
      <c r="Z32" s="1816">
        <f t="shared" si="15"/>
        <v>111</v>
      </c>
      <c r="AA32" s="1813">
        <f t="shared" si="3"/>
        <v>1</v>
      </c>
      <c r="AB32" s="1813">
        <f t="shared" si="4"/>
        <v>1</v>
      </c>
      <c r="AC32" s="2680">
        <f t="shared" si="5"/>
        <v>1</v>
      </c>
    </row>
    <row r="33" spans="1:29" ht="15">
      <c r="A33" s="439" t="s">
        <v>2563</v>
      </c>
      <c r="B33" s="71" t="s">
        <v>2693</v>
      </c>
      <c r="C33" s="2685"/>
      <c r="D33" s="466">
        <v>100</v>
      </c>
      <c r="E33" s="2685"/>
      <c r="F33" s="460">
        <f>SUMIF(101:101,E33,102:102)-SUMIF(101:101,C33,102:102)+100</f>
        <v>100</v>
      </c>
      <c r="G33" s="2685"/>
      <c r="H33" s="434">
        <f>SUMIF(101:101,G33,102:102)-SUMIF(101:101,C33,102:102)+100</f>
        <v>100</v>
      </c>
      <c r="I33" s="2685"/>
      <c r="J33" s="466">
        <f>SUMIF(101:101,I33,102:102)-SUMIF(101:101,C33,102:102)+100</f>
        <v>100</v>
      </c>
      <c r="K33" s="611"/>
      <c r="L33" s="1142"/>
      <c r="M33" s="1133"/>
      <c r="N33" s="1133"/>
      <c r="O33" s="1133"/>
      <c r="P33" s="3179" t="s">
        <v>2565</v>
      </c>
      <c r="Q33" s="1812" t="str">
        <f t="shared" si="11"/>
        <v>建筑类型</v>
      </c>
      <c r="R33" s="773" t="s">
        <v>17</v>
      </c>
      <c r="S33" s="774">
        <f t="shared" si="12"/>
        <v>100</v>
      </c>
      <c r="T33" s="773" t="s">
        <v>17</v>
      </c>
      <c r="U33" s="774">
        <f t="shared" si="13"/>
        <v>100</v>
      </c>
      <c r="V33" s="773" t="s">
        <v>17</v>
      </c>
      <c r="W33" s="774">
        <f t="shared" si="14"/>
        <v>100</v>
      </c>
      <c r="X33" s="1815"/>
      <c r="Y33" s="3182" t="s">
        <v>2565</v>
      </c>
      <c r="Z33" s="1816" t="str">
        <f t="shared" si="15"/>
        <v>建筑类型</v>
      </c>
      <c r="AA33" s="1813">
        <f t="shared" si="3"/>
        <v>1</v>
      </c>
      <c r="AB33" s="1813">
        <f t="shared" si="4"/>
        <v>1</v>
      </c>
      <c r="AC33" s="2680">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80"/>
      <c r="Q34" s="775" t="str">
        <f t="shared" si="11"/>
        <v>项目建筑规模</v>
      </c>
      <c r="R34" s="776" t="s">
        <v>17</v>
      </c>
      <c r="S34" s="777" t="e">
        <f t="shared" si="12"/>
        <v>#N/A</v>
      </c>
      <c r="T34" s="776" t="s">
        <v>17</v>
      </c>
      <c r="U34" s="777" t="e">
        <f t="shared" si="13"/>
        <v>#N/A</v>
      </c>
      <c r="V34" s="776" t="s">
        <v>17</v>
      </c>
      <c r="W34" s="777" t="e">
        <f t="shared" si="14"/>
        <v>#N/A</v>
      </c>
      <c r="X34" s="778"/>
      <c r="Y34" s="3182"/>
      <c r="Z34" s="779" t="str">
        <f t="shared" si="15"/>
        <v>项目建筑规模</v>
      </c>
      <c r="AA34" s="1813" t="e">
        <f t="shared" si="3"/>
        <v>#N/A</v>
      </c>
      <c r="AB34" s="1813" t="e">
        <f t="shared" si="4"/>
        <v>#N/A</v>
      </c>
      <c r="AC34" s="268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0"/>
      <c r="Q35" s="1812" t="str">
        <f t="shared" si="11"/>
        <v>建筑结构</v>
      </c>
      <c r="R35" s="773" t="s">
        <v>17</v>
      </c>
      <c r="S35" s="774">
        <f t="shared" si="12"/>
        <v>100</v>
      </c>
      <c r="T35" s="773" t="s">
        <v>17</v>
      </c>
      <c r="U35" s="774">
        <f t="shared" si="13"/>
        <v>100</v>
      </c>
      <c r="V35" s="773" t="s">
        <v>17</v>
      </c>
      <c r="W35" s="774">
        <f t="shared" si="14"/>
        <v>100</v>
      </c>
      <c r="X35" s="1815"/>
      <c r="Y35" s="3182"/>
      <c r="Z35" s="1816" t="str">
        <f t="shared" si="15"/>
        <v>建筑结构</v>
      </c>
      <c r="AA35" s="1813">
        <f t="shared" si="3"/>
        <v>1</v>
      </c>
      <c r="AB35" s="1813">
        <f t="shared" si="4"/>
        <v>1</v>
      </c>
      <c r="AC35" s="268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0"/>
      <c r="Q36" s="1812" t="str">
        <f t="shared" si="11"/>
        <v>公共部分装修</v>
      </c>
      <c r="R36" s="773" t="s">
        <v>17</v>
      </c>
      <c r="S36" s="774">
        <f t="shared" si="12"/>
        <v>100</v>
      </c>
      <c r="T36" s="773" t="s">
        <v>17</v>
      </c>
      <c r="U36" s="774">
        <f t="shared" si="13"/>
        <v>100</v>
      </c>
      <c r="V36" s="773" t="s">
        <v>17</v>
      </c>
      <c r="W36" s="774">
        <f t="shared" si="14"/>
        <v>100</v>
      </c>
      <c r="X36" s="1815"/>
      <c r="Y36" s="3182"/>
      <c r="Z36" s="1816" t="str">
        <f t="shared" si="15"/>
        <v>公共部分装修</v>
      </c>
      <c r="AA36" s="1813">
        <f t="shared" si="3"/>
        <v>1</v>
      </c>
      <c r="AB36" s="1813">
        <f t="shared" si="4"/>
        <v>1</v>
      </c>
      <c r="AC36" s="268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0"/>
      <c r="Q37" s="1812" t="str">
        <f t="shared" si="11"/>
        <v>成新度</v>
      </c>
      <c r="R37" s="773" t="s">
        <v>17</v>
      </c>
      <c r="S37" s="774" t="e">
        <f t="shared" si="12"/>
        <v>#N/A</v>
      </c>
      <c r="T37" s="773" t="s">
        <v>17</v>
      </c>
      <c r="U37" s="774" t="e">
        <f t="shared" si="13"/>
        <v>#N/A</v>
      </c>
      <c r="V37" s="773" t="s">
        <v>17</v>
      </c>
      <c r="W37" s="774" t="e">
        <f t="shared" si="14"/>
        <v>#N/A</v>
      </c>
      <c r="X37" s="1815"/>
      <c r="Y37" s="3182"/>
      <c r="Z37" s="1816" t="str">
        <f t="shared" si="15"/>
        <v>成新度</v>
      </c>
      <c r="AA37" s="1813" t="e">
        <f t="shared" si="3"/>
        <v>#N/A</v>
      </c>
      <c r="AB37" s="1813" t="e">
        <f t="shared" si="4"/>
        <v>#N/A</v>
      </c>
      <c r="AC37" s="2680"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0"/>
      <c r="Q38" s="1797" t="str">
        <f t="shared" si="11"/>
        <v>写字楼等级</v>
      </c>
      <c r="R38" s="769" t="s">
        <v>17</v>
      </c>
      <c r="S38" s="770">
        <f t="shared" si="12"/>
        <v>100</v>
      </c>
      <c r="T38" s="769" t="s">
        <v>17</v>
      </c>
      <c r="U38" s="770">
        <f t="shared" si="13"/>
        <v>100</v>
      </c>
      <c r="V38" s="769" t="s">
        <v>17</v>
      </c>
      <c r="W38" s="770">
        <f t="shared" si="14"/>
        <v>100</v>
      </c>
      <c r="X38" s="771"/>
      <c r="Y38" s="3182"/>
      <c r="Z38" s="55" t="str">
        <f t="shared" si="15"/>
        <v>写字楼等级</v>
      </c>
      <c r="AA38" s="772">
        <f t="shared" si="3"/>
        <v>1</v>
      </c>
      <c r="AB38" s="772">
        <f t="shared" si="4"/>
        <v>1</v>
      </c>
      <c r="AC38" s="267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0" t="s">
        <v>2565</v>
      </c>
      <c r="Q39" s="1812" t="str">
        <f t="shared" si="11"/>
        <v>物业管理</v>
      </c>
      <c r="R39" s="773" t="s">
        <v>17</v>
      </c>
      <c r="S39" s="774">
        <f t="shared" si="12"/>
        <v>100</v>
      </c>
      <c r="T39" s="773" t="s">
        <v>17</v>
      </c>
      <c r="U39" s="774">
        <f t="shared" si="13"/>
        <v>100</v>
      </c>
      <c r="V39" s="773" t="s">
        <v>17</v>
      </c>
      <c r="W39" s="774">
        <f t="shared" si="14"/>
        <v>100</v>
      </c>
      <c r="X39" s="1815"/>
      <c r="Y39" s="3182" t="s">
        <v>2565</v>
      </c>
      <c r="Z39" s="1816" t="str">
        <f t="shared" si="15"/>
        <v>物业管理</v>
      </c>
      <c r="AA39" s="1813">
        <f t="shared" si="3"/>
        <v>1</v>
      </c>
      <c r="AB39" s="1813">
        <f t="shared" si="4"/>
        <v>1</v>
      </c>
      <c r="AC39" s="268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0"/>
      <c r="Q40" s="1812" t="str">
        <f t="shared" si="11"/>
        <v>市政基础设施</v>
      </c>
      <c r="R40" s="773" t="s">
        <v>17</v>
      </c>
      <c r="S40" s="774">
        <f t="shared" si="12"/>
        <v>100</v>
      </c>
      <c r="T40" s="773" t="s">
        <v>17</v>
      </c>
      <c r="U40" s="774">
        <f t="shared" si="13"/>
        <v>100</v>
      </c>
      <c r="V40" s="773" t="s">
        <v>17</v>
      </c>
      <c r="W40" s="774">
        <f t="shared" si="14"/>
        <v>100</v>
      </c>
      <c r="X40" s="1815"/>
      <c r="Y40" s="3182"/>
      <c r="Z40" s="1816" t="str">
        <f t="shared" si="15"/>
        <v>市政基础设施</v>
      </c>
      <c r="AA40" s="1813">
        <f t="shared" si="3"/>
        <v>1</v>
      </c>
      <c r="AB40" s="1813">
        <f t="shared" si="4"/>
        <v>1</v>
      </c>
      <c r="AC40" s="268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0"/>
      <c r="Q41" s="1812" t="str">
        <f t="shared" si="11"/>
        <v>层高</v>
      </c>
      <c r="R41" s="773" t="s">
        <v>17</v>
      </c>
      <c r="S41" s="774">
        <f t="shared" si="12"/>
        <v>100</v>
      </c>
      <c r="T41" s="773" t="s">
        <v>17</v>
      </c>
      <c r="U41" s="774">
        <f t="shared" si="13"/>
        <v>100</v>
      </c>
      <c r="V41" s="773" t="s">
        <v>17</v>
      </c>
      <c r="W41" s="774">
        <f t="shared" si="14"/>
        <v>100</v>
      </c>
      <c r="X41" s="1815"/>
      <c r="Y41" s="3182"/>
      <c r="Z41" s="1816" t="str">
        <f t="shared" si="15"/>
        <v>层高</v>
      </c>
      <c r="AA41" s="1813">
        <f t="shared" si="3"/>
        <v>1</v>
      </c>
      <c r="AB41" s="1813">
        <f t="shared" si="4"/>
        <v>1</v>
      </c>
      <c r="AC41" s="2680">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0"/>
      <c r="Q42" s="775" t="str">
        <f t="shared" si="11"/>
        <v>单套建筑面积</v>
      </c>
      <c r="R42" s="776" t="s">
        <v>17</v>
      </c>
      <c r="S42" s="777">
        <f t="shared" si="12"/>
        <v>100</v>
      </c>
      <c r="T42" s="776" t="s">
        <v>17</v>
      </c>
      <c r="U42" s="777">
        <f t="shared" si="13"/>
        <v>100</v>
      </c>
      <c r="V42" s="776" t="s">
        <v>17</v>
      </c>
      <c r="W42" s="777">
        <f t="shared" si="14"/>
        <v>100</v>
      </c>
      <c r="X42" s="778"/>
      <c r="Y42" s="3182"/>
      <c r="Z42" s="779" t="str">
        <f t="shared" si="15"/>
        <v>单套建筑面积</v>
      </c>
      <c r="AA42" s="1813">
        <f t="shared" si="3"/>
        <v>1</v>
      </c>
      <c r="AB42" s="1813">
        <f t="shared" si="4"/>
        <v>1</v>
      </c>
      <c r="AC42" s="268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0"/>
      <c r="Q43" s="1812" t="str">
        <f t="shared" si="11"/>
        <v>内部装修</v>
      </c>
      <c r="R43" s="773" t="s">
        <v>17</v>
      </c>
      <c r="S43" s="774">
        <f t="shared" si="12"/>
        <v>100</v>
      </c>
      <c r="T43" s="773" t="s">
        <v>17</v>
      </c>
      <c r="U43" s="774">
        <f t="shared" si="13"/>
        <v>100</v>
      </c>
      <c r="V43" s="773" t="s">
        <v>17</v>
      </c>
      <c r="W43" s="774">
        <f t="shared" si="14"/>
        <v>100</v>
      </c>
      <c r="X43" s="1815"/>
      <c r="Y43" s="3182"/>
      <c r="Z43" s="1816" t="str">
        <f t="shared" si="15"/>
        <v>内部装修</v>
      </c>
      <c r="AA43" s="1813">
        <f t="shared" si="3"/>
        <v>1</v>
      </c>
      <c r="AB43" s="1813">
        <f t="shared" si="4"/>
        <v>1</v>
      </c>
      <c r="AC43" s="2680">
        <f t="shared" si="5"/>
        <v>1</v>
      </c>
    </row>
    <row r="44" spans="1:29" ht="15">
      <c r="A44" s="471"/>
      <c r="B44" s="421" t="s">
        <v>2576</v>
      </c>
      <c r="C44" s="459"/>
      <c r="D44" s="434">
        <v>100</v>
      </c>
      <c r="E44" s="2619"/>
      <c r="F44" s="460">
        <f>SUMIF(125:125,E44,126:126)-SUMIF(125:125,C44,126:126)+100</f>
        <v>100</v>
      </c>
      <c r="G44" s="2619"/>
      <c r="H44" s="434">
        <f>SUMIF(125:125,G44,126:126)-SUMIF(125:125,C44,126:126)+100</f>
        <v>100</v>
      </c>
      <c r="I44" s="2619"/>
      <c r="J44" s="434">
        <f>SUMIF(125:125,I44,126:126)-SUMIF(125:125,C44,126:126)+100</f>
        <v>100</v>
      </c>
      <c r="K44" s="611"/>
      <c r="L44" s="1142"/>
      <c r="M44" s="1133"/>
      <c r="N44" s="1133"/>
      <c r="O44" s="1133"/>
      <c r="P44" s="3180"/>
      <c r="Q44" s="1812" t="str">
        <f t="shared" si="11"/>
        <v>内部装修维护情况</v>
      </c>
      <c r="R44" s="773" t="s">
        <v>17</v>
      </c>
      <c r="S44" s="774">
        <f t="shared" si="12"/>
        <v>100</v>
      </c>
      <c r="T44" s="773" t="s">
        <v>17</v>
      </c>
      <c r="U44" s="774">
        <f t="shared" si="13"/>
        <v>100</v>
      </c>
      <c r="V44" s="773" t="s">
        <v>17</v>
      </c>
      <c r="W44" s="774">
        <f t="shared" si="14"/>
        <v>100</v>
      </c>
      <c r="X44" s="1815"/>
      <c r="Y44" s="3182"/>
      <c r="Z44" s="1816" t="str">
        <f t="shared" si="15"/>
        <v>内部装修维护情况</v>
      </c>
      <c r="AA44" s="1813">
        <f t="shared" si="3"/>
        <v>1</v>
      </c>
      <c r="AB44" s="1813">
        <f t="shared" si="4"/>
        <v>1</v>
      </c>
      <c r="AC44" s="2680">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80"/>
      <c r="Q45" s="1797">
        <f t="shared" si="11"/>
        <v>111</v>
      </c>
      <c r="R45" s="769" t="s">
        <v>17</v>
      </c>
      <c r="S45" s="770">
        <f t="shared" si="12"/>
        <v>100</v>
      </c>
      <c r="T45" s="769" t="s">
        <v>17</v>
      </c>
      <c r="U45" s="770">
        <f t="shared" si="13"/>
        <v>100</v>
      </c>
      <c r="V45" s="769" t="s">
        <v>17</v>
      </c>
      <c r="W45" s="770">
        <f t="shared" si="14"/>
        <v>100</v>
      </c>
      <c r="X45" s="771"/>
      <c r="Y45" s="3182"/>
      <c r="Z45" s="55">
        <f t="shared" si="15"/>
        <v>111</v>
      </c>
      <c r="AA45" s="772">
        <f t="shared" si="3"/>
        <v>1</v>
      </c>
      <c r="AB45" s="772">
        <f t="shared" si="4"/>
        <v>1</v>
      </c>
      <c r="AC45" s="2677">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0"/>
      <c r="Q46" s="1812">
        <f t="shared" si="11"/>
        <v>111</v>
      </c>
      <c r="R46" s="773" t="s">
        <v>17</v>
      </c>
      <c r="S46" s="774">
        <f t="shared" si="12"/>
        <v>100</v>
      </c>
      <c r="T46" s="773" t="s">
        <v>17</v>
      </c>
      <c r="U46" s="774">
        <f t="shared" si="13"/>
        <v>100</v>
      </c>
      <c r="V46" s="773" t="s">
        <v>17</v>
      </c>
      <c r="W46" s="774">
        <f t="shared" si="14"/>
        <v>100</v>
      </c>
      <c r="X46" s="1815"/>
      <c r="Y46" s="3182"/>
      <c r="Z46" s="1816">
        <f t="shared" si="15"/>
        <v>111</v>
      </c>
      <c r="AA46" s="1813">
        <f t="shared" si="3"/>
        <v>1</v>
      </c>
      <c r="AB46" s="1813">
        <f t="shared" si="4"/>
        <v>1</v>
      </c>
      <c r="AC46" s="2680">
        <f t="shared" si="5"/>
        <v>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1"/>
      <c r="Q47" s="1812">
        <f t="shared" si="11"/>
        <v>111</v>
      </c>
      <c r="R47" s="773" t="s">
        <v>17</v>
      </c>
      <c r="S47" s="774">
        <f t="shared" si="12"/>
        <v>100</v>
      </c>
      <c r="T47" s="773" t="s">
        <v>17</v>
      </c>
      <c r="U47" s="774">
        <f t="shared" si="13"/>
        <v>100</v>
      </c>
      <c r="V47" s="773" t="s">
        <v>17</v>
      </c>
      <c r="W47" s="774">
        <f t="shared" si="14"/>
        <v>100</v>
      </c>
      <c r="X47" s="1815"/>
      <c r="Y47" s="3183"/>
      <c r="Z47" s="1816">
        <f t="shared" si="15"/>
        <v>111</v>
      </c>
      <c r="AA47" s="1813">
        <f t="shared" si="3"/>
        <v>1</v>
      </c>
      <c r="AB47" s="1813">
        <f t="shared" si="4"/>
        <v>1</v>
      </c>
      <c r="AC47" s="2680">
        <f t="shared" si="5"/>
        <v>1</v>
      </c>
    </row>
    <row r="48" spans="1:29" ht="15">
      <c r="A48" s="478" t="s">
        <v>2577</v>
      </c>
      <c r="B48" s="479"/>
      <c r="C48" s="1409" t="s">
        <v>1</v>
      </c>
      <c r="D48" s="1410"/>
      <c r="E48" s="1411"/>
      <c r="F48" s="1412"/>
      <c r="G48" s="1413"/>
      <c r="H48" s="1414"/>
      <c r="I48" s="1411"/>
      <c r="J48" s="484"/>
      <c r="K48" s="782"/>
      <c r="L48" s="1145"/>
      <c r="M48" s="1133"/>
      <c r="N48" s="1133"/>
      <c r="O48" s="1133"/>
      <c r="P48" s="3185" t="str">
        <f>A48</f>
        <v>成交单价（元/平方米）</v>
      </c>
      <c r="Q48" s="3170"/>
      <c r="R48" s="3171">
        <f>E48</f>
        <v>0</v>
      </c>
      <c r="S48" s="3171"/>
      <c r="T48" s="3171">
        <f>G48</f>
        <v>0</v>
      </c>
      <c r="U48" s="3171"/>
      <c r="V48" s="3171">
        <f>I48</f>
        <v>0</v>
      </c>
      <c r="W48" s="3171"/>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85" t="str">
        <f>A49</f>
        <v>比较价值（元/平方米）</v>
      </c>
      <c r="Q49" s="3170"/>
      <c r="R49" s="3171" t="e">
        <f>IF(F1="售价",ROUND(PRODUCT(R48,AA7:AA47),0),ROUND(PRODUCT(R48,AA7:AA47),1))</f>
        <v>#DIV/0!</v>
      </c>
      <c r="S49" s="3171"/>
      <c r="T49" s="3171" t="e">
        <f>IF(F1="售价",ROUND(PRODUCT(T48,AB7:AB47),0),ROUND(PRODUCT(T48,AB7:AB47),1))</f>
        <v>#DIV/0!</v>
      </c>
      <c r="U49" s="3171"/>
      <c r="V49" s="3171" t="e">
        <f>IF(F1="售价",ROUND(PRODUCT(V48,AC7:AC47),0),ROUND(PRODUCT(V48,AC7:AC47),1))</f>
        <v>#DIV/0!</v>
      </c>
      <c r="W49" s="3171"/>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7"/>
      <c r="Q58" s="503"/>
    </row>
    <row r="59" spans="1:29" s="507" customFormat="1" ht="15">
      <c r="A59" s="504" t="s">
        <v>2548</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8"/>
      <c r="B60" s="509"/>
      <c r="C60" s="1575">
        <v>100</v>
      </c>
      <c r="D60" s="511"/>
      <c r="E60" s="511"/>
      <c r="F60" s="511"/>
      <c r="G60" s="511"/>
      <c r="H60" s="511"/>
      <c r="I60" s="511"/>
      <c r="J60" s="511"/>
      <c r="K60" s="511"/>
      <c r="L60" s="511"/>
      <c r="M60" s="512"/>
      <c r="N60" s="511"/>
      <c r="O60" s="512"/>
      <c r="P60" s="2688"/>
    </row>
    <row r="61" spans="1:29" s="117" customFormat="1" ht="15.75" thickBot="1">
      <c r="A61" s="514" t="s">
        <v>2585</v>
      </c>
      <c r="B61" s="515"/>
      <c r="C61" s="516"/>
      <c r="D61" s="517"/>
      <c r="E61" s="517"/>
      <c r="F61" s="517"/>
      <c r="G61" s="517"/>
      <c r="H61" s="517"/>
      <c r="I61" s="517"/>
      <c r="J61" s="517"/>
      <c r="K61" s="517"/>
      <c r="L61" s="517"/>
      <c r="M61" s="518"/>
      <c r="N61" s="517"/>
      <c r="O61" s="518"/>
      <c r="P61" s="2688"/>
      <c r="Q61" s="503"/>
    </row>
    <row r="62" spans="1:29" s="117" customFormat="1" ht="15">
      <c r="A62" s="520" t="s">
        <v>2550</v>
      </c>
      <c r="B62" s="509"/>
      <c r="C62" s="521" t="s">
        <v>2652</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2588</v>
      </c>
      <c r="B64" s="527" t="s">
        <v>2554</v>
      </c>
      <c r="C64" s="528">
        <f>C9</f>
        <v>0</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9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9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c r="D69" s="548"/>
      <c r="E69" s="548"/>
      <c r="F69" s="548"/>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9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9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9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9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90"/>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9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9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9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90"/>
      <c r="Q86" s="503"/>
    </row>
    <row r="87" spans="1:17" s="117" customFormat="1" ht="27.75" thickTop="1">
      <c r="A87" s="578"/>
      <c r="B87" s="537" t="s">
        <v>2699</v>
      </c>
      <c r="C87" s="553"/>
      <c r="D87" s="553"/>
      <c r="E87" s="553"/>
      <c r="F87" s="553"/>
      <c r="G87" s="553"/>
      <c r="H87" s="553"/>
      <c r="I87" s="553"/>
      <c r="J87" s="553"/>
      <c r="K87" s="553"/>
      <c r="L87" s="579"/>
      <c r="M87" s="580"/>
      <c r="N87" s="1153"/>
      <c r="O87" s="1153"/>
      <c r="P87" s="269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90"/>
      <c r="Q88" s="503"/>
    </row>
    <row r="89" spans="1:17" s="117" customFormat="1" ht="15.75" thickTop="1">
      <c r="A89" s="578"/>
      <c r="B89" s="537" t="str">
        <f>B27</f>
        <v>楼层</v>
      </c>
      <c r="C89" s="553"/>
      <c r="D89" s="553"/>
      <c r="E89" s="553"/>
      <c r="F89" s="2641"/>
      <c r="G89" s="553"/>
      <c r="H89" s="553"/>
      <c r="I89" s="553"/>
      <c r="J89" s="553"/>
      <c r="K89" s="553"/>
      <c r="L89" s="553"/>
      <c r="M89" s="580"/>
      <c r="N89" s="1153"/>
      <c r="O89" s="1153"/>
      <c r="P89" s="269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2563</v>
      </c>
      <c r="B101" s="527" t="s">
        <v>2612</v>
      </c>
      <c r="C101" s="529"/>
      <c r="D101" s="529"/>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9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90"/>
      <c r="Q103" s="503"/>
    </row>
    <row r="104" spans="1:17" s="470" customFormat="1">
      <c r="A104" s="592"/>
      <c r="B104" s="593"/>
      <c r="C104" s="594"/>
      <c r="D104" s="594"/>
      <c r="E104" s="594"/>
      <c r="F104" s="594"/>
      <c r="G104" s="594"/>
      <c r="H104" s="594"/>
      <c r="I104" s="594"/>
      <c r="J104" s="595"/>
      <c r="K104" s="595"/>
      <c r="L104" s="596"/>
      <c r="M104" s="597"/>
      <c r="N104" s="1156"/>
      <c r="O104" s="1156"/>
      <c r="P104" s="2691"/>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1"/>
      <c r="Q105" s="558"/>
    </row>
    <row r="106" spans="1:17" ht="15" thickTop="1">
      <c r="A106" s="598"/>
      <c r="B106" s="537" t="s">
        <v>2614</v>
      </c>
      <c r="C106" s="553"/>
      <c r="D106" s="553"/>
      <c r="E106" s="582"/>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90"/>
      <c r="Q107" s="503"/>
    </row>
    <row r="108" spans="1:17" ht="15" thickTop="1">
      <c r="A108" s="598"/>
      <c r="B108" s="537" t="s">
        <v>2616</v>
      </c>
      <c r="C108" s="553"/>
      <c r="D108" s="553"/>
      <c r="E108" s="553"/>
      <c r="F108" s="582"/>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90"/>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1"/>
      <c r="Q114" s="558"/>
    </row>
    <row r="115" spans="1:17" ht="15" thickTop="1">
      <c r="A115" s="598"/>
      <c r="B115" s="537" t="s">
        <v>2617</v>
      </c>
      <c r="C115" s="553"/>
      <c r="D115" s="553"/>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90"/>
      <c r="Q116" s="503"/>
    </row>
    <row r="117" spans="1:17" ht="15" thickTop="1">
      <c r="A117" s="598"/>
      <c r="B117" s="537" t="s">
        <v>2618</v>
      </c>
      <c r="C117" s="553"/>
      <c r="D117" s="553"/>
      <c r="E117" s="553"/>
      <c r="F117" s="553"/>
      <c r="G117" s="553"/>
      <c r="H117" s="582"/>
      <c r="I117" s="582"/>
      <c r="J117" s="582"/>
      <c r="K117" s="583"/>
      <c r="L117" s="584"/>
      <c r="M117" s="585"/>
      <c r="N117" s="1154"/>
      <c r="O117" s="1154"/>
      <c r="P117" s="269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90"/>
      <c r="Q118" s="503"/>
    </row>
    <row r="119" spans="1:17" ht="15" thickTop="1">
      <c r="A119" s="598"/>
      <c r="B119" s="635" t="s">
        <v>2701</v>
      </c>
      <c r="C119" s="582"/>
      <c r="D119" s="582"/>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90"/>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2620</v>
      </c>
      <c r="C123" s="553"/>
      <c r="D123" s="553"/>
      <c r="E123" s="553"/>
      <c r="F123" s="582"/>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9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9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90"/>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1"/>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1"/>
      <c r="Q128" s="558"/>
    </row>
    <row r="129" spans="1:17" ht="15" thickTop="1">
      <c r="A129" s="598"/>
      <c r="B129" s="537">
        <f>B46</f>
        <v>111</v>
      </c>
      <c r="C129" s="553"/>
      <c r="D129" s="553"/>
      <c r="E129" s="553"/>
      <c r="F129" s="553"/>
      <c r="G129" s="582"/>
      <c r="H129" s="582"/>
      <c r="I129" s="582"/>
      <c r="J129" s="582"/>
      <c r="K129" s="583"/>
      <c r="L129" s="584"/>
      <c r="M129" s="585"/>
      <c r="N129" s="1154"/>
      <c r="O129" s="1154"/>
      <c r="P129" s="2690"/>
      <c r="Q129" s="503"/>
    </row>
    <row r="130" spans="1:17" ht="15.75" thickBot="1">
      <c r="A130" s="533"/>
      <c r="B130" s="542"/>
      <c r="C130" s="559"/>
      <c r="D130" s="559"/>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IF(C2="——",ROUND(C43*D3/10000,0),ROUND(C43*D3/10000,0)-D2)</f>
        <v>#DIV/0!</v>
      </c>
      <c r="C2" s="2592"/>
      <c r="D2" s="1126"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71089.5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99" t="s">
        <v>2647</v>
      </c>
      <c r="S4" s="3200"/>
      <c r="T4" s="3199" t="s">
        <v>2648</v>
      </c>
      <c r="U4" s="3200"/>
      <c r="V4" s="3184" t="s">
        <v>2649</v>
      </c>
      <c r="W4" s="3184"/>
      <c r="X4" s="1815"/>
      <c r="Y4" s="3199" t="s">
        <v>2651</v>
      </c>
      <c r="Z4" s="3200"/>
      <c r="AA4" s="3186" t="s">
        <v>2647</v>
      </c>
      <c r="AB4" s="3187" t="s">
        <v>2648</v>
      </c>
      <c r="AC4" s="3186" t="s">
        <v>2649</v>
      </c>
    </row>
    <row r="5" spans="1:29" ht="15">
      <c r="A5" s="403"/>
      <c r="B5" s="404"/>
      <c r="C5" s="3207" t="s">
        <v>2542</v>
      </c>
      <c r="D5" s="3208"/>
      <c r="E5" s="3214" t="s">
        <v>2543</v>
      </c>
      <c r="F5" s="3215"/>
      <c r="G5" s="3207" t="s">
        <v>2544</v>
      </c>
      <c r="H5" s="3208"/>
      <c r="I5" s="3207" t="s">
        <v>2545</v>
      </c>
      <c r="J5" s="3208"/>
      <c r="K5" s="609"/>
      <c r="L5" s="1132"/>
      <c r="M5" s="1133"/>
      <c r="N5" s="1133"/>
      <c r="O5" s="1133"/>
      <c r="P5" s="3195"/>
      <c r="Q5" s="3196"/>
      <c r="R5" s="3201"/>
      <c r="S5" s="3202"/>
      <c r="T5" s="3201"/>
      <c r="U5" s="3202"/>
      <c r="V5" s="3184"/>
      <c r="W5" s="3184"/>
      <c r="X5" s="1815"/>
      <c r="Y5" s="3201"/>
      <c r="Z5" s="3202"/>
      <c r="AA5" s="3187"/>
      <c r="AB5" s="3187"/>
      <c r="AC5" s="3187"/>
    </row>
    <row r="6" spans="1:29" ht="15.75" thickBot="1">
      <c r="A6" s="405"/>
      <c r="B6" s="406"/>
      <c r="C6" s="3205" t="s">
        <v>2546</v>
      </c>
      <c r="D6" s="3206"/>
      <c r="E6" s="3212" t="s">
        <v>2546</v>
      </c>
      <c r="F6" s="3213"/>
      <c r="G6" s="3205" t="s">
        <v>2546</v>
      </c>
      <c r="H6" s="3206"/>
      <c r="I6" s="3205" t="s">
        <v>2546</v>
      </c>
      <c r="J6" s="3206"/>
      <c r="K6" s="609" t="s">
        <v>2547</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7" t="s">
        <v>2548</v>
      </c>
      <c r="B7" s="408"/>
      <c r="C7" s="409">
        <f>'数据-取费表'!B2</f>
        <v>43312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9" t="s">
        <v>2549</v>
      </c>
      <c r="Q7" s="3211"/>
      <c r="R7" s="769" t="s">
        <v>17</v>
      </c>
      <c r="S7" s="770">
        <f t="shared" ref="S7:S15" si="0">F7</f>
        <v>0</v>
      </c>
      <c r="T7" s="769" t="s">
        <v>17</v>
      </c>
      <c r="U7" s="770">
        <f t="shared" ref="U7:U15" si="1">H7</f>
        <v>0</v>
      </c>
      <c r="V7" s="769" t="s">
        <v>17</v>
      </c>
      <c r="W7" s="770">
        <f t="shared" ref="W7:W15" si="2">J7</f>
        <v>0</v>
      </c>
      <c r="X7" s="771"/>
      <c r="Y7" s="3209" t="s">
        <v>2549</v>
      </c>
      <c r="Z7" s="3210"/>
      <c r="AA7" s="772" t="e">
        <f>D7/F7</f>
        <v>#DIV/0!</v>
      </c>
      <c r="AB7" s="772" t="e">
        <f>D7/H7</f>
        <v>#DIV/0!</v>
      </c>
      <c r="AC7" s="772" t="e">
        <f>D7/J7</f>
        <v>#DIV/0!</v>
      </c>
    </row>
    <row r="8" spans="1:29" s="117"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9" t="s">
        <v>2552</v>
      </c>
      <c r="Q8" s="3210"/>
      <c r="R8" s="769" t="s">
        <v>17</v>
      </c>
      <c r="S8" s="770">
        <f t="shared" si="0"/>
        <v>0</v>
      </c>
      <c r="T8" s="769" t="s">
        <v>17</v>
      </c>
      <c r="U8" s="770">
        <f t="shared" si="1"/>
        <v>0</v>
      </c>
      <c r="V8" s="769" t="s">
        <v>17</v>
      </c>
      <c r="W8" s="770">
        <f t="shared" si="2"/>
        <v>0</v>
      </c>
      <c r="X8" s="771"/>
      <c r="Y8" s="3209" t="s">
        <v>2552</v>
      </c>
      <c r="Z8" s="3210"/>
      <c r="AA8" s="772" t="e">
        <f t="shared" ref="AA8:AA40" si="3">D8/F8</f>
        <v>#DIV/0!</v>
      </c>
      <c r="AB8" s="772" t="e">
        <f t="shared" ref="AB8:AB40" si="4">D8/H8</f>
        <v>#DIV/0!</v>
      </c>
      <c r="AC8" s="772" t="e">
        <f t="shared" ref="AC8:AC40" si="5">D8/J8</f>
        <v>#DIV/0!</v>
      </c>
    </row>
    <row r="9" spans="1:29" s="117" customFormat="1">
      <c r="A9" s="414" t="s">
        <v>2553</v>
      </c>
      <c r="B9" s="71" t="s">
        <v>2554</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70" t="s">
        <v>2555</v>
      </c>
      <c r="Q9" s="1797" t="str">
        <f t="shared" ref="Q9:Q15" si="6">B9</f>
        <v>用途</v>
      </c>
      <c r="R9" s="769" t="s">
        <v>17</v>
      </c>
      <c r="S9" s="770">
        <f t="shared" si="0"/>
        <v>100</v>
      </c>
      <c r="T9" s="769" t="s">
        <v>17</v>
      </c>
      <c r="U9" s="770">
        <f t="shared" si="1"/>
        <v>100</v>
      </c>
      <c r="V9" s="769" t="s">
        <v>17</v>
      </c>
      <c r="W9" s="770">
        <f t="shared" si="2"/>
        <v>100</v>
      </c>
      <c r="X9" s="771"/>
      <c r="Y9" s="3005"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70"/>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70"/>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136">
        <f>SUMIF(64:64,E12,65:65)-SUMIF(64:64,C12,65:65)+100</f>
        <v>100</v>
      </c>
      <c r="G12" s="2698"/>
      <c r="H12" s="136">
        <f>SUMIF(64:64,G12,65:65)-SUMIF(64:64,C12,65:65)+100</f>
        <v>100</v>
      </c>
      <c r="I12" s="468"/>
      <c r="J12" s="136">
        <f>SUMIF(64:64,I12,65:65)-SUMIF(64:64,C12,65:65)+100</f>
        <v>100</v>
      </c>
      <c r="K12" s="612"/>
      <c r="L12" s="1134"/>
      <c r="M12" s="1135"/>
      <c r="N12" s="1135"/>
      <c r="O12" s="1136"/>
      <c r="P12" s="317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6">
        <v>111</v>
      </c>
      <c r="C13" s="433"/>
      <c r="D13" s="434">
        <v>100</v>
      </c>
      <c r="E13" s="433"/>
      <c r="F13" s="136">
        <f>SUMIF(66:66,E13,67:67)-SUMIF(66:66,C13,67:67)+100</f>
        <v>100</v>
      </c>
      <c r="G13" s="2698"/>
      <c r="H13" s="434">
        <f>SUMIF(66:66,G13,67:67)-SUMIF(66:66,C13,67:67)+100</f>
        <v>100</v>
      </c>
      <c r="I13" s="468"/>
      <c r="J13" s="434">
        <f>SUMIF(66:66,I13,67:67)-SUMIF(66:66,C13,67:67)+100</f>
        <v>100</v>
      </c>
      <c r="K13" s="612"/>
      <c r="L13" s="1142"/>
      <c r="M13" s="1133"/>
      <c r="N13" s="1133"/>
      <c r="O13" s="1141"/>
      <c r="P13" s="317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170"/>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57">
      <c r="A15" s="439" t="s">
        <v>2559</v>
      </c>
      <c r="B15" s="69" t="s">
        <v>2703</v>
      </c>
      <c r="C15" s="269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7" t="s">
        <v>2560</v>
      </c>
      <c r="Q15" s="1812" t="str">
        <f t="shared" si="6"/>
        <v>产业集聚程度</v>
      </c>
      <c r="R15" s="773" t="s">
        <v>17</v>
      </c>
      <c r="S15" s="774">
        <f t="shared" si="0"/>
        <v>100</v>
      </c>
      <c r="T15" s="773" t="s">
        <v>17</v>
      </c>
      <c r="U15" s="774">
        <f t="shared" si="1"/>
        <v>100</v>
      </c>
      <c r="V15" s="773" t="s">
        <v>17</v>
      </c>
      <c r="W15" s="774">
        <f t="shared" si="2"/>
        <v>100</v>
      </c>
      <c r="X15" s="1815"/>
      <c r="Y15" s="3177"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78"/>
      <c r="Q16" s="1812"/>
      <c r="R16" s="773"/>
      <c r="S16" s="774"/>
      <c r="T16" s="773"/>
      <c r="U16" s="774"/>
      <c r="V16" s="773"/>
      <c r="W16" s="774"/>
      <c r="X16" s="1815"/>
      <c r="Y16" s="3178"/>
      <c r="Z16" s="1816"/>
      <c r="AA16" s="1813">
        <v>1</v>
      </c>
      <c r="AB16" s="1813">
        <v>1</v>
      </c>
      <c r="AC16" s="1813">
        <v>1</v>
      </c>
    </row>
    <row r="17" spans="1:29" ht="85.5">
      <c r="A17" s="427"/>
      <c r="B17" s="450" t="s">
        <v>2101</v>
      </c>
      <c r="C17" s="261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8"/>
      <c r="Q17" s="1812" t="str">
        <f>B17</f>
        <v>交通便捷度</v>
      </c>
      <c r="R17" s="773" t="s">
        <v>17</v>
      </c>
      <c r="S17" s="774">
        <f>F17</f>
        <v>100</v>
      </c>
      <c r="T17" s="773" t="s">
        <v>17</v>
      </c>
      <c r="U17" s="774">
        <f>H17</f>
        <v>100</v>
      </c>
      <c r="V17" s="773" t="s">
        <v>17</v>
      </c>
      <c r="W17" s="774">
        <f>J17</f>
        <v>100</v>
      </c>
      <c r="X17" s="1815"/>
      <c r="Y17" s="3178"/>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41"/>
      <c r="P18" s="3178"/>
      <c r="Q18" s="1812"/>
      <c r="R18" s="773"/>
      <c r="S18" s="774"/>
      <c r="T18" s="773"/>
      <c r="U18" s="774"/>
      <c r="V18" s="773"/>
      <c r="W18" s="774"/>
      <c r="X18" s="1815"/>
      <c r="Y18" s="3178"/>
      <c r="Z18" s="1816"/>
      <c r="AA18" s="1813">
        <v>1</v>
      </c>
      <c r="AB18" s="1813">
        <v>1</v>
      </c>
      <c r="AC18" s="1813">
        <v>1</v>
      </c>
    </row>
    <row r="19" spans="1:29" ht="42.75">
      <c r="A19" s="427"/>
      <c r="B19" s="450" t="s">
        <v>2688</v>
      </c>
      <c r="C19" s="261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8"/>
      <c r="Q19" s="1812" t="str">
        <f>B19</f>
        <v>公共配套设施</v>
      </c>
      <c r="R19" s="773" t="s">
        <v>17</v>
      </c>
      <c r="S19" s="774">
        <f>F19</f>
        <v>100</v>
      </c>
      <c r="T19" s="773" t="s">
        <v>17</v>
      </c>
      <c r="U19" s="774">
        <f>H19</f>
        <v>100</v>
      </c>
      <c r="V19" s="773" t="s">
        <v>17</v>
      </c>
      <c r="W19" s="774">
        <f>J19</f>
        <v>100</v>
      </c>
      <c r="X19" s="1815"/>
      <c r="Y19" s="3178"/>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41"/>
      <c r="P20" s="3178"/>
      <c r="Q20" s="1812"/>
      <c r="R20" s="773"/>
      <c r="S20" s="774"/>
      <c r="T20" s="773"/>
      <c r="U20" s="774"/>
      <c r="V20" s="773"/>
      <c r="W20" s="774"/>
      <c r="X20" s="1815"/>
      <c r="Y20" s="3178"/>
      <c r="Z20" s="1816"/>
      <c r="AA20" s="1813">
        <v>1</v>
      </c>
      <c r="AB20" s="1813">
        <v>1</v>
      </c>
      <c r="AC20" s="1813">
        <v>1</v>
      </c>
    </row>
    <row r="21" spans="1:29" ht="28.5">
      <c r="A21" s="427"/>
      <c r="B21" s="1386" t="s">
        <v>2689</v>
      </c>
      <c r="C21" s="261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8"/>
      <c r="Q21" s="1812" t="str">
        <f>B21</f>
        <v>基础设施水平</v>
      </c>
      <c r="R21" s="773" t="s">
        <v>17</v>
      </c>
      <c r="S21" s="774">
        <f>F21</f>
        <v>100</v>
      </c>
      <c r="T21" s="773" t="s">
        <v>17</v>
      </c>
      <c r="U21" s="774">
        <f>H21</f>
        <v>100</v>
      </c>
      <c r="V21" s="773" t="s">
        <v>17</v>
      </c>
      <c r="W21" s="774">
        <f>J21</f>
        <v>100</v>
      </c>
      <c r="X21" s="1815"/>
      <c r="Y21" s="3178"/>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41"/>
      <c r="P22" s="3178"/>
      <c r="Q22" s="1812"/>
      <c r="R22" s="773"/>
      <c r="S22" s="774"/>
      <c r="T22" s="773"/>
      <c r="U22" s="774"/>
      <c r="V22" s="773"/>
      <c r="W22" s="774"/>
      <c r="X22" s="1815"/>
      <c r="Y22" s="3178"/>
      <c r="Z22" s="1816"/>
      <c r="AA22" s="1813">
        <v>1</v>
      </c>
      <c r="AB22" s="1813">
        <v>1</v>
      </c>
      <c r="AC22" s="1813">
        <v>1</v>
      </c>
    </row>
    <row r="23" spans="1:29" ht="71.25">
      <c r="A23" s="427"/>
      <c r="B23" s="450" t="s">
        <v>2690</v>
      </c>
      <c r="C23" s="261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8"/>
      <c r="Q23" s="1812" t="str">
        <f>B23</f>
        <v>环境质量</v>
      </c>
      <c r="R23" s="773" t="s">
        <v>17</v>
      </c>
      <c r="S23" s="774">
        <f>F23</f>
        <v>100</v>
      </c>
      <c r="T23" s="773" t="s">
        <v>17</v>
      </c>
      <c r="U23" s="774">
        <f>H23</f>
        <v>100</v>
      </c>
      <c r="V23" s="773" t="s">
        <v>17</v>
      </c>
      <c r="W23" s="774">
        <f>J23</f>
        <v>100</v>
      </c>
      <c r="X23" s="1815"/>
      <c r="Y23" s="3178"/>
      <c r="Z23" s="1816" t="str">
        <f>Q23</f>
        <v>环境质量</v>
      </c>
      <c r="AA23" s="1813">
        <f t="shared" si="3"/>
        <v>1</v>
      </c>
      <c r="AB23" s="1813">
        <f t="shared" si="4"/>
        <v>1</v>
      </c>
      <c r="AC23" s="1813">
        <f t="shared" si="5"/>
        <v>1</v>
      </c>
    </row>
    <row r="24" spans="1:29" ht="15">
      <c r="A24" s="427"/>
      <c r="B24" s="1386"/>
      <c r="C24" s="446"/>
      <c r="D24" s="447"/>
      <c r="E24" s="2611"/>
      <c r="F24" s="448"/>
      <c r="G24" s="2610"/>
      <c r="H24" s="447"/>
      <c r="I24" s="2611"/>
      <c r="J24" s="447"/>
      <c r="K24" s="614"/>
      <c r="L24" s="1142"/>
      <c r="M24" s="1133"/>
      <c r="N24" s="1133"/>
      <c r="O24" s="1141"/>
      <c r="P24" s="3178"/>
      <c r="Q24" s="1812"/>
      <c r="R24" s="773"/>
      <c r="S24" s="774"/>
      <c r="T24" s="773"/>
      <c r="U24" s="774"/>
      <c r="V24" s="773"/>
      <c r="W24" s="774"/>
      <c r="X24" s="1815"/>
      <c r="Y24" s="317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8"/>
      <c r="Q25" s="1812">
        <f>B25</f>
        <v>111</v>
      </c>
      <c r="R25" s="773" t="s">
        <v>17</v>
      </c>
      <c r="S25" s="774">
        <f>F25</f>
        <v>100</v>
      </c>
      <c r="T25" s="773" t="s">
        <v>17</v>
      </c>
      <c r="U25" s="774">
        <f>H25</f>
        <v>100</v>
      </c>
      <c r="V25" s="773" t="s">
        <v>17</v>
      </c>
      <c r="W25" s="774">
        <f>J25</f>
        <v>100</v>
      </c>
      <c r="X25" s="1815"/>
      <c r="Y25" s="317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8"/>
      <c r="Q26" s="1812">
        <f t="shared" ref="Q26:Q40" si="11">B26</f>
        <v>111</v>
      </c>
      <c r="R26" s="773" t="s">
        <v>17</v>
      </c>
      <c r="S26" s="774">
        <f>F26</f>
        <v>100</v>
      </c>
      <c r="T26" s="773" t="s">
        <v>17</v>
      </c>
      <c r="U26" s="774">
        <f>H26</f>
        <v>100</v>
      </c>
      <c r="V26" s="773" t="s">
        <v>17</v>
      </c>
      <c r="W26" s="774">
        <f>J26</f>
        <v>100</v>
      </c>
      <c r="X26" s="1815"/>
      <c r="Y26" s="317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8"/>
      <c r="Q27" s="1797">
        <f t="shared" si="11"/>
        <v>111</v>
      </c>
      <c r="R27" s="769" t="s">
        <v>17</v>
      </c>
      <c r="S27" s="770">
        <f>F27</f>
        <v>100</v>
      </c>
      <c r="T27" s="769" t="s">
        <v>17</v>
      </c>
      <c r="U27" s="770">
        <f>H27</f>
        <v>100</v>
      </c>
      <c r="V27" s="769" t="s">
        <v>17</v>
      </c>
      <c r="W27" s="770">
        <f>J27</f>
        <v>100</v>
      </c>
      <c r="X27" s="771"/>
      <c r="Y27" s="317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8"/>
      <c r="Q28" s="1812">
        <f t="shared" si="11"/>
        <v>111</v>
      </c>
      <c r="R28" s="773" t="s">
        <v>17</v>
      </c>
      <c r="S28" s="774">
        <f t="shared" ref="S28:S40" si="12">F28</f>
        <v>100</v>
      </c>
      <c r="T28" s="773" t="s">
        <v>17</v>
      </c>
      <c r="U28" s="774">
        <f t="shared" ref="U28:U40" si="13">H28</f>
        <v>100</v>
      </c>
      <c r="V28" s="773" t="s">
        <v>17</v>
      </c>
      <c r="W28" s="774">
        <f t="shared" ref="W28:W40" si="14">J28</f>
        <v>100</v>
      </c>
      <c r="X28" s="1815"/>
      <c r="Y28" s="3178"/>
      <c r="Z28" s="1816">
        <f t="shared" ref="Z28:Z40" si="15">Q28</f>
        <v>111</v>
      </c>
      <c r="AA28" s="1813">
        <f t="shared" si="3"/>
        <v>1</v>
      </c>
      <c r="AB28" s="1813">
        <f t="shared" si="4"/>
        <v>1</v>
      </c>
      <c r="AC28" s="1813">
        <f t="shared" si="5"/>
        <v>1</v>
      </c>
    </row>
    <row r="29" spans="1:29" ht="15">
      <c r="A29" s="465" t="s">
        <v>2563</v>
      </c>
      <c r="B29" s="71" t="s">
        <v>2693</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58" t="s">
        <v>2565</v>
      </c>
      <c r="Q29" s="1812" t="str">
        <f t="shared" si="11"/>
        <v>建筑类型</v>
      </c>
      <c r="R29" s="773" t="s">
        <v>17</v>
      </c>
      <c r="S29" s="774">
        <f t="shared" si="12"/>
        <v>100</v>
      </c>
      <c r="T29" s="773" t="s">
        <v>17</v>
      </c>
      <c r="U29" s="774">
        <f t="shared" si="13"/>
        <v>100</v>
      </c>
      <c r="V29" s="773" t="s">
        <v>17</v>
      </c>
      <c r="W29" s="774">
        <f t="shared" si="14"/>
        <v>100</v>
      </c>
      <c r="X29" s="1815"/>
      <c r="Y29" s="3182" t="s">
        <v>2565</v>
      </c>
      <c r="Z29" s="1816" t="str">
        <f t="shared" si="15"/>
        <v>建筑类型</v>
      </c>
      <c r="AA29" s="1813">
        <f t="shared" si="3"/>
        <v>1</v>
      </c>
      <c r="AB29" s="1813">
        <f t="shared" si="4"/>
        <v>1</v>
      </c>
      <c r="AC29" s="1813">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82"/>
      <c r="Q30" s="775" t="str">
        <f t="shared" si="11"/>
        <v>项目建筑规模</v>
      </c>
      <c r="R30" s="776" t="s">
        <v>17</v>
      </c>
      <c r="S30" s="777" t="e">
        <f t="shared" si="12"/>
        <v>#N/A</v>
      </c>
      <c r="T30" s="776" t="s">
        <v>17</v>
      </c>
      <c r="U30" s="777" t="e">
        <f t="shared" si="13"/>
        <v>#N/A</v>
      </c>
      <c r="V30" s="776" t="s">
        <v>17</v>
      </c>
      <c r="W30" s="777" t="e">
        <f t="shared" si="14"/>
        <v>#N/A</v>
      </c>
      <c r="X30" s="778"/>
      <c r="Y30" s="3182"/>
      <c r="Z30" s="779"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2"/>
      <c r="Q31" s="1812" t="str">
        <f t="shared" si="11"/>
        <v>建筑结构</v>
      </c>
      <c r="R31" s="773" t="s">
        <v>17</v>
      </c>
      <c r="S31" s="774">
        <f t="shared" si="12"/>
        <v>100</v>
      </c>
      <c r="T31" s="773" t="s">
        <v>17</v>
      </c>
      <c r="U31" s="774">
        <f t="shared" si="13"/>
        <v>100</v>
      </c>
      <c r="V31" s="773" t="s">
        <v>17</v>
      </c>
      <c r="W31" s="774">
        <f t="shared" si="14"/>
        <v>100</v>
      </c>
      <c r="X31" s="1815"/>
      <c r="Y31" s="3182"/>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2"/>
      <c r="Q32" s="1812" t="str">
        <f t="shared" si="11"/>
        <v>公共部分装修</v>
      </c>
      <c r="R32" s="773" t="s">
        <v>17</v>
      </c>
      <c r="S32" s="774">
        <f t="shared" si="12"/>
        <v>100</v>
      </c>
      <c r="T32" s="773" t="s">
        <v>17</v>
      </c>
      <c r="U32" s="774">
        <f t="shared" si="13"/>
        <v>100</v>
      </c>
      <c r="V32" s="773" t="s">
        <v>17</v>
      </c>
      <c r="W32" s="774">
        <f t="shared" si="14"/>
        <v>100</v>
      </c>
      <c r="X32" s="1815"/>
      <c r="Y32" s="3182"/>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2"/>
      <c r="Q33" s="1812" t="str">
        <f t="shared" si="11"/>
        <v>成新度</v>
      </c>
      <c r="R33" s="773" t="s">
        <v>17</v>
      </c>
      <c r="S33" s="774" t="e">
        <f t="shared" si="12"/>
        <v>#N/A</v>
      </c>
      <c r="T33" s="773" t="s">
        <v>17</v>
      </c>
      <c r="U33" s="774" t="e">
        <f t="shared" si="13"/>
        <v>#N/A</v>
      </c>
      <c r="V33" s="773" t="s">
        <v>17</v>
      </c>
      <c r="W33" s="774" t="e">
        <f t="shared" si="14"/>
        <v>#N/A</v>
      </c>
      <c r="X33" s="1815"/>
      <c r="Y33" s="3182"/>
      <c r="Z33" s="1816" t="str">
        <f t="shared" si="15"/>
        <v>成新度</v>
      </c>
      <c r="AA33" s="1813" t="e">
        <f t="shared" si="3"/>
        <v>#N/A</v>
      </c>
      <c r="AB33" s="1813" t="e">
        <f t="shared" si="4"/>
        <v>#N/A</v>
      </c>
      <c r="AC33" s="1813"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2"/>
      <c r="Q34" s="1797" t="str">
        <f t="shared" si="11"/>
        <v>物业管理</v>
      </c>
      <c r="R34" s="769" t="s">
        <v>17</v>
      </c>
      <c r="S34" s="770">
        <f t="shared" si="12"/>
        <v>100</v>
      </c>
      <c r="T34" s="769" t="s">
        <v>17</v>
      </c>
      <c r="U34" s="770">
        <f t="shared" si="13"/>
        <v>100</v>
      </c>
      <c r="V34" s="769" t="s">
        <v>17</v>
      </c>
      <c r="W34" s="770">
        <f t="shared" si="14"/>
        <v>100</v>
      </c>
      <c r="X34" s="771"/>
      <c r="Y34" s="3182"/>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2" t="s">
        <v>2565</v>
      </c>
      <c r="Q35" s="1812" t="str">
        <f t="shared" si="11"/>
        <v>市政基础设施</v>
      </c>
      <c r="R35" s="773" t="s">
        <v>17</v>
      </c>
      <c r="S35" s="774">
        <f t="shared" si="12"/>
        <v>100</v>
      </c>
      <c r="T35" s="773" t="s">
        <v>17</v>
      </c>
      <c r="U35" s="774">
        <f t="shared" si="13"/>
        <v>100</v>
      </c>
      <c r="V35" s="773" t="s">
        <v>17</v>
      </c>
      <c r="W35" s="774">
        <f t="shared" si="14"/>
        <v>100</v>
      </c>
      <c r="X35" s="1815"/>
      <c r="Y35" s="3182"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2"/>
      <c r="Q36" s="1812" t="str">
        <f t="shared" si="11"/>
        <v>内部装修</v>
      </c>
      <c r="R36" s="773" t="s">
        <v>17</v>
      </c>
      <c r="S36" s="774">
        <f t="shared" si="12"/>
        <v>100</v>
      </c>
      <c r="T36" s="773" t="s">
        <v>17</v>
      </c>
      <c r="U36" s="774">
        <f t="shared" si="13"/>
        <v>100</v>
      </c>
      <c r="V36" s="773" t="s">
        <v>17</v>
      </c>
      <c r="W36" s="774">
        <f t="shared" si="14"/>
        <v>100</v>
      </c>
      <c r="X36" s="1815"/>
      <c r="Y36" s="3182"/>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2"/>
      <c r="Q37" s="1812" t="str">
        <f t="shared" si="11"/>
        <v>内部装修状况</v>
      </c>
      <c r="R37" s="773" t="s">
        <v>17</v>
      </c>
      <c r="S37" s="774">
        <f t="shared" si="12"/>
        <v>100</v>
      </c>
      <c r="T37" s="773" t="s">
        <v>17</v>
      </c>
      <c r="U37" s="774">
        <f t="shared" si="13"/>
        <v>100</v>
      </c>
      <c r="V37" s="773" t="s">
        <v>17</v>
      </c>
      <c r="W37" s="774">
        <f t="shared" si="14"/>
        <v>100</v>
      </c>
      <c r="X37" s="1815"/>
      <c r="Y37" s="3182"/>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2"/>
      <c r="Q38" s="775">
        <f t="shared" si="11"/>
        <v>111</v>
      </c>
      <c r="R38" s="776" t="s">
        <v>17</v>
      </c>
      <c r="S38" s="777">
        <f t="shared" si="12"/>
        <v>100</v>
      </c>
      <c r="T38" s="776" t="s">
        <v>17</v>
      </c>
      <c r="U38" s="777">
        <f t="shared" si="13"/>
        <v>100</v>
      </c>
      <c r="V38" s="776" t="s">
        <v>17</v>
      </c>
      <c r="W38" s="777">
        <f t="shared" si="14"/>
        <v>100</v>
      </c>
      <c r="X38" s="778"/>
      <c r="Y38" s="3182"/>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2"/>
      <c r="Q39" s="1812">
        <f t="shared" si="11"/>
        <v>111</v>
      </c>
      <c r="R39" s="773" t="s">
        <v>17</v>
      </c>
      <c r="S39" s="774">
        <f t="shared" si="12"/>
        <v>100</v>
      </c>
      <c r="T39" s="773" t="s">
        <v>17</v>
      </c>
      <c r="U39" s="774">
        <f t="shared" si="13"/>
        <v>100</v>
      </c>
      <c r="V39" s="773" t="s">
        <v>17</v>
      </c>
      <c r="W39" s="774">
        <f t="shared" si="14"/>
        <v>100</v>
      </c>
      <c r="X39" s="1815"/>
      <c r="Y39" s="3182"/>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3"/>
      <c r="Q40" s="1812">
        <f t="shared" si="11"/>
        <v>111</v>
      </c>
      <c r="R40" s="773" t="s">
        <v>17</v>
      </c>
      <c r="S40" s="774">
        <f t="shared" si="12"/>
        <v>100</v>
      </c>
      <c r="T40" s="773" t="s">
        <v>17</v>
      </c>
      <c r="U40" s="774">
        <f t="shared" si="13"/>
        <v>100</v>
      </c>
      <c r="V40" s="773" t="s">
        <v>17</v>
      </c>
      <c r="W40" s="774">
        <f t="shared" si="14"/>
        <v>100</v>
      </c>
      <c r="X40" s="1815"/>
      <c r="Y40" s="3183"/>
      <c r="Z40" s="1816">
        <f t="shared" si="15"/>
        <v>111</v>
      </c>
      <c r="AA40" s="1813">
        <f t="shared" si="3"/>
        <v>1</v>
      </c>
      <c r="AB40" s="1813">
        <f t="shared" si="4"/>
        <v>1</v>
      </c>
      <c r="AC40" s="1813">
        <f t="shared" si="5"/>
        <v>1</v>
      </c>
    </row>
    <row r="41" spans="1:29" ht="15">
      <c r="A41" s="478" t="s">
        <v>2577</v>
      </c>
      <c r="B41" s="479"/>
      <c r="C41" s="1409" t="s">
        <v>1</v>
      </c>
      <c r="D41" s="1410"/>
      <c r="E41" s="1411"/>
      <c r="F41" s="1412"/>
      <c r="G41" s="1413"/>
      <c r="H41" s="1414"/>
      <c r="I41" s="1411"/>
      <c r="J41" s="1414"/>
      <c r="K41" s="782"/>
      <c r="L41" s="1145"/>
      <c r="M41" s="1146"/>
      <c r="N41" s="1133"/>
      <c r="O41" s="1146"/>
      <c r="P41" s="3170" t="str">
        <f>A41</f>
        <v>成交单价（元/平方米）</v>
      </c>
      <c r="Q41" s="3170"/>
      <c r="R41" s="3171">
        <f>E41</f>
        <v>0</v>
      </c>
      <c r="S41" s="3171"/>
      <c r="T41" s="3171">
        <f>G41</f>
        <v>0</v>
      </c>
      <c r="U41" s="3171"/>
      <c r="V41" s="3171">
        <f>I41</f>
        <v>0</v>
      </c>
      <c r="W41" s="3171"/>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72" t="str">
        <f>A43</f>
        <v>估价对象XX用房的比较价值（楼面单价，元/平方米）</v>
      </c>
      <c r="Q43" s="3173"/>
      <c r="R43" s="3174" t="e">
        <f>IF(F1="售价",ROUND(AVERAGE(R42:V42),0),ROUND(AVERAGE(R42:V42),1))</f>
        <v>#DIV/0!</v>
      </c>
      <c r="S43" s="3174"/>
      <c r="T43" s="3174"/>
      <c r="U43" s="3174"/>
      <c r="V43" s="3174"/>
      <c r="W43" s="317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2"/>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99" t="s">
        <v>2647</v>
      </c>
      <c r="S4" s="3200"/>
      <c r="T4" s="3199" t="s">
        <v>2648</v>
      </c>
      <c r="U4" s="3200"/>
      <c r="V4" s="3184" t="s">
        <v>2649</v>
      </c>
      <c r="W4" s="3184"/>
      <c r="X4" s="1815"/>
      <c r="Y4" s="3199" t="s">
        <v>2651</v>
      </c>
      <c r="Z4" s="3200"/>
      <c r="AA4" s="3186" t="s">
        <v>2647</v>
      </c>
      <c r="AB4" s="3187" t="s">
        <v>2648</v>
      </c>
      <c r="AC4" s="3186" t="s">
        <v>2649</v>
      </c>
    </row>
    <row r="5" spans="1:29" ht="15">
      <c r="A5" s="403"/>
      <c r="B5" s="404"/>
      <c r="C5" s="3207" t="s">
        <v>2542</v>
      </c>
      <c r="D5" s="3208"/>
      <c r="E5" s="3214" t="s">
        <v>2543</v>
      </c>
      <c r="F5" s="3215"/>
      <c r="G5" s="3207" t="s">
        <v>2544</v>
      </c>
      <c r="H5" s="3208"/>
      <c r="I5" s="3207" t="s">
        <v>2545</v>
      </c>
      <c r="J5" s="3208"/>
      <c r="K5" s="609"/>
      <c r="L5" s="1132"/>
      <c r="M5" s="1133"/>
      <c r="N5" s="1133"/>
      <c r="O5" s="1133"/>
      <c r="P5" s="3195"/>
      <c r="Q5" s="3196"/>
      <c r="R5" s="3201"/>
      <c r="S5" s="3202"/>
      <c r="T5" s="3201"/>
      <c r="U5" s="3202"/>
      <c r="V5" s="3184"/>
      <c r="W5" s="3184"/>
      <c r="X5" s="1815"/>
      <c r="Y5" s="3201"/>
      <c r="Z5" s="3202"/>
      <c r="AA5" s="3187"/>
      <c r="AB5" s="3187"/>
      <c r="AC5" s="3187"/>
    </row>
    <row r="6" spans="1:29" ht="15.75" thickBot="1">
      <c r="A6" s="405"/>
      <c r="B6" s="406"/>
      <c r="C6" s="3205" t="s">
        <v>2546</v>
      </c>
      <c r="D6" s="3206"/>
      <c r="E6" s="3212" t="s">
        <v>2546</v>
      </c>
      <c r="F6" s="3213"/>
      <c r="G6" s="3205" t="s">
        <v>2546</v>
      </c>
      <c r="H6" s="3206"/>
      <c r="I6" s="3205" t="s">
        <v>2546</v>
      </c>
      <c r="J6" s="3206"/>
      <c r="K6" s="609" t="s">
        <v>2547</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7" t="s">
        <v>2548</v>
      </c>
      <c r="B7" s="408"/>
      <c r="C7" s="409">
        <f>'数据-取费表'!B2</f>
        <v>43312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9" t="s">
        <v>2549</v>
      </c>
      <c r="Q7" s="3211"/>
      <c r="R7" s="769" t="s">
        <v>17</v>
      </c>
      <c r="S7" s="770">
        <f t="shared" ref="S7:S14" si="0">F7</f>
        <v>0</v>
      </c>
      <c r="T7" s="769" t="s">
        <v>17</v>
      </c>
      <c r="U7" s="770">
        <f t="shared" ref="U7:U14" si="1">H7</f>
        <v>0</v>
      </c>
      <c r="V7" s="769" t="s">
        <v>17</v>
      </c>
      <c r="W7" s="770">
        <f t="shared" ref="W7:W14" si="2">J7</f>
        <v>0</v>
      </c>
      <c r="X7" s="771"/>
      <c r="Y7" s="3209" t="s">
        <v>2549</v>
      </c>
      <c r="Z7" s="3210"/>
      <c r="AA7" s="772" t="e">
        <f>D7/F7</f>
        <v>#DIV/0!</v>
      </c>
      <c r="AB7" s="772" t="e">
        <f>D7/H7</f>
        <v>#DIV/0!</v>
      </c>
      <c r="AC7" s="772" t="e">
        <f>D7/J7</f>
        <v>#DIV/0!</v>
      </c>
    </row>
    <row r="8" spans="1:29" s="117"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9" t="s">
        <v>2552</v>
      </c>
      <c r="Q8" s="3210"/>
      <c r="R8" s="769" t="s">
        <v>17</v>
      </c>
      <c r="S8" s="770">
        <f t="shared" si="0"/>
        <v>0</v>
      </c>
      <c r="T8" s="769" t="s">
        <v>17</v>
      </c>
      <c r="U8" s="770">
        <f t="shared" si="1"/>
        <v>0</v>
      </c>
      <c r="V8" s="769" t="s">
        <v>17</v>
      </c>
      <c r="W8" s="770">
        <f t="shared" si="2"/>
        <v>0</v>
      </c>
      <c r="X8" s="771"/>
      <c r="Y8" s="3209" t="s">
        <v>2552</v>
      </c>
      <c r="Z8" s="3210"/>
      <c r="AA8" s="772" t="e">
        <f t="shared" ref="AA8:AA36" si="3">D8/F8</f>
        <v>#DIV/0!</v>
      </c>
      <c r="AB8" s="772" t="e">
        <f t="shared" ref="AB8:AB36" si="4">D8/H8</f>
        <v>#DIV/0!</v>
      </c>
      <c r="AC8" s="772" t="e">
        <f t="shared" ref="AC8:AC36" si="5">D8/J8</f>
        <v>#DIV/0!</v>
      </c>
    </row>
    <row r="9" spans="1:29" s="117" customFormat="1">
      <c r="A9" s="68" t="s">
        <v>2553</v>
      </c>
      <c r="B9" s="639" t="s">
        <v>2554</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70" t="s">
        <v>2555</v>
      </c>
      <c r="Q9" s="1797" t="str">
        <f t="shared" ref="Q9:Q14" si="6">B9</f>
        <v>用途</v>
      </c>
      <c r="R9" s="769" t="s">
        <v>17</v>
      </c>
      <c r="S9" s="770">
        <f t="shared" si="0"/>
        <v>100</v>
      </c>
      <c r="T9" s="769" t="s">
        <v>17</v>
      </c>
      <c r="U9" s="770">
        <f t="shared" si="1"/>
        <v>100</v>
      </c>
      <c r="V9" s="769" t="s">
        <v>17</v>
      </c>
      <c r="W9" s="770">
        <f t="shared" si="2"/>
        <v>100</v>
      </c>
      <c r="X9" s="771"/>
      <c r="Y9" s="3005" t="s">
        <v>2556</v>
      </c>
      <c r="Z9" s="55" t="str">
        <f t="shared" ref="Z9:Z14" si="7">Q9</f>
        <v>用途</v>
      </c>
      <c r="AA9" s="772">
        <f t="shared" si="3"/>
        <v>1</v>
      </c>
      <c r="AB9" s="772">
        <f t="shared" si="4"/>
        <v>1</v>
      </c>
      <c r="AC9" s="772">
        <f t="shared" si="5"/>
        <v>1</v>
      </c>
    </row>
    <row r="10" spans="1:29" s="426" customFormat="1" ht="27">
      <c r="A10" s="640"/>
      <c r="B10" s="641" t="s">
        <v>2557</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70"/>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70"/>
      <c r="Q11" s="1797">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7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7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85.5">
      <c r="A14" s="400" t="s">
        <v>2559</v>
      </c>
      <c r="B14" s="628" t="s">
        <v>2709</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7" t="s">
        <v>2560</v>
      </c>
      <c r="Q14" s="1812" t="str">
        <f t="shared" si="6"/>
        <v>交通便捷度</v>
      </c>
      <c r="R14" s="773" t="s">
        <v>17</v>
      </c>
      <c r="S14" s="774">
        <f t="shared" si="0"/>
        <v>100</v>
      </c>
      <c r="T14" s="773" t="s">
        <v>17</v>
      </c>
      <c r="U14" s="774">
        <f t="shared" si="1"/>
        <v>100</v>
      </c>
      <c r="V14" s="773" t="s">
        <v>17</v>
      </c>
      <c r="W14" s="774">
        <f t="shared" si="2"/>
        <v>100</v>
      </c>
      <c r="X14" s="1815"/>
      <c r="Y14" s="3177"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78"/>
      <c r="Q15" s="1812"/>
      <c r="R15" s="773"/>
      <c r="S15" s="774"/>
      <c r="T15" s="773"/>
      <c r="U15" s="774"/>
      <c r="V15" s="773"/>
      <c r="W15" s="774"/>
      <c r="X15" s="1815"/>
      <c r="Y15" s="3178"/>
      <c r="Z15" s="1816"/>
      <c r="AA15" s="1813">
        <v>1</v>
      </c>
      <c r="AB15" s="1813">
        <v>1</v>
      </c>
      <c r="AC15" s="1813">
        <v>1</v>
      </c>
    </row>
    <row r="16" spans="1:29" ht="42.75">
      <c r="A16" s="403"/>
      <c r="B16" s="630" t="s">
        <v>2688</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8"/>
      <c r="Q16" s="1812" t="str">
        <f>B16</f>
        <v>公共配套设施</v>
      </c>
      <c r="R16" s="773" t="s">
        <v>17</v>
      </c>
      <c r="S16" s="774">
        <f>F16</f>
        <v>100</v>
      </c>
      <c r="T16" s="773" t="s">
        <v>17</v>
      </c>
      <c r="U16" s="774">
        <f>H16</f>
        <v>100</v>
      </c>
      <c r="V16" s="773" t="s">
        <v>17</v>
      </c>
      <c r="W16" s="774">
        <f>J16</f>
        <v>100</v>
      </c>
      <c r="X16" s="1815"/>
      <c r="Y16" s="3178"/>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178"/>
      <c r="Q17" s="1812"/>
      <c r="R17" s="773"/>
      <c r="S17" s="774"/>
      <c r="T17" s="773"/>
      <c r="U17" s="774"/>
      <c r="V17" s="773"/>
      <c r="W17" s="774"/>
      <c r="X17" s="1815"/>
      <c r="Y17" s="3178"/>
      <c r="Z17" s="1816"/>
      <c r="AA17" s="1813">
        <v>1</v>
      </c>
      <c r="AB17" s="1813">
        <v>1</v>
      </c>
      <c r="AC17" s="1813">
        <v>1</v>
      </c>
    </row>
    <row r="18" spans="1:29" ht="28.5">
      <c r="A18" s="403"/>
      <c r="B18" s="632" t="s">
        <v>2689</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8"/>
      <c r="Q18" s="1812" t="str">
        <f>B18</f>
        <v>基础设施水平</v>
      </c>
      <c r="R18" s="773" t="s">
        <v>17</v>
      </c>
      <c r="S18" s="774">
        <f>F18</f>
        <v>100</v>
      </c>
      <c r="T18" s="773" t="s">
        <v>17</v>
      </c>
      <c r="U18" s="774">
        <f>H18</f>
        <v>100</v>
      </c>
      <c r="V18" s="773" t="s">
        <v>17</v>
      </c>
      <c r="W18" s="774">
        <f>J18</f>
        <v>100</v>
      </c>
      <c r="X18" s="1815"/>
      <c r="Y18" s="3178"/>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178"/>
      <c r="Q19" s="1812"/>
      <c r="R19" s="773"/>
      <c r="S19" s="774"/>
      <c r="T19" s="773"/>
      <c r="U19" s="774"/>
      <c r="V19" s="773"/>
      <c r="W19" s="774"/>
      <c r="X19" s="1815"/>
      <c r="Y19" s="3178"/>
      <c r="Z19" s="1816"/>
      <c r="AA19" s="1813">
        <v>1</v>
      </c>
      <c r="AB19" s="1813">
        <v>1</v>
      </c>
      <c r="AC19" s="1813">
        <v>1</v>
      </c>
    </row>
    <row r="20" spans="1:29" ht="57">
      <c r="A20" s="403"/>
      <c r="B20" s="630" t="s">
        <v>2710</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8"/>
      <c r="Q20" s="1812" t="str">
        <f>B20</f>
        <v>自然及人文环境</v>
      </c>
      <c r="R20" s="773" t="s">
        <v>17</v>
      </c>
      <c r="S20" s="774">
        <f>F20</f>
        <v>100</v>
      </c>
      <c r="T20" s="773" t="s">
        <v>17</v>
      </c>
      <c r="U20" s="774">
        <f>H20</f>
        <v>100</v>
      </c>
      <c r="V20" s="773" t="s">
        <v>17</v>
      </c>
      <c r="W20" s="774">
        <f>J20</f>
        <v>100</v>
      </c>
      <c r="X20" s="1815"/>
      <c r="Y20" s="317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78"/>
      <c r="Q21" s="1812"/>
      <c r="R21" s="773"/>
      <c r="S21" s="774"/>
      <c r="T21" s="773"/>
      <c r="U21" s="774"/>
      <c r="V21" s="773"/>
      <c r="W21" s="774"/>
      <c r="X21" s="1815"/>
      <c r="Y21" s="3178"/>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8"/>
      <c r="Q22" s="1812" t="str">
        <f>B22</f>
        <v>楼层</v>
      </c>
      <c r="R22" s="773" t="s">
        <v>17</v>
      </c>
      <c r="S22" s="774">
        <f>F22</f>
        <v>100</v>
      </c>
      <c r="T22" s="773" t="s">
        <v>17</v>
      </c>
      <c r="U22" s="774">
        <f>H22</f>
        <v>100</v>
      </c>
      <c r="V22" s="773" t="s">
        <v>17</v>
      </c>
      <c r="W22" s="774">
        <f>J22</f>
        <v>100</v>
      </c>
      <c r="X22" s="1815"/>
      <c r="Y22" s="317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8"/>
      <c r="Q23" s="1812">
        <f>B23</f>
        <v>111</v>
      </c>
      <c r="R23" s="773" t="s">
        <v>17</v>
      </c>
      <c r="S23" s="774">
        <f>F23</f>
        <v>100</v>
      </c>
      <c r="T23" s="773" t="s">
        <v>17</v>
      </c>
      <c r="U23" s="774">
        <f>H23</f>
        <v>100</v>
      </c>
      <c r="V23" s="773" t="s">
        <v>17</v>
      </c>
      <c r="W23" s="774">
        <f>J23</f>
        <v>100</v>
      </c>
      <c r="X23" s="1815"/>
      <c r="Y23" s="317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8"/>
      <c r="Q24" s="1812">
        <f t="shared" ref="Q24:Q36" si="11">B24</f>
        <v>111</v>
      </c>
      <c r="R24" s="773" t="s">
        <v>17</v>
      </c>
      <c r="S24" s="774">
        <f>F24</f>
        <v>100</v>
      </c>
      <c r="T24" s="773" t="s">
        <v>17</v>
      </c>
      <c r="U24" s="774">
        <f>H24</f>
        <v>100</v>
      </c>
      <c r="V24" s="773" t="s">
        <v>17</v>
      </c>
      <c r="W24" s="774">
        <f>J24</f>
        <v>100</v>
      </c>
      <c r="X24" s="1815"/>
      <c r="Y24" s="3178"/>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8"/>
      <c r="Q25" s="1797">
        <f t="shared" si="11"/>
        <v>111</v>
      </c>
      <c r="R25" s="769" t="s">
        <v>17</v>
      </c>
      <c r="S25" s="770">
        <f>F25</f>
        <v>100</v>
      </c>
      <c r="T25" s="769" t="s">
        <v>17</v>
      </c>
      <c r="U25" s="770">
        <f>H25</f>
        <v>100</v>
      </c>
      <c r="V25" s="769" t="s">
        <v>17</v>
      </c>
      <c r="W25" s="770">
        <f>J25</f>
        <v>100</v>
      </c>
      <c r="X25" s="771"/>
      <c r="Y25" s="3178"/>
      <c r="Z25" s="55">
        <f>Q25</f>
        <v>111</v>
      </c>
      <c r="AA25" s="1813">
        <f>D25/F25</f>
        <v>1</v>
      </c>
      <c r="AB25" s="1813">
        <f>D25/H25</f>
        <v>1</v>
      </c>
      <c r="AC25" s="1813">
        <f>D25/J25</f>
        <v>1</v>
      </c>
    </row>
    <row r="26" spans="1:29" ht="15">
      <c r="A26" s="651" t="s">
        <v>2563</v>
      </c>
      <c r="B26" s="70" t="s">
        <v>2712</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8"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2"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2"/>
      <c r="Q27" s="775" t="str">
        <f t="shared" si="11"/>
        <v>项目停车位配比</v>
      </c>
      <c r="R27" s="776" t="s">
        <v>17</v>
      </c>
      <c r="S27" s="777">
        <f t="shared" si="12"/>
        <v>100</v>
      </c>
      <c r="T27" s="776" t="s">
        <v>17</v>
      </c>
      <c r="U27" s="777">
        <f t="shared" si="13"/>
        <v>100</v>
      </c>
      <c r="V27" s="776" t="s">
        <v>17</v>
      </c>
      <c r="W27" s="777">
        <f t="shared" si="14"/>
        <v>100</v>
      </c>
      <c r="X27" s="778"/>
      <c r="Y27" s="3182"/>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2"/>
      <c r="Q28" s="1812" t="str">
        <f t="shared" si="11"/>
        <v>公共部分装修</v>
      </c>
      <c r="R28" s="773" t="s">
        <v>17</v>
      </c>
      <c r="S28" s="774">
        <f t="shared" si="12"/>
        <v>100</v>
      </c>
      <c r="T28" s="773" t="s">
        <v>17</v>
      </c>
      <c r="U28" s="774">
        <f t="shared" si="13"/>
        <v>100</v>
      </c>
      <c r="V28" s="773" t="s">
        <v>17</v>
      </c>
      <c r="W28" s="774">
        <f t="shared" si="14"/>
        <v>100</v>
      </c>
      <c r="X28" s="1815"/>
      <c r="Y28" s="3182"/>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2"/>
      <c r="Q29" s="1812" t="str">
        <f t="shared" si="11"/>
        <v>成新率</v>
      </c>
      <c r="R29" s="773" t="s">
        <v>17</v>
      </c>
      <c r="S29" s="774" t="e">
        <f t="shared" si="12"/>
        <v>#N/A</v>
      </c>
      <c r="T29" s="773" t="s">
        <v>17</v>
      </c>
      <c r="U29" s="774" t="e">
        <f t="shared" si="13"/>
        <v>#N/A</v>
      </c>
      <c r="V29" s="773" t="s">
        <v>17</v>
      </c>
      <c r="W29" s="774" t="e">
        <f t="shared" si="14"/>
        <v>#N/A</v>
      </c>
      <c r="X29" s="1815"/>
      <c r="Y29" s="3182"/>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2"/>
      <c r="Q30" s="1812" t="str">
        <f t="shared" si="11"/>
        <v>物业等级</v>
      </c>
      <c r="R30" s="773" t="s">
        <v>17</v>
      </c>
      <c r="S30" s="774">
        <f t="shared" si="12"/>
        <v>100</v>
      </c>
      <c r="T30" s="773" t="s">
        <v>17</v>
      </c>
      <c r="U30" s="774">
        <f t="shared" si="13"/>
        <v>100</v>
      </c>
      <c r="V30" s="773" t="s">
        <v>17</v>
      </c>
      <c r="W30" s="774">
        <f t="shared" si="14"/>
        <v>100</v>
      </c>
      <c r="X30" s="1815"/>
      <c r="Y30" s="3182"/>
      <c r="Z30" s="1816" t="str">
        <f t="shared" si="15"/>
        <v>物业等级</v>
      </c>
      <c r="AA30" s="1813">
        <f t="shared" si="3"/>
        <v>1</v>
      </c>
      <c r="AB30" s="1813">
        <f t="shared" si="4"/>
        <v>1</v>
      </c>
      <c r="AC30" s="1813">
        <f t="shared" si="5"/>
        <v>1</v>
      </c>
    </row>
    <row r="31" spans="1:29" s="117" customFormat="1" ht="15">
      <c r="A31" s="657"/>
      <c r="B31" s="653"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2"/>
      <c r="Q31" s="1797" t="str">
        <f t="shared" si="11"/>
        <v>停车位面积</v>
      </c>
      <c r="R31" s="769" t="s">
        <v>17</v>
      </c>
      <c r="S31" s="770" t="e">
        <f t="shared" si="12"/>
        <v>#N/A</v>
      </c>
      <c r="T31" s="769" t="s">
        <v>17</v>
      </c>
      <c r="U31" s="770" t="e">
        <f t="shared" si="13"/>
        <v>#N/A</v>
      </c>
      <c r="V31" s="769" t="s">
        <v>17</v>
      </c>
      <c r="W31" s="770" t="e">
        <f t="shared" si="14"/>
        <v>#N/A</v>
      </c>
      <c r="X31" s="771"/>
      <c r="Y31" s="3182"/>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2" t="s">
        <v>2565</v>
      </c>
      <c r="Q32" s="1812" t="str">
        <f t="shared" si="11"/>
        <v>车位类型</v>
      </c>
      <c r="R32" s="773" t="s">
        <v>17</v>
      </c>
      <c r="S32" s="774">
        <f t="shared" si="12"/>
        <v>100</v>
      </c>
      <c r="T32" s="773" t="s">
        <v>17</v>
      </c>
      <c r="U32" s="774">
        <f t="shared" si="13"/>
        <v>100</v>
      </c>
      <c r="V32" s="773" t="s">
        <v>17</v>
      </c>
      <c r="W32" s="774">
        <f t="shared" si="14"/>
        <v>100</v>
      </c>
      <c r="X32" s="1815"/>
      <c r="Y32" s="3182"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2"/>
      <c r="Q33" s="1812" t="str">
        <f t="shared" si="11"/>
        <v>是否直接入户</v>
      </c>
      <c r="R33" s="773" t="s">
        <v>17</v>
      </c>
      <c r="S33" s="774">
        <f t="shared" si="12"/>
        <v>100</v>
      </c>
      <c r="T33" s="773" t="s">
        <v>17</v>
      </c>
      <c r="U33" s="774">
        <f t="shared" si="13"/>
        <v>100</v>
      </c>
      <c r="V33" s="773" t="s">
        <v>17</v>
      </c>
      <c r="W33" s="774">
        <f t="shared" si="14"/>
        <v>100</v>
      </c>
      <c r="X33" s="1815"/>
      <c r="Y33" s="3182"/>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2"/>
      <c r="Q34" s="1812">
        <f t="shared" si="11"/>
        <v>111</v>
      </c>
      <c r="R34" s="773" t="s">
        <v>17</v>
      </c>
      <c r="S34" s="774">
        <f t="shared" si="12"/>
        <v>100</v>
      </c>
      <c r="T34" s="773" t="s">
        <v>17</v>
      </c>
      <c r="U34" s="774">
        <f t="shared" si="13"/>
        <v>100</v>
      </c>
      <c r="V34" s="773" t="s">
        <v>17</v>
      </c>
      <c r="W34" s="774">
        <f t="shared" si="14"/>
        <v>100</v>
      </c>
      <c r="X34" s="1815"/>
      <c r="Y34" s="3182"/>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2"/>
      <c r="Q35" s="775">
        <f t="shared" si="11"/>
        <v>111</v>
      </c>
      <c r="R35" s="776" t="s">
        <v>17</v>
      </c>
      <c r="S35" s="777">
        <f t="shared" si="12"/>
        <v>100</v>
      </c>
      <c r="T35" s="776" t="s">
        <v>17</v>
      </c>
      <c r="U35" s="777">
        <f t="shared" si="13"/>
        <v>100</v>
      </c>
      <c r="V35" s="776" t="s">
        <v>17</v>
      </c>
      <c r="W35" s="777">
        <f t="shared" si="14"/>
        <v>100</v>
      </c>
      <c r="X35" s="778"/>
      <c r="Y35" s="3182"/>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2"/>
      <c r="Q36" s="1812">
        <f t="shared" si="11"/>
        <v>111</v>
      </c>
      <c r="R36" s="773" t="s">
        <v>17</v>
      </c>
      <c r="S36" s="774">
        <f t="shared" si="12"/>
        <v>100</v>
      </c>
      <c r="T36" s="773" t="s">
        <v>17</v>
      </c>
      <c r="U36" s="774">
        <f t="shared" si="13"/>
        <v>100</v>
      </c>
      <c r="V36" s="773" t="s">
        <v>17</v>
      </c>
      <c r="W36" s="774">
        <f t="shared" si="14"/>
        <v>100</v>
      </c>
      <c r="X36" s="1815"/>
      <c r="Y36" s="3182"/>
      <c r="Z36" s="1816">
        <f t="shared" si="15"/>
        <v>111</v>
      </c>
      <c r="AA36" s="1813">
        <f t="shared" si="3"/>
        <v>1</v>
      </c>
      <c r="AB36" s="1813">
        <f t="shared" si="4"/>
        <v>1</v>
      </c>
      <c r="AC36" s="1813">
        <f t="shared" si="5"/>
        <v>1</v>
      </c>
    </row>
    <row r="37" spans="1:29" ht="15">
      <c r="A37" s="478" t="s">
        <v>2720</v>
      </c>
      <c r="B37" s="2701" t="s">
        <v>2721</v>
      </c>
      <c r="C37" s="1409" t="s">
        <v>1</v>
      </c>
      <c r="D37" s="1410"/>
      <c r="E37" s="1411"/>
      <c r="F37" s="1412"/>
      <c r="G37" s="1413"/>
      <c r="H37" s="1414"/>
      <c r="I37" s="1411"/>
      <c r="J37" s="1414"/>
      <c r="K37" s="618"/>
      <c r="L37" s="1145"/>
      <c r="M37" s="1146"/>
      <c r="N37" s="1133"/>
      <c r="O37" s="1146"/>
      <c r="P37" s="3170" t="str">
        <f>A37</f>
        <v>成交单价</v>
      </c>
      <c r="Q37" s="3170"/>
      <c r="R37" s="3171">
        <f>E37</f>
        <v>0</v>
      </c>
      <c r="S37" s="3171"/>
      <c r="T37" s="3171">
        <f>G37</f>
        <v>0</v>
      </c>
      <c r="U37" s="3171"/>
      <c r="V37" s="3171">
        <f>I37</f>
        <v>0</v>
      </c>
      <c r="W37" s="3171"/>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72" t="str">
        <f>A39</f>
        <v>估价对象XX用房的比较价值（楼面单价，元/平方米）</v>
      </c>
      <c r="Q39" s="3173"/>
      <c r="R39" s="3174" t="e">
        <f>IF(F1="售价",ROUND(AVERAGE(R38:V38),0),ROUND(AVERAGE(R38:V38),1))</f>
        <v>#DIV/0!</v>
      </c>
      <c r="S39" s="3174"/>
      <c r="T39" s="3174"/>
      <c r="U39" s="3174"/>
      <c r="V39" s="3174"/>
      <c r="W39" s="317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99" t="s">
        <v>2647</v>
      </c>
      <c r="S4" s="3200"/>
      <c r="T4" s="3199" t="s">
        <v>2648</v>
      </c>
      <c r="U4" s="3200"/>
      <c r="V4" s="3184" t="s">
        <v>2649</v>
      </c>
      <c r="W4" s="3184"/>
      <c r="X4" s="1815"/>
      <c r="Y4" s="3199" t="s">
        <v>2651</v>
      </c>
      <c r="Z4" s="3200"/>
      <c r="AA4" s="3186" t="s">
        <v>2647</v>
      </c>
      <c r="AB4" s="3187" t="s">
        <v>2648</v>
      </c>
      <c r="AC4" s="3186" t="s">
        <v>2649</v>
      </c>
    </row>
    <row r="5" spans="1:29" ht="15">
      <c r="A5" s="403"/>
      <c r="B5" s="404"/>
      <c r="C5" s="3207" t="s">
        <v>2542</v>
      </c>
      <c r="D5" s="3208"/>
      <c r="E5" s="3214" t="s">
        <v>2543</v>
      </c>
      <c r="F5" s="3215"/>
      <c r="G5" s="3207" t="s">
        <v>2544</v>
      </c>
      <c r="H5" s="3208"/>
      <c r="I5" s="3207" t="s">
        <v>2545</v>
      </c>
      <c r="J5" s="3208"/>
      <c r="K5" s="609"/>
      <c r="L5" s="1132"/>
      <c r="M5" s="1133"/>
      <c r="N5" s="1133"/>
      <c r="O5" s="1133"/>
      <c r="P5" s="3195"/>
      <c r="Q5" s="3196"/>
      <c r="R5" s="3201"/>
      <c r="S5" s="3202"/>
      <c r="T5" s="3201"/>
      <c r="U5" s="3202"/>
      <c r="V5" s="3184"/>
      <c r="W5" s="3184"/>
      <c r="X5" s="1815"/>
      <c r="Y5" s="3201"/>
      <c r="Z5" s="3202"/>
      <c r="AA5" s="3187"/>
      <c r="AB5" s="3187"/>
      <c r="AC5" s="3187"/>
    </row>
    <row r="6" spans="1:29" ht="15.75" thickBot="1">
      <c r="A6" s="405"/>
      <c r="B6" s="406"/>
      <c r="C6" s="3205" t="s">
        <v>2546</v>
      </c>
      <c r="D6" s="3206"/>
      <c r="E6" s="3212" t="s">
        <v>2546</v>
      </c>
      <c r="F6" s="3213"/>
      <c r="G6" s="3205" t="s">
        <v>2546</v>
      </c>
      <c r="H6" s="3206"/>
      <c r="I6" s="3205" t="s">
        <v>2546</v>
      </c>
      <c r="J6" s="3206"/>
      <c r="K6" s="609" t="s">
        <v>2547</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7" t="s">
        <v>2548</v>
      </c>
      <c r="B7" s="408"/>
      <c r="C7" s="409">
        <f>'数据-取费表'!B2</f>
        <v>43312</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209" t="s">
        <v>2549</v>
      </c>
      <c r="Q7" s="3211"/>
      <c r="R7" s="769" t="s">
        <v>17</v>
      </c>
      <c r="S7" s="770">
        <f t="shared" ref="S7:S14" si="0">F7</f>
        <v>0</v>
      </c>
      <c r="T7" s="769" t="s">
        <v>17</v>
      </c>
      <c r="U7" s="770">
        <f t="shared" ref="U7:U14" si="1">H7</f>
        <v>0</v>
      </c>
      <c r="V7" s="769" t="s">
        <v>17</v>
      </c>
      <c r="W7" s="770">
        <f t="shared" ref="W7:W14" si="2">J7</f>
        <v>0</v>
      </c>
      <c r="X7" s="771"/>
      <c r="Y7" s="3209" t="s">
        <v>2549</v>
      </c>
      <c r="Z7" s="3210"/>
      <c r="AA7" s="772" t="e">
        <f>D7/F7</f>
        <v>#DIV/0!</v>
      </c>
      <c r="AB7" s="772" t="e">
        <f>D7/H7</f>
        <v>#DIV/0!</v>
      </c>
      <c r="AC7" s="772" t="e">
        <f>D7/J7</f>
        <v>#DIV/0!</v>
      </c>
    </row>
    <row r="8" spans="1:29" s="117"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9" t="s">
        <v>2552</v>
      </c>
      <c r="Q8" s="3210"/>
      <c r="R8" s="769" t="s">
        <v>17</v>
      </c>
      <c r="S8" s="770">
        <f t="shared" si="0"/>
        <v>0</v>
      </c>
      <c r="T8" s="769" t="s">
        <v>17</v>
      </c>
      <c r="U8" s="770">
        <f t="shared" si="1"/>
        <v>0</v>
      </c>
      <c r="V8" s="769" t="s">
        <v>17</v>
      </c>
      <c r="W8" s="770">
        <f t="shared" si="2"/>
        <v>0</v>
      </c>
      <c r="X8" s="771"/>
      <c r="Y8" s="3209" t="s">
        <v>2552</v>
      </c>
      <c r="Z8" s="3210"/>
      <c r="AA8" s="772" t="e">
        <f t="shared" ref="AA8:AA34" si="3">D8/F8</f>
        <v>#DIV/0!</v>
      </c>
      <c r="AB8" s="772" t="e">
        <f t="shared" ref="AB8:AB34" si="4">D8/H8</f>
        <v>#DIV/0!</v>
      </c>
      <c r="AC8" s="772" t="e">
        <f t="shared" ref="AC8:AC34" si="5">D8/J8</f>
        <v>#DIV/0!</v>
      </c>
    </row>
    <row r="9" spans="1:29" s="117" customFormat="1">
      <c r="A9" s="414" t="s">
        <v>2553</v>
      </c>
      <c r="B9" s="71" t="s">
        <v>2554</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70" t="s">
        <v>2555</v>
      </c>
      <c r="Q9" s="1797" t="str">
        <f t="shared" ref="Q9:Q14" si="6">B9</f>
        <v>用途</v>
      </c>
      <c r="R9" s="769" t="s">
        <v>17</v>
      </c>
      <c r="S9" s="770">
        <f t="shared" si="0"/>
        <v>100</v>
      </c>
      <c r="T9" s="769" t="s">
        <v>17</v>
      </c>
      <c r="U9" s="770">
        <f t="shared" si="1"/>
        <v>100</v>
      </c>
      <c r="V9" s="769" t="s">
        <v>17</v>
      </c>
      <c r="W9" s="770">
        <f t="shared" si="2"/>
        <v>100</v>
      </c>
      <c r="X9" s="771"/>
      <c r="Y9" s="3005" t="s">
        <v>2556</v>
      </c>
      <c r="Z9" s="55" t="str">
        <f t="shared" ref="Z9:Z14" si="7">Q9</f>
        <v>用途</v>
      </c>
      <c r="AA9" s="772">
        <f t="shared" si="3"/>
        <v>1</v>
      </c>
      <c r="AB9" s="772">
        <f t="shared" si="4"/>
        <v>1</v>
      </c>
      <c r="AC9" s="772">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70"/>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2606">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70"/>
      <c r="Q11" s="1797">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430"/>
      <c r="B12" s="2606">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7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17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85.5">
      <c r="A14" s="439" t="s">
        <v>2559</v>
      </c>
      <c r="B14" s="69" t="s">
        <v>2709</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7" t="s">
        <v>2560</v>
      </c>
      <c r="Q14" s="1812" t="str">
        <f t="shared" si="6"/>
        <v>交通便捷度</v>
      </c>
      <c r="R14" s="773" t="s">
        <v>17</v>
      </c>
      <c r="S14" s="774">
        <f t="shared" si="0"/>
        <v>100</v>
      </c>
      <c r="T14" s="773" t="s">
        <v>17</v>
      </c>
      <c r="U14" s="774">
        <f t="shared" si="1"/>
        <v>100</v>
      </c>
      <c r="V14" s="773" t="s">
        <v>17</v>
      </c>
      <c r="W14" s="774">
        <f t="shared" si="2"/>
        <v>100</v>
      </c>
      <c r="X14" s="1815"/>
      <c r="Y14" s="3177"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78"/>
      <c r="Q15" s="1812"/>
      <c r="R15" s="773"/>
      <c r="S15" s="774"/>
      <c r="T15" s="773"/>
      <c r="U15" s="774"/>
      <c r="V15" s="773"/>
      <c r="W15" s="774"/>
      <c r="X15" s="1815"/>
      <c r="Y15" s="3178"/>
      <c r="Z15" s="1816"/>
      <c r="AA15" s="1813">
        <v>1</v>
      </c>
      <c r="AB15" s="1813">
        <v>1</v>
      </c>
      <c r="AC15" s="1813">
        <v>1</v>
      </c>
    </row>
    <row r="16" spans="1:29" ht="42.75">
      <c r="A16" s="427"/>
      <c r="B16" s="450" t="s">
        <v>2688</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8"/>
      <c r="Q16" s="1812" t="str">
        <f>B16</f>
        <v>公共配套设施</v>
      </c>
      <c r="R16" s="773" t="s">
        <v>17</v>
      </c>
      <c r="S16" s="774">
        <f>F16</f>
        <v>100</v>
      </c>
      <c r="T16" s="773" t="s">
        <v>17</v>
      </c>
      <c r="U16" s="774">
        <f>H16</f>
        <v>100</v>
      </c>
      <c r="V16" s="773" t="s">
        <v>17</v>
      </c>
      <c r="W16" s="774">
        <f>J16</f>
        <v>100</v>
      </c>
      <c r="X16" s="1815"/>
      <c r="Y16" s="3178"/>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178"/>
      <c r="Q17" s="1812"/>
      <c r="R17" s="773"/>
      <c r="S17" s="774"/>
      <c r="T17" s="773"/>
      <c r="U17" s="774"/>
      <c r="V17" s="773"/>
      <c r="W17" s="774"/>
      <c r="X17" s="1815"/>
      <c r="Y17" s="3178"/>
      <c r="Z17" s="1816"/>
      <c r="AA17" s="1813">
        <v>1</v>
      </c>
      <c r="AB17" s="1813">
        <v>1</v>
      </c>
      <c r="AC17" s="1813">
        <v>1</v>
      </c>
    </row>
    <row r="18" spans="1:29" ht="28.5">
      <c r="A18" s="427"/>
      <c r="B18" s="1386" t="s">
        <v>2689</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8"/>
      <c r="Q18" s="1812" t="str">
        <f>B18</f>
        <v>基础设施水平</v>
      </c>
      <c r="R18" s="773" t="s">
        <v>17</v>
      </c>
      <c r="S18" s="774">
        <f>F18</f>
        <v>100</v>
      </c>
      <c r="T18" s="773" t="s">
        <v>17</v>
      </c>
      <c r="U18" s="774">
        <f>H18</f>
        <v>100</v>
      </c>
      <c r="V18" s="773" t="s">
        <v>17</v>
      </c>
      <c r="W18" s="774">
        <f>J18</f>
        <v>100</v>
      </c>
      <c r="X18" s="1815"/>
      <c r="Y18" s="3178"/>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178"/>
      <c r="Q19" s="1812"/>
      <c r="R19" s="773"/>
      <c r="S19" s="774"/>
      <c r="T19" s="773"/>
      <c r="U19" s="774"/>
      <c r="V19" s="773"/>
      <c r="W19" s="774"/>
      <c r="X19" s="1815"/>
      <c r="Y19" s="3178"/>
      <c r="Z19" s="1816"/>
      <c r="AA19" s="1813">
        <v>1</v>
      </c>
      <c r="AB19" s="1813">
        <v>1</v>
      </c>
      <c r="AC19" s="1813">
        <v>1</v>
      </c>
    </row>
    <row r="20" spans="1:29" ht="57">
      <c r="A20" s="427"/>
      <c r="B20" s="450" t="s">
        <v>2710</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8"/>
      <c r="Q20" s="1812" t="str">
        <f>B20</f>
        <v>自然及人文环境</v>
      </c>
      <c r="R20" s="773" t="s">
        <v>17</v>
      </c>
      <c r="S20" s="774">
        <f>F20</f>
        <v>100</v>
      </c>
      <c r="T20" s="773" t="s">
        <v>17</v>
      </c>
      <c r="U20" s="774">
        <f>H20</f>
        <v>100</v>
      </c>
      <c r="V20" s="773" t="s">
        <v>17</v>
      </c>
      <c r="W20" s="774">
        <f>J20</f>
        <v>100</v>
      </c>
      <c r="X20" s="1815"/>
      <c r="Y20" s="317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78"/>
      <c r="Q21" s="1812"/>
      <c r="R21" s="773"/>
      <c r="S21" s="774"/>
      <c r="T21" s="773"/>
      <c r="U21" s="774"/>
      <c r="V21" s="773"/>
      <c r="W21" s="774"/>
      <c r="X21" s="1815"/>
      <c r="Y21" s="3178"/>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8"/>
      <c r="Q22" s="1812" t="str">
        <f>B22</f>
        <v>楼层</v>
      </c>
      <c r="R22" s="773" t="s">
        <v>17</v>
      </c>
      <c r="S22" s="774">
        <f>F22</f>
        <v>100</v>
      </c>
      <c r="T22" s="773" t="s">
        <v>17</v>
      </c>
      <c r="U22" s="774">
        <f>H22</f>
        <v>100</v>
      </c>
      <c r="V22" s="773" t="s">
        <v>17</v>
      </c>
      <c r="W22" s="774">
        <f>J22</f>
        <v>100</v>
      </c>
      <c r="X22" s="1815"/>
      <c r="Y22" s="3178"/>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8"/>
      <c r="Q23" s="1812">
        <f>B23</f>
        <v>111</v>
      </c>
      <c r="R23" s="773" t="s">
        <v>17</v>
      </c>
      <c r="S23" s="774">
        <f>F23</f>
        <v>100</v>
      </c>
      <c r="T23" s="773" t="s">
        <v>17</v>
      </c>
      <c r="U23" s="774">
        <f>H23</f>
        <v>100</v>
      </c>
      <c r="V23" s="773" t="s">
        <v>17</v>
      </c>
      <c r="W23" s="774">
        <f>J23</f>
        <v>100</v>
      </c>
      <c r="X23" s="1815"/>
      <c r="Y23" s="3178"/>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8"/>
      <c r="Q24" s="1812">
        <f t="shared" ref="Q24:Q34" si="11">B24</f>
        <v>111</v>
      </c>
      <c r="R24" s="773" t="s">
        <v>17</v>
      </c>
      <c r="S24" s="774">
        <f>F24</f>
        <v>100</v>
      </c>
      <c r="T24" s="773" t="s">
        <v>17</v>
      </c>
      <c r="U24" s="774">
        <f>H24</f>
        <v>100</v>
      </c>
      <c r="V24" s="773" t="s">
        <v>17</v>
      </c>
      <c r="W24" s="774">
        <f>J24</f>
        <v>100</v>
      </c>
      <c r="X24" s="1815"/>
      <c r="Y24" s="3178"/>
      <c r="Z24" s="1816">
        <f>Q24</f>
        <v>111</v>
      </c>
      <c r="AA24" s="1813">
        <f t="shared" si="3"/>
        <v>1</v>
      </c>
      <c r="AB24" s="1813">
        <f t="shared" si="4"/>
        <v>1</v>
      </c>
      <c r="AC24" s="1813">
        <f t="shared" si="5"/>
        <v>1</v>
      </c>
    </row>
    <row r="25" spans="1:29" s="117"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178"/>
      <c r="Q25" s="1797">
        <f t="shared" si="11"/>
        <v>111</v>
      </c>
      <c r="R25" s="769" t="s">
        <v>17</v>
      </c>
      <c r="S25" s="770">
        <f>F25</f>
        <v>100</v>
      </c>
      <c r="T25" s="769" t="s">
        <v>17</v>
      </c>
      <c r="U25" s="770">
        <f>H25</f>
        <v>100</v>
      </c>
      <c r="V25" s="769" t="s">
        <v>17</v>
      </c>
      <c r="W25" s="770">
        <f>J25</f>
        <v>100</v>
      </c>
      <c r="X25" s="771"/>
      <c r="Y25" s="3178"/>
      <c r="Z25" s="55">
        <f>Q25</f>
        <v>111</v>
      </c>
      <c r="AA25" s="1813">
        <f>D25/F25</f>
        <v>1</v>
      </c>
      <c r="AB25" s="1813">
        <f>D25/H25</f>
        <v>1</v>
      </c>
      <c r="AC25" s="1813">
        <f>D25/J25</f>
        <v>1</v>
      </c>
    </row>
    <row r="26" spans="1:29" ht="15">
      <c r="A26" s="465" t="s">
        <v>2563</v>
      </c>
      <c r="B26" s="71" t="s">
        <v>2714</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58"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2"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2"/>
      <c r="Q27" s="775" t="str">
        <f t="shared" si="11"/>
        <v>成新率</v>
      </c>
      <c r="R27" s="776" t="s">
        <v>17</v>
      </c>
      <c r="S27" s="777" t="e">
        <f t="shared" si="12"/>
        <v>#N/A</v>
      </c>
      <c r="T27" s="776" t="s">
        <v>17</v>
      </c>
      <c r="U27" s="777" t="e">
        <f t="shared" si="13"/>
        <v>#N/A</v>
      </c>
      <c r="V27" s="776" t="s">
        <v>17</v>
      </c>
      <c r="W27" s="777" t="e">
        <f t="shared" si="14"/>
        <v>#N/A</v>
      </c>
      <c r="X27" s="778"/>
      <c r="Y27" s="3182"/>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2"/>
      <c r="Q28" s="1812" t="str">
        <f t="shared" si="11"/>
        <v>物业等级</v>
      </c>
      <c r="R28" s="773" t="s">
        <v>17</v>
      </c>
      <c r="S28" s="774">
        <f t="shared" si="12"/>
        <v>100</v>
      </c>
      <c r="T28" s="773" t="s">
        <v>17</v>
      </c>
      <c r="U28" s="774">
        <f t="shared" si="13"/>
        <v>100</v>
      </c>
      <c r="V28" s="773" t="s">
        <v>17</v>
      </c>
      <c r="W28" s="774">
        <f t="shared" si="14"/>
        <v>100</v>
      </c>
      <c r="X28" s="1815"/>
      <c r="Y28" s="3182"/>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2"/>
      <c r="Q29" s="1812" t="str">
        <f t="shared" si="11"/>
        <v>有无电梯</v>
      </c>
      <c r="R29" s="773" t="s">
        <v>17</v>
      </c>
      <c r="S29" s="774">
        <f t="shared" si="12"/>
        <v>100</v>
      </c>
      <c r="T29" s="773" t="s">
        <v>17</v>
      </c>
      <c r="U29" s="774">
        <f t="shared" si="13"/>
        <v>100</v>
      </c>
      <c r="V29" s="773" t="s">
        <v>17</v>
      </c>
      <c r="W29" s="774">
        <f t="shared" si="14"/>
        <v>100</v>
      </c>
      <c r="X29" s="1815"/>
      <c r="Y29" s="3182"/>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2"/>
      <c r="Q30" s="1812" t="str">
        <f t="shared" si="11"/>
        <v>建筑面积</v>
      </c>
      <c r="R30" s="773" t="s">
        <v>17</v>
      </c>
      <c r="S30" s="774" t="e">
        <f t="shared" si="12"/>
        <v>#N/A</v>
      </c>
      <c r="T30" s="773" t="s">
        <v>17</v>
      </c>
      <c r="U30" s="774" t="e">
        <f t="shared" si="13"/>
        <v>#N/A</v>
      </c>
      <c r="V30" s="773" t="s">
        <v>17</v>
      </c>
      <c r="W30" s="774" t="e">
        <f t="shared" si="14"/>
        <v>#N/A</v>
      </c>
      <c r="X30" s="1815"/>
      <c r="Y30" s="3182"/>
      <c r="Z30" s="1816" t="str">
        <f t="shared" si="15"/>
        <v>建筑面积</v>
      </c>
      <c r="AA30" s="1813" t="e">
        <f t="shared" si="3"/>
        <v>#N/A</v>
      </c>
      <c r="AB30" s="1813" t="e">
        <f t="shared" si="4"/>
        <v>#N/A</v>
      </c>
      <c r="AC30" s="1813" t="e">
        <f t="shared" si="5"/>
        <v>#N/A</v>
      </c>
    </row>
    <row r="31" spans="1:29" s="117" customFormat="1" ht="15">
      <c r="A31" s="472"/>
      <c r="B31" s="421" t="s">
        <v>2739</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2"/>
      <c r="Q31" s="1797" t="str">
        <f t="shared" si="11"/>
        <v>是否封闭</v>
      </c>
      <c r="R31" s="769" t="s">
        <v>17</v>
      </c>
      <c r="S31" s="770">
        <f t="shared" si="12"/>
        <v>100</v>
      </c>
      <c r="T31" s="769" t="s">
        <v>17</v>
      </c>
      <c r="U31" s="770">
        <f t="shared" si="13"/>
        <v>100</v>
      </c>
      <c r="V31" s="769" t="s">
        <v>17</v>
      </c>
      <c r="W31" s="770">
        <f t="shared" si="14"/>
        <v>100</v>
      </c>
      <c r="X31" s="771"/>
      <c r="Y31" s="3182"/>
      <c r="Z31" s="55"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2" t="s">
        <v>2565</v>
      </c>
      <c r="Q32" s="1812">
        <f t="shared" si="11"/>
        <v>111</v>
      </c>
      <c r="R32" s="773" t="s">
        <v>17</v>
      </c>
      <c r="S32" s="774">
        <f t="shared" si="12"/>
        <v>100</v>
      </c>
      <c r="T32" s="773" t="s">
        <v>17</v>
      </c>
      <c r="U32" s="774">
        <f t="shared" si="13"/>
        <v>100</v>
      </c>
      <c r="V32" s="773" t="s">
        <v>17</v>
      </c>
      <c r="W32" s="774">
        <f t="shared" si="14"/>
        <v>100</v>
      </c>
      <c r="X32" s="1815"/>
      <c r="Y32" s="3182" t="s">
        <v>2565</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2"/>
      <c r="Q33" s="1812">
        <f t="shared" si="11"/>
        <v>111</v>
      </c>
      <c r="R33" s="773" t="s">
        <v>17</v>
      </c>
      <c r="S33" s="774">
        <f t="shared" si="12"/>
        <v>100</v>
      </c>
      <c r="T33" s="773" t="s">
        <v>17</v>
      </c>
      <c r="U33" s="774">
        <f t="shared" si="13"/>
        <v>100</v>
      </c>
      <c r="V33" s="773" t="s">
        <v>17</v>
      </c>
      <c r="W33" s="774">
        <f t="shared" si="14"/>
        <v>100</v>
      </c>
      <c r="X33" s="1815"/>
      <c r="Y33" s="3182"/>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182"/>
      <c r="Q34" s="1812">
        <f t="shared" si="11"/>
        <v>111</v>
      </c>
      <c r="R34" s="773" t="s">
        <v>17</v>
      </c>
      <c r="S34" s="774">
        <f t="shared" si="12"/>
        <v>100</v>
      </c>
      <c r="T34" s="773" t="s">
        <v>17</v>
      </c>
      <c r="U34" s="774">
        <f t="shared" si="13"/>
        <v>100</v>
      </c>
      <c r="V34" s="773" t="s">
        <v>17</v>
      </c>
      <c r="W34" s="774">
        <f t="shared" si="14"/>
        <v>100</v>
      </c>
      <c r="X34" s="1815"/>
      <c r="Y34" s="3182"/>
      <c r="Z34" s="1816">
        <f t="shared" si="15"/>
        <v>111</v>
      </c>
      <c r="AA34" s="1813">
        <f t="shared" si="3"/>
        <v>1</v>
      </c>
      <c r="AB34" s="1813">
        <f t="shared" si="4"/>
        <v>1</v>
      </c>
      <c r="AC34" s="1813">
        <f t="shared" si="5"/>
        <v>1</v>
      </c>
    </row>
    <row r="35" spans="1:29" ht="15">
      <c r="A35" s="478" t="s">
        <v>2577</v>
      </c>
      <c r="B35" s="479"/>
      <c r="C35" s="1409" t="s">
        <v>1</v>
      </c>
      <c r="D35" s="1410"/>
      <c r="E35" s="1411"/>
      <c r="F35" s="1412"/>
      <c r="G35" s="1413"/>
      <c r="H35" s="1414"/>
      <c r="I35" s="1411"/>
      <c r="J35" s="1414"/>
      <c r="K35" s="782"/>
      <c r="L35" s="1145"/>
      <c r="M35" s="1146"/>
      <c r="N35" s="1133"/>
      <c r="O35" s="1146"/>
      <c r="P35" s="3170" t="str">
        <f>A35</f>
        <v>成交单价（元/平方米）</v>
      </c>
      <c r="Q35" s="3170"/>
      <c r="R35" s="3171">
        <f>E35</f>
        <v>0</v>
      </c>
      <c r="S35" s="3171"/>
      <c r="T35" s="3171">
        <f>G35</f>
        <v>0</v>
      </c>
      <c r="U35" s="3171"/>
      <c r="V35" s="3171">
        <f>I35</f>
        <v>0</v>
      </c>
      <c r="W35" s="3171"/>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72" t="str">
        <f>A37</f>
        <v>估价对象XX用房的比较价值（楼面单价，元/平方米）</v>
      </c>
      <c r="Q37" s="3173"/>
      <c r="R37" s="3174" t="e">
        <f>IF(F1="售价",ROUND(AVERAGE(R36:V36),0),ROUND(AVERAGE(R36:V36),1))</f>
        <v>#DIV/0!</v>
      </c>
      <c r="S37" s="3174"/>
      <c r="T37" s="3174"/>
      <c r="U37" s="3174"/>
      <c r="V37" s="3174"/>
      <c r="W37" s="317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99" t="s">
        <v>2647</v>
      </c>
      <c r="S4" s="3200"/>
      <c r="T4" s="3199" t="s">
        <v>2648</v>
      </c>
      <c r="U4" s="3200"/>
      <c r="V4" s="3184" t="s">
        <v>2649</v>
      </c>
      <c r="W4" s="3184"/>
      <c r="X4" s="1815"/>
      <c r="Y4" s="3199" t="s">
        <v>2651</v>
      </c>
      <c r="Z4" s="3200"/>
      <c r="AA4" s="3186" t="s">
        <v>2647</v>
      </c>
      <c r="AB4" s="3187" t="s">
        <v>2648</v>
      </c>
      <c r="AC4" s="3186" t="s">
        <v>2649</v>
      </c>
    </row>
    <row r="5" spans="1:30" ht="15">
      <c r="A5" s="403"/>
      <c r="B5" s="404"/>
      <c r="C5" s="3207" t="s">
        <v>2542</v>
      </c>
      <c r="D5" s="3208"/>
      <c r="E5" s="3214" t="s">
        <v>2543</v>
      </c>
      <c r="F5" s="3215"/>
      <c r="G5" s="3207" t="s">
        <v>2544</v>
      </c>
      <c r="H5" s="3208"/>
      <c r="I5" s="3207" t="s">
        <v>2545</v>
      </c>
      <c r="J5" s="3208"/>
      <c r="K5" s="609"/>
      <c r="L5" s="1132"/>
      <c r="M5" s="1133"/>
      <c r="N5" s="1133"/>
      <c r="O5" s="1133"/>
      <c r="P5" s="3195"/>
      <c r="Q5" s="3196"/>
      <c r="R5" s="3201"/>
      <c r="S5" s="3202"/>
      <c r="T5" s="3201"/>
      <c r="U5" s="3202"/>
      <c r="V5" s="3184"/>
      <c r="W5" s="3184"/>
      <c r="X5" s="1815"/>
      <c r="Y5" s="3201"/>
      <c r="Z5" s="3202"/>
      <c r="AA5" s="3187"/>
      <c r="AB5" s="3187"/>
      <c r="AC5" s="3187"/>
    </row>
    <row r="6" spans="1:30" ht="15.75" thickBot="1">
      <c r="A6" s="405"/>
      <c r="B6" s="406"/>
      <c r="C6" s="3205" t="s">
        <v>2546</v>
      </c>
      <c r="D6" s="3206"/>
      <c r="E6" s="3212" t="s">
        <v>2546</v>
      </c>
      <c r="F6" s="3213"/>
      <c r="G6" s="3205" t="s">
        <v>2546</v>
      </c>
      <c r="H6" s="3206"/>
      <c r="I6" s="3205" t="s">
        <v>2546</v>
      </c>
      <c r="J6" s="3206"/>
      <c r="K6" s="609" t="s">
        <v>2547</v>
      </c>
      <c r="L6" s="1132"/>
      <c r="M6" s="1133"/>
      <c r="N6" s="1133"/>
      <c r="O6" s="1133"/>
      <c r="P6" s="3197"/>
      <c r="Q6" s="3198"/>
      <c r="R6" s="3201"/>
      <c r="S6" s="3202"/>
      <c r="T6" s="3203"/>
      <c r="U6" s="3204"/>
      <c r="V6" s="3184"/>
      <c r="W6" s="3184"/>
      <c r="X6" s="1815"/>
      <c r="Y6" s="3203"/>
      <c r="Z6" s="3204"/>
      <c r="AA6" s="3188"/>
      <c r="AB6" s="3188"/>
      <c r="AC6" s="3188"/>
    </row>
    <row r="7" spans="1:30" s="117" customFormat="1" ht="15.75" thickBot="1">
      <c r="A7" s="407" t="s">
        <v>2548</v>
      </c>
      <c r="B7" s="408"/>
      <c r="C7" s="409">
        <f>'数据-取费表'!B2</f>
        <v>43312</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209" t="s">
        <v>2549</v>
      </c>
      <c r="Q7" s="3211"/>
      <c r="R7" s="769" t="s">
        <v>17</v>
      </c>
      <c r="S7" s="770">
        <f t="shared" ref="S7:S15" si="0">F7</f>
        <v>0</v>
      </c>
      <c r="T7" s="769" t="s">
        <v>17</v>
      </c>
      <c r="U7" s="770">
        <f t="shared" ref="U7:U15" si="1">H7</f>
        <v>0</v>
      </c>
      <c r="V7" s="769" t="s">
        <v>17</v>
      </c>
      <c r="W7" s="770">
        <f t="shared" ref="W7:W15" si="2">J7</f>
        <v>0</v>
      </c>
      <c r="X7" s="771"/>
      <c r="Y7" s="3209" t="s">
        <v>2549</v>
      </c>
      <c r="Z7" s="3210"/>
      <c r="AA7" s="772" t="e">
        <f>D7/F7</f>
        <v>#DIV/0!</v>
      </c>
      <c r="AB7" s="772" t="e">
        <f>D7/H7</f>
        <v>#DIV/0!</v>
      </c>
      <c r="AC7" s="772" t="e">
        <f>D7/J7</f>
        <v>#DIV/0!</v>
      </c>
    </row>
    <row r="8" spans="1:30" s="117"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9" t="s">
        <v>2552</v>
      </c>
      <c r="Q8" s="3210"/>
      <c r="R8" s="769" t="s">
        <v>17</v>
      </c>
      <c r="S8" s="770">
        <f t="shared" si="0"/>
        <v>0</v>
      </c>
      <c r="T8" s="769" t="s">
        <v>17</v>
      </c>
      <c r="U8" s="770">
        <f t="shared" si="1"/>
        <v>0</v>
      </c>
      <c r="V8" s="769" t="s">
        <v>17</v>
      </c>
      <c r="W8" s="770">
        <f t="shared" si="2"/>
        <v>0</v>
      </c>
      <c r="X8" s="771"/>
      <c r="Y8" s="3209" t="s">
        <v>2552</v>
      </c>
      <c r="Z8" s="3210"/>
      <c r="AA8" s="772" t="e">
        <f t="shared" ref="AA8:AA45" si="3">D8/F8</f>
        <v>#DIV/0!</v>
      </c>
      <c r="AB8" s="772" t="e">
        <f t="shared" ref="AB8:AB45" si="4">D8/H8</f>
        <v>#DIV/0!</v>
      </c>
      <c r="AC8" s="772" t="e">
        <f t="shared" ref="AC8:AC45" si="5">D8/J8</f>
        <v>#DIV/0!</v>
      </c>
    </row>
    <row r="9" spans="1:30" s="117" customFormat="1">
      <c r="A9" s="414" t="s">
        <v>2553</v>
      </c>
      <c r="B9" s="71" t="s">
        <v>2554</v>
      </c>
      <c r="C9" s="2705"/>
      <c r="D9" s="135">
        <v>100</v>
      </c>
      <c r="E9" s="2705"/>
      <c r="F9" s="135">
        <f>SUMIF(75:75,E9,76:76)-SUMIF(75:75,C9,76:76)+100</f>
        <v>100</v>
      </c>
      <c r="G9" s="2705"/>
      <c r="H9" s="135">
        <f>SUMIF(75:75,G9,76:76)-SUMIF(75:75,C9,76:76)+100</f>
        <v>100</v>
      </c>
      <c r="I9" s="2705"/>
      <c r="J9" s="135">
        <f>SUMIF(75:75,I9,76:76)-SUMIF(75:75,C9,76:76)+100</f>
        <v>100</v>
      </c>
      <c r="K9" s="610"/>
      <c r="L9" s="1134"/>
      <c r="M9" s="1135"/>
      <c r="N9" s="1135"/>
      <c r="O9" s="1136"/>
      <c r="P9" s="3170" t="s">
        <v>2555</v>
      </c>
      <c r="Q9" s="1797" t="str">
        <f t="shared" ref="Q9:Q15" si="6">B9</f>
        <v>用途</v>
      </c>
      <c r="R9" s="769" t="s">
        <v>17</v>
      </c>
      <c r="S9" s="770">
        <f t="shared" si="0"/>
        <v>100</v>
      </c>
      <c r="T9" s="769" t="s">
        <v>17</v>
      </c>
      <c r="U9" s="770">
        <f t="shared" si="1"/>
        <v>100</v>
      </c>
      <c r="V9" s="769" t="s">
        <v>17</v>
      </c>
      <c r="W9" s="770">
        <f t="shared" si="2"/>
        <v>100</v>
      </c>
      <c r="X9" s="771"/>
      <c r="Y9" s="3005" t="s">
        <v>2556</v>
      </c>
      <c r="Z9" s="55" t="str">
        <f t="shared" ref="Z9:Z15" si="7">Q9</f>
        <v>用途</v>
      </c>
      <c r="AA9" s="772">
        <f t="shared" si="3"/>
        <v>1</v>
      </c>
      <c r="AB9" s="772">
        <f t="shared" si="4"/>
        <v>1</v>
      </c>
      <c r="AC9" s="772">
        <f t="shared" si="5"/>
        <v>1</v>
      </c>
    </row>
    <row r="10" spans="1:30" s="426" customFormat="1" ht="27">
      <c r="A10" s="420"/>
      <c r="B10" s="421" t="s">
        <v>2557</v>
      </c>
      <c r="C10" s="431"/>
      <c r="D10" s="136">
        <v>100</v>
      </c>
      <c r="E10" s="464"/>
      <c r="F10" s="136">
        <f>ROUND(100/'数据-取费表'!G16,0)</f>
        <v>102</v>
      </c>
      <c r="G10" s="462"/>
      <c r="H10" s="136">
        <f>ROUND(100/'数据-取费表'!G16,0)</f>
        <v>102</v>
      </c>
      <c r="I10" s="462"/>
      <c r="J10" s="136">
        <f>ROUND(100/'数据-取费表'!G16,0)</f>
        <v>102</v>
      </c>
      <c r="K10" s="671"/>
      <c r="L10" s="1137"/>
      <c r="M10" s="1138"/>
      <c r="N10" s="1138"/>
      <c r="O10" s="1139"/>
      <c r="P10" s="3170"/>
      <c r="Q10" s="1797" t="str">
        <f t="shared" si="6"/>
        <v>土地使用年限（年）</v>
      </c>
      <c r="R10" s="769" t="s">
        <v>17</v>
      </c>
      <c r="S10" s="770">
        <f t="shared" si="0"/>
        <v>102</v>
      </c>
      <c r="T10" s="769" t="s">
        <v>17</v>
      </c>
      <c r="U10" s="770">
        <f t="shared" si="1"/>
        <v>102</v>
      </c>
      <c r="V10" s="769" t="s">
        <v>17</v>
      </c>
      <c r="W10" s="770">
        <f t="shared" si="2"/>
        <v>102</v>
      </c>
      <c r="X10" s="771"/>
      <c r="Y10" s="3005"/>
      <c r="Z10" s="55" t="str">
        <f t="shared" si="7"/>
        <v>土地使用年限（年）</v>
      </c>
      <c r="AA10" s="772">
        <f t="shared" si="3"/>
        <v>0.98039215686274506</v>
      </c>
      <c r="AB10" s="772">
        <f t="shared" si="4"/>
        <v>0.98039215686274506</v>
      </c>
      <c r="AC10" s="772">
        <f t="shared" si="5"/>
        <v>0.98039215686274506</v>
      </c>
    </row>
    <row r="11" spans="1:30" ht="15">
      <c r="A11" s="427"/>
      <c r="B11" s="421" t="s">
        <v>2558</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70"/>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30" s="117" customFormat="1" ht="15">
      <c r="A12" s="430"/>
      <c r="B12" s="2606" t="s">
        <v>2747</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70"/>
      <c r="Q12" s="1797" t="str">
        <f t="shared" si="6"/>
        <v>配建</v>
      </c>
      <c r="R12" s="769" t="s">
        <v>17</v>
      </c>
      <c r="S12" s="770">
        <f t="shared" si="0"/>
        <v>100</v>
      </c>
      <c r="T12" s="769" t="s">
        <v>17</v>
      </c>
      <c r="U12" s="770">
        <f t="shared" si="1"/>
        <v>100</v>
      </c>
      <c r="V12" s="769" t="s">
        <v>17</v>
      </c>
      <c r="W12" s="770">
        <f t="shared" si="2"/>
        <v>100</v>
      </c>
      <c r="X12" s="771"/>
      <c r="Y12" s="3005"/>
      <c r="Z12" s="55" t="str">
        <f t="shared" si="7"/>
        <v>配建</v>
      </c>
      <c r="AA12" s="772">
        <f>D12/F12</f>
        <v>1</v>
      </c>
      <c r="AB12" s="772">
        <f>D12/H12</f>
        <v>1</v>
      </c>
      <c r="AC12" s="772">
        <f>D12/J12</f>
        <v>1</v>
      </c>
    </row>
    <row r="13" spans="1:30" ht="15">
      <c r="A13" s="427"/>
      <c r="B13" s="2606">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70"/>
      <c r="Q13" s="1797">
        <f t="shared" si="6"/>
        <v>111</v>
      </c>
      <c r="R13" s="769" t="s">
        <v>17</v>
      </c>
      <c r="S13" s="770">
        <f t="shared" si="0"/>
        <v>100</v>
      </c>
      <c r="T13" s="769" t="s">
        <v>17</v>
      </c>
      <c r="U13" s="770">
        <f t="shared" si="1"/>
        <v>100</v>
      </c>
      <c r="V13" s="769" t="s">
        <v>17</v>
      </c>
      <c r="W13" s="770">
        <f t="shared" si="2"/>
        <v>100</v>
      </c>
      <c r="X13" s="771"/>
      <c r="Y13" s="3005"/>
      <c r="Z13" s="55">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0"/>
      <c r="Q14" s="1797">
        <f t="shared" si="6"/>
        <v>111</v>
      </c>
      <c r="R14" s="769" t="s">
        <v>17</v>
      </c>
      <c r="S14" s="770">
        <f t="shared" si="0"/>
        <v>100</v>
      </c>
      <c r="T14" s="769" t="s">
        <v>17</v>
      </c>
      <c r="U14" s="770">
        <f t="shared" si="1"/>
        <v>100</v>
      </c>
      <c r="V14" s="769" t="s">
        <v>17</v>
      </c>
      <c r="W14" s="770">
        <f t="shared" si="2"/>
        <v>100</v>
      </c>
      <c r="X14" s="771"/>
      <c r="Y14" s="3005"/>
      <c r="Z14" s="55">
        <f t="shared" si="7"/>
        <v>111</v>
      </c>
      <c r="AA14" s="772">
        <f>D14/F14</f>
        <v>1</v>
      </c>
      <c r="AB14" s="772">
        <f>D14/H14</f>
        <v>1</v>
      </c>
      <c r="AC14" s="772">
        <f>D14/J14</f>
        <v>1</v>
      </c>
    </row>
    <row r="15" spans="1:30" ht="99.75">
      <c r="A15" s="439" t="s">
        <v>2559</v>
      </c>
      <c r="B15" s="69" t="s">
        <v>2089</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7" t="s">
        <v>2560</v>
      </c>
      <c r="Q15" s="1812" t="str">
        <f t="shared" si="6"/>
        <v>居住社区成熟度</v>
      </c>
      <c r="R15" s="773" t="s">
        <v>17</v>
      </c>
      <c r="S15" s="774">
        <f t="shared" si="0"/>
        <v>100</v>
      </c>
      <c r="T15" s="773" t="s">
        <v>17</v>
      </c>
      <c r="U15" s="774">
        <f t="shared" si="1"/>
        <v>100</v>
      </c>
      <c r="V15" s="773" t="s">
        <v>17</v>
      </c>
      <c r="W15" s="774">
        <f t="shared" si="2"/>
        <v>100</v>
      </c>
      <c r="X15" s="1815"/>
      <c r="Y15" s="3177" t="s">
        <v>2560</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178"/>
      <c r="Q16" s="1812"/>
      <c r="R16" s="773"/>
      <c r="S16" s="774"/>
      <c r="T16" s="773"/>
      <c r="U16" s="774"/>
      <c r="V16" s="773"/>
      <c r="W16" s="774"/>
      <c r="X16" s="1815"/>
      <c r="Y16" s="3178"/>
      <c r="Z16" s="1816"/>
      <c r="AA16" s="1813">
        <v>1</v>
      </c>
      <c r="AB16" s="1813">
        <v>1</v>
      </c>
      <c r="AC16" s="1813">
        <v>1</v>
      </c>
    </row>
    <row r="17" spans="1:29" ht="71.25">
      <c r="A17" s="427"/>
      <c r="B17" s="450" t="s">
        <v>2653</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78"/>
      <c r="Q17" s="1812" t="str">
        <f>B17</f>
        <v>商业繁华度</v>
      </c>
      <c r="R17" s="773" t="s">
        <v>17</v>
      </c>
      <c r="S17" s="774">
        <f>F17</f>
        <v>100</v>
      </c>
      <c r="T17" s="773" t="s">
        <v>17</v>
      </c>
      <c r="U17" s="774">
        <f>H17</f>
        <v>100</v>
      </c>
      <c r="V17" s="773" t="s">
        <v>17</v>
      </c>
      <c r="W17" s="774">
        <f>J17</f>
        <v>100</v>
      </c>
      <c r="X17" s="1815"/>
      <c r="Y17" s="3178"/>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178"/>
      <c r="Q18" s="1812"/>
      <c r="R18" s="773"/>
      <c r="S18" s="774"/>
      <c r="T18" s="773"/>
      <c r="U18" s="774"/>
      <c r="V18" s="773"/>
      <c r="W18" s="774"/>
      <c r="X18" s="1815"/>
      <c r="Y18" s="3178"/>
      <c r="Z18" s="1816"/>
      <c r="AA18" s="1813">
        <v>1</v>
      </c>
      <c r="AB18" s="1813">
        <v>1</v>
      </c>
      <c r="AC18" s="1813">
        <v>1</v>
      </c>
    </row>
    <row r="19" spans="1:29" ht="71.25">
      <c r="A19" s="427"/>
      <c r="B19" s="450" t="s">
        <v>2687</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78"/>
      <c r="Q19" s="1812" t="str">
        <f>B19</f>
        <v>办公集聚程度</v>
      </c>
      <c r="R19" s="773" t="s">
        <v>17</v>
      </c>
      <c r="S19" s="774">
        <f>F19</f>
        <v>100</v>
      </c>
      <c r="T19" s="773" t="s">
        <v>17</v>
      </c>
      <c r="U19" s="774">
        <f>H19</f>
        <v>100</v>
      </c>
      <c r="V19" s="773" t="s">
        <v>17</v>
      </c>
      <c r="W19" s="774">
        <f>J19</f>
        <v>100</v>
      </c>
      <c r="X19" s="1815"/>
      <c r="Y19" s="3178"/>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178"/>
      <c r="Q20" s="1812"/>
      <c r="R20" s="773"/>
      <c r="S20" s="774"/>
      <c r="T20" s="773"/>
      <c r="U20" s="774"/>
      <c r="V20" s="773"/>
      <c r="W20" s="774"/>
      <c r="X20" s="1815"/>
      <c r="Y20" s="3178"/>
      <c r="Z20" s="1816"/>
      <c r="AA20" s="1813">
        <v>1</v>
      </c>
      <c r="AB20" s="1813">
        <v>1</v>
      </c>
      <c r="AC20" s="1813">
        <v>1</v>
      </c>
    </row>
    <row r="21" spans="1:29" ht="85.5">
      <c r="A21" s="427"/>
      <c r="B21" s="450" t="s">
        <v>2709</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78"/>
      <c r="Q21" s="1812" t="str">
        <f>B21</f>
        <v>交通便捷度</v>
      </c>
      <c r="R21" s="773" t="s">
        <v>17</v>
      </c>
      <c r="S21" s="774">
        <f>F21</f>
        <v>100</v>
      </c>
      <c r="T21" s="773" t="s">
        <v>17</v>
      </c>
      <c r="U21" s="774">
        <f>H21</f>
        <v>100</v>
      </c>
      <c r="V21" s="773" t="s">
        <v>17</v>
      </c>
      <c r="W21" s="774">
        <f>J21</f>
        <v>100</v>
      </c>
      <c r="X21" s="1815"/>
      <c r="Y21" s="3178"/>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178"/>
      <c r="Q22" s="1812"/>
      <c r="R22" s="773"/>
      <c r="S22" s="774"/>
      <c r="T22" s="773"/>
      <c r="U22" s="774"/>
      <c r="V22" s="773"/>
      <c r="W22" s="774"/>
      <c r="X22" s="1815"/>
      <c r="Y22" s="3178"/>
      <c r="Z22" s="1816"/>
      <c r="AA22" s="1813">
        <v>1</v>
      </c>
      <c r="AB22" s="1813">
        <v>1</v>
      </c>
      <c r="AC22" s="1813">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78"/>
      <c r="Q23" s="1812" t="str">
        <f t="shared" ref="Q23:Q37" si="8">B23</f>
        <v>区域土地利用方向</v>
      </c>
      <c r="R23" s="773" t="s">
        <v>17</v>
      </c>
      <c r="S23" s="774">
        <f>F23</f>
        <v>100</v>
      </c>
      <c r="T23" s="773" t="s">
        <v>17</v>
      </c>
      <c r="U23" s="774">
        <f>H23</f>
        <v>100</v>
      </c>
      <c r="V23" s="773" t="s">
        <v>17</v>
      </c>
      <c r="W23" s="774">
        <f>J23</f>
        <v>100</v>
      </c>
      <c r="X23" s="1815"/>
      <c r="Y23" s="3178"/>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178"/>
      <c r="Q24" s="1812"/>
      <c r="R24" s="773"/>
      <c r="S24" s="774"/>
      <c r="T24" s="773"/>
      <c r="U24" s="774"/>
      <c r="V24" s="773"/>
      <c r="W24" s="774"/>
      <c r="X24" s="1815"/>
      <c r="Y24" s="3178"/>
      <c r="Z24" s="1816"/>
      <c r="AA24" s="1813"/>
      <c r="AB24" s="1813"/>
      <c r="AC24" s="1813"/>
    </row>
    <row r="25" spans="1:29" ht="57">
      <c r="A25" s="403"/>
      <c r="B25" s="1386" t="s">
        <v>2749</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78"/>
      <c r="Q25" s="1812" t="str">
        <f t="shared" si="8"/>
        <v>自然及人文环境状况</v>
      </c>
      <c r="R25" s="773" t="s">
        <v>17</v>
      </c>
      <c r="S25" s="774">
        <f>F25</f>
        <v>100</v>
      </c>
      <c r="T25" s="773" t="s">
        <v>17</v>
      </c>
      <c r="U25" s="774">
        <f>H25</f>
        <v>100</v>
      </c>
      <c r="V25" s="773" t="s">
        <v>17</v>
      </c>
      <c r="W25" s="774">
        <f>J25</f>
        <v>100</v>
      </c>
      <c r="X25" s="1815"/>
      <c r="Y25" s="3178"/>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178"/>
      <c r="Q26" s="1812"/>
      <c r="R26" s="773"/>
      <c r="S26" s="774"/>
      <c r="T26" s="773"/>
      <c r="U26" s="774"/>
      <c r="V26" s="773"/>
      <c r="W26" s="774"/>
      <c r="X26" s="1815"/>
      <c r="Y26" s="3178"/>
      <c r="Z26" s="1816"/>
      <c r="AA26" s="1813">
        <v>1</v>
      </c>
      <c r="AB26" s="1813">
        <v>1</v>
      </c>
      <c r="AC26" s="1813">
        <v>1</v>
      </c>
    </row>
    <row r="27" spans="1:29" s="117" customFormat="1" ht="42.75">
      <c r="A27" s="648"/>
      <c r="B27" s="1386" t="s">
        <v>2654</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78"/>
      <c r="Q27" s="1797" t="str">
        <f t="shared" si="8"/>
        <v>公共配套设施</v>
      </c>
      <c r="R27" s="769" t="s">
        <v>17</v>
      </c>
      <c r="S27" s="770">
        <f>F27</f>
        <v>100</v>
      </c>
      <c r="T27" s="769" t="s">
        <v>17</v>
      </c>
      <c r="U27" s="770">
        <f>H27</f>
        <v>100</v>
      </c>
      <c r="V27" s="769" t="s">
        <v>17</v>
      </c>
      <c r="W27" s="770">
        <f>J27</f>
        <v>100</v>
      </c>
      <c r="X27" s="771"/>
      <c r="Y27" s="3178"/>
      <c r="Z27" s="55" t="str">
        <f>Q27</f>
        <v>公共配套设施</v>
      </c>
      <c r="AA27" s="1813">
        <f>D27/F27</f>
        <v>1</v>
      </c>
      <c r="AB27" s="1813">
        <f>D27/H27</f>
        <v>1</v>
      </c>
      <c r="AC27" s="1813">
        <f>D27/J27</f>
        <v>1</v>
      </c>
    </row>
    <row r="28" spans="1:29" s="117" customFormat="1" ht="15">
      <c r="A28" s="648"/>
      <c r="B28" s="455"/>
      <c r="C28" s="2706"/>
      <c r="D28" s="447"/>
      <c r="E28" s="2617"/>
      <c r="F28" s="447"/>
      <c r="G28" s="2617"/>
      <c r="H28" s="447"/>
      <c r="I28" s="446"/>
      <c r="J28" s="447"/>
      <c r="K28" s="671"/>
      <c r="L28" s="1134"/>
      <c r="M28" s="1135"/>
      <c r="N28" s="1135"/>
      <c r="O28" s="1136"/>
      <c r="P28" s="3178"/>
      <c r="Q28" s="1797"/>
      <c r="R28" s="769"/>
      <c r="S28" s="770"/>
      <c r="T28" s="769"/>
      <c r="U28" s="770"/>
      <c r="V28" s="769"/>
      <c r="W28" s="770"/>
      <c r="X28" s="771"/>
      <c r="Y28" s="3178"/>
      <c r="Z28" s="55"/>
      <c r="AA28" s="1813">
        <v>1</v>
      </c>
      <c r="AB28" s="1813">
        <v>1</v>
      </c>
      <c r="AC28" s="1813">
        <v>1</v>
      </c>
    </row>
    <row r="29" spans="1:29" s="117" customFormat="1" ht="28.5">
      <c r="A29" s="648"/>
      <c r="B29" s="1386" t="s">
        <v>2655</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78"/>
      <c r="Q29" s="1797" t="str">
        <f t="shared" ref="Q29" si="9">B29</f>
        <v>基础设施水平</v>
      </c>
      <c r="R29" s="769" t="s">
        <v>17</v>
      </c>
      <c r="S29" s="770">
        <f>F29</f>
        <v>100</v>
      </c>
      <c r="T29" s="769" t="s">
        <v>17</v>
      </c>
      <c r="U29" s="770">
        <f>H29</f>
        <v>100</v>
      </c>
      <c r="V29" s="769" t="s">
        <v>17</v>
      </c>
      <c r="W29" s="770">
        <f>J29</f>
        <v>100</v>
      </c>
      <c r="X29" s="771"/>
      <c r="Y29" s="3178"/>
      <c r="Z29" s="55" t="str">
        <f>Q29</f>
        <v>基础设施水平</v>
      </c>
      <c r="AA29" s="1813">
        <f>D29/F29</f>
        <v>1</v>
      </c>
      <c r="AB29" s="1813">
        <f>D29/H29</f>
        <v>1</v>
      </c>
      <c r="AC29" s="1813">
        <f>D29/J29</f>
        <v>1</v>
      </c>
    </row>
    <row r="30" spans="1:29" s="117" customFormat="1" ht="15">
      <c r="A30" s="648"/>
      <c r="B30" s="455"/>
      <c r="C30" s="2706"/>
      <c r="D30" s="447"/>
      <c r="E30" s="2707"/>
      <c r="F30" s="447"/>
      <c r="G30" s="2707"/>
      <c r="H30" s="447"/>
      <c r="I30" s="2707"/>
      <c r="J30" s="447"/>
      <c r="K30" s="671"/>
      <c r="L30" s="1134"/>
      <c r="M30" s="1135"/>
      <c r="N30" s="1135"/>
      <c r="O30" s="1136"/>
      <c r="P30" s="3178"/>
      <c r="Q30" s="1797"/>
      <c r="R30" s="769"/>
      <c r="S30" s="770"/>
      <c r="T30" s="769"/>
      <c r="U30" s="770"/>
      <c r="V30" s="769"/>
      <c r="W30" s="770"/>
      <c r="X30" s="771"/>
      <c r="Y30" s="3178"/>
      <c r="Z30" s="55"/>
      <c r="AA30" s="1813">
        <v>1</v>
      </c>
      <c r="AB30" s="1813">
        <v>1</v>
      </c>
      <c r="AC30" s="1813">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7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8"/>
      <c r="Z31" s="1816" t="str">
        <f t="shared" ref="Z31:Z45" si="13">Q31</f>
        <v>临街状况</v>
      </c>
      <c r="AA31" s="1813">
        <f t="shared" si="3"/>
        <v>1</v>
      </c>
      <c r="AB31" s="1813">
        <f t="shared" si="4"/>
        <v>1</v>
      </c>
      <c r="AC31" s="1813">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78"/>
      <c r="Q32" s="1812" t="str">
        <f t="shared" si="8"/>
        <v>毗邻道路的类型与等级</v>
      </c>
      <c r="R32" s="773" t="s">
        <v>17</v>
      </c>
      <c r="S32" s="774">
        <f t="shared" si="10"/>
        <v>100</v>
      </c>
      <c r="T32" s="773" t="s">
        <v>17</v>
      </c>
      <c r="U32" s="774">
        <f t="shared" si="11"/>
        <v>100</v>
      </c>
      <c r="V32" s="773" t="s">
        <v>17</v>
      </c>
      <c r="W32" s="774">
        <f t="shared" si="12"/>
        <v>100</v>
      </c>
      <c r="X32" s="1815"/>
      <c r="Y32" s="3178"/>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178"/>
      <c r="Q33" s="1812"/>
      <c r="R33" s="773"/>
      <c r="S33" s="774"/>
      <c r="T33" s="773"/>
      <c r="U33" s="774"/>
      <c r="V33" s="773"/>
      <c r="W33" s="774"/>
      <c r="X33" s="1815"/>
      <c r="Y33" s="3178"/>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8"/>
      <c r="Q34" s="1812" t="str">
        <f t="shared" si="8"/>
        <v>土地级别</v>
      </c>
      <c r="R34" s="773" t="s">
        <v>17</v>
      </c>
      <c r="S34" s="774">
        <f t="shared" si="10"/>
        <v>100</v>
      </c>
      <c r="T34" s="773" t="s">
        <v>17</v>
      </c>
      <c r="U34" s="774">
        <f t="shared" si="11"/>
        <v>100</v>
      </c>
      <c r="V34" s="773" t="s">
        <v>17</v>
      </c>
      <c r="W34" s="774">
        <f t="shared" si="12"/>
        <v>100</v>
      </c>
      <c r="X34" s="1815"/>
      <c r="Y34" s="317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8"/>
      <c r="Q35" s="1812">
        <f t="shared" si="8"/>
        <v>111</v>
      </c>
      <c r="R35" s="773" t="s">
        <v>17</v>
      </c>
      <c r="S35" s="774">
        <f t="shared" si="10"/>
        <v>100</v>
      </c>
      <c r="T35" s="773" t="s">
        <v>17</v>
      </c>
      <c r="U35" s="774">
        <f t="shared" si="11"/>
        <v>100</v>
      </c>
      <c r="V35" s="773" t="s">
        <v>17</v>
      </c>
      <c r="W35" s="774">
        <f t="shared" si="12"/>
        <v>100</v>
      </c>
      <c r="X35" s="1815"/>
      <c r="Y35" s="317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8" t="s">
        <v>2565</v>
      </c>
      <c r="Q36" s="1812">
        <f t="shared" si="8"/>
        <v>111</v>
      </c>
      <c r="R36" s="773" t="s">
        <v>17</v>
      </c>
      <c r="S36" s="774">
        <f t="shared" si="10"/>
        <v>100</v>
      </c>
      <c r="T36" s="773" t="s">
        <v>17</v>
      </c>
      <c r="U36" s="774">
        <f t="shared" si="11"/>
        <v>100</v>
      </c>
      <c r="V36" s="773" t="s">
        <v>17</v>
      </c>
      <c r="W36" s="774">
        <f t="shared" si="12"/>
        <v>100</v>
      </c>
      <c r="X36" s="1815"/>
      <c r="Y36" s="3182" t="s">
        <v>2565</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2"/>
      <c r="Q37" s="1812">
        <f t="shared" si="8"/>
        <v>111</v>
      </c>
      <c r="R37" s="776" t="s">
        <v>17</v>
      </c>
      <c r="S37" s="777">
        <f t="shared" si="10"/>
        <v>100</v>
      </c>
      <c r="T37" s="776" t="s">
        <v>17</v>
      </c>
      <c r="U37" s="777">
        <f t="shared" si="11"/>
        <v>100</v>
      </c>
      <c r="V37" s="776" t="s">
        <v>17</v>
      </c>
      <c r="W37" s="777">
        <f t="shared" si="12"/>
        <v>100</v>
      </c>
      <c r="X37" s="778"/>
      <c r="Y37" s="3182"/>
      <c r="Z37" s="779">
        <f t="shared" si="13"/>
        <v>111</v>
      </c>
      <c r="AA37" s="1813">
        <f t="shared" si="3"/>
        <v>1</v>
      </c>
      <c r="AB37" s="1813">
        <f t="shared" si="4"/>
        <v>1</v>
      </c>
      <c r="AC37" s="1813">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2"/>
      <c r="Q38" s="1812" t="str">
        <f>B38</f>
        <v>宗地面积</v>
      </c>
      <c r="R38" s="773" t="s">
        <v>17</v>
      </c>
      <c r="S38" s="774" t="e">
        <f t="shared" si="10"/>
        <v>#N/A</v>
      </c>
      <c r="T38" s="773" t="s">
        <v>17</v>
      </c>
      <c r="U38" s="774" t="e">
        <f t="shared" si="11"/>
        <v>#N/A</v>
      </c>
      <c r="V38" s="773" t="s">
        <v>17</v>
      </c>
      <c r="W38" s="774" t="e">
        <f t="shared" si="12"/>
        <v>#N/A</v>
      </c>
      <c r="X38" s="1815"/>
      <c r="Y38" s="3182"/>
      <c r="Z38" s="1816" t="str">
        <f t="shared" si="13"/>
        <v>宗地面积</v>
      </c>
      <c r="AA38" s="1813" t="e">
        <f t="shared" si="3"/>
        <v>#N/A</v>
      </c>
      <c r="AB38" s="1813" t="e">
        <f t="shared" si="4"/>
        <v>#N/A</v>
      </c>
      <c r="AC38" s="1813" t="e">
        <f t="shared" si="5"/>
        <v>#N/A</v>
      </c>
    </row>
    <row r="39" spans="1:29" ht="15">
      <c r="A39" s="471"/>
      <c r="B39" s="421" t="s">
        <v>2752</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182"/>
      <c r="Q39" s="1812" t="str">
        <f t="shared" ref="Q39:Q45" si="14">B39</f>
        <v>宗地形状</v>
      </c>
      <c r="R39" s="773" t="s">
        <v>17</v>
      </c>
      <c r="S39" s="774">
        <f t="shared" si="10"/>
        <v>100</v>
      </c>
      <c r="T39" s="773" t="s">
        <v>17</v>
      </c>
      <c r="U39" s="774">
        <f t="shared" si="11"/>
        <v>100</v>
      </c>
      <c r="V39" s="773" t="s">
        <v>17</v>
      </c>
      <c r="W39" s="774">
        <f t="shared" si="12"/>
        <v>100</v>
      </c>
      <c r="X39" s="1815"/>
      <c r="Y39" s="3182"/>
      <c r="Z39" s="1816" t="str">
        <f t="shared" si="13"/>
        <v>宗地形状</v>
      </c>
      <c r="AA39" s="1813">
        <f t="shared" si="3"/>
        <v>1</v>
      </c>
      <c r="AB39" s="1813">
        <f t="shared" si="4"/>
        <v>1</v>
      </c>
      <c r="AC39" s="1813">
        <f t="shared" si="5"/>
        <v>1</v>
      </c>
    </row>
    <row r="40" spans="1:29" ht="15">
      <c r="A40" s="471"/>
      <c r="B40" s="421" t="s">
        <v>2753</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182"/>
      <c r="Q40" s="1812" t="str">
        <f t="shared" si="14"/>
        <v>临街宽度及深度</v>
      </c>
      <c r="R40" s="773" t="s">
        <v>17</v>
      </c>
      <c r="S40" s="774">
        <f t="shared" si="10"/>
        <v>100</v>
      </c>
      <c r="T40" s="773" t="s">
        <v>17</v>
      </c>
      <c r="U40" s="774">
        <f t="shared" si="11"/>
        <v>100</v>
      </c>
      <c r="V40" s="773" t="s">
        <v>17</v>
      </c>
      <c r="W40" s="774">
        <f t="shared" si="12"/>
        <v>100</v>
      </c>
      <c r="X40" s="1815"/>
      <c r="Y40" s="3182"/>
      <c r="Z40" s="1816" t="str">
        <f t="shared" si="13"/>
        <v>临街宽度及深度</v>
      </c>
      <c r="AA40" s="1813">
        <f t="shared" si="3"/>
        <v>1</v>
      </c>
      <c r="AB40" s="1813">
        <f t="shared" si="4"/>
        <v>1</v>
      </c>
      <c r="AC40" s="1813">
        <f t="shared" si="5"/>
        <v>1</v>
      </c>
    </row>
    <row r="41" spans="1:29" s="117" customFormat="1" ht="15">
      <c r="A41" s="472"/>
      <c r="B41" s="421" t="s">
        <v>2754</v>
      </c>
      <c r="C41" s="2708"/>
      <c r="D41" s="136">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182"/>
      <c r="Q41" s="1812" t="str">
        <f t="shared" si="14"/>
        <v>宗地开发程度</v>
      </c>
      <c r="R41" s="769" t="s">
        <v>17</v>
      </c>
      <c r="S41" s="770">
        <f t="shared" si="10"/>
        <v>100</v>
      </c>
      <c r="T41" s="769" t="s">
        <v>17</v>
      </c>
      <c r="U41" s="770">
        <f t="shared" si="11"/>
        <v>100</v>
      </c>
      <c r="V41" s="769" t="s">
        <v>17</v>
      </c>
      <c r="W41" s="770">
        <f t="shared" si="12"/>
        <v>100</v>
      </c>
      <c r="X41" s="771"/>
      <c r="Y41" s="3182"/>
      <c r="Z41" s="55" t="str">
        <f t="shared" si="13"/>
        <v>宗地开发程度</v>
      </c>
      <c r="AA41" s="772">
        <f t="shared" si="3"/>
        <v>1</v>
      </c>
      <c r="AB41" s="772">
        <f t="shared" si="4"/>
        <v>1</v>
      </c>
      <c r="AC41" s="772">
        <f t="shared" si="5"/>
        <v>1</v>
      </c>
    </row>
    <row r="42" spans="1:29" ht="15">
      <c r="A42" s="471"/>
      <c r="B42" s="421" t="s">
        <v>2755</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182" t="s">
        <v>2565</v>
      </c>
      <c r="Q42" s="1812" t="str">
        <f t="shared" si="14"/>
        <v>工程地质条件</v>
      </c>
      <c r="R42" s="773" t="s">
        <v>17</v>
      </c>
      <c r="S42" s="774">
        <f t="shared" si="10"/>
        <v>100</v>
      </c>
      <c r="T42" s="773" t="s">
        <v>17</v>
      </c>
      <c r="U42" s="774">
        <f t="shared" si="11"/>
        <v>100</v>
      </c>
      <c r="V42" s="773" t="s">
        <v>17</v>
      </c>
      <c r="W42" s="774">
        <f t="shared" si="12"/>
        <v>100</v>
      </c>
      <c r="X42" s="1815"/>
      <c r="Y42" s="3182" t="s">
        <v>2565</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2"/>
      <c r="Q43" s="1812">
        <f t="shared" si="14"/>
        <v>111</v>
      </c>
      <c r="R43" s="773" t="s">
        <v>17</v>
      </c>
      <c r="S43" s="774">
        <f t="shared" si="10"/>
        <v>100</v>
      </c>
      <c r="T43" s="773" t="s">
        <v>17</v>
      </c>
      <c r="U43" s="774">
        <f t="shared" si="11"/>
        <v>100</v>
      </c>
      <c r="V43" s="773" t="s">
        <v>17</v>
      </c>
      <c r="W43" s="774">
        <f t="shared" si="12"/>
        <v>100</v>
      </c>
      <c r="X43" s="1815"/>
      <c r="Y43" s="3182"/>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2"/>
      <c r="Q44" s="1812">
        <f t="shared" si="14"/>
        <v>111</v>
      </c>
      <c r="R44" s="773" t="s">
        <v>17</v>
      </c>
      <c r="S44" s="774">
        <f t="shared" si="10"/>
        <v>100</v>
      </c>
      <c r="T44" s="773" t="s">
        <v>17</v>
      </c>
      <c r="U44" s="774">
        <f t="shared" si="11"/>
        <v>100</v>
      </c>
      <c r="V44" s="773" t="s">
        <v>17</v>
      </c>
      <c r="W44" s="774">
        <f t="shared" si="12"/>
        <v>100</v>
      </c>
      <c r="X44" s="1815"/>
      <c r="Y44" s="3182"/>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2"/>
      <c r="Q45" s="1812">
        <f t="shared" si="14"/>
        <v>111</v>
      </c>
      <c r="R45" s="776" t="s">
        <v>17</v>
      </c>
      <c r="S45" s="777">
        <f t="shared" si="10"/>
        <v>100</v>
      </c>
      <c r="T45" s="776" t="s">
        <v>17</v>
      </c>
      <c r="U45" s="777">
        <f t="shared" si="11"/>
        <v>100</v>
      </c>
      <c r="V45" s="776" t="s">
        <v>17</v>
      </c>
      <c r="W45" s="777">
        <f t="shared" si="12"/>
        <v>100</v>
      </c>
      <c r="X45" s="778"/>
      <c r="Y45" s="3182"/>
      <c r="Z45" s="779">
        <f t="shared" si="13"/>
        <v>111</v>
      </c>
      <c r="AA45" s="1813">
        <f t="shared" si="3"/>
        <v>1</v>
      </c>
      <c r="AB45" s="1813">
        <f t="shared" si="4"/>
        <v>1</v>
      </c>
      <c r="AC45" s="1813">
        <f t="shared" si="5"/>
        <v>1</v>
      </c>
    </row>
    <row r="46" spans="1:29" ht="15">
      <c r="A46" s="478" t="s">
        <v>2720</v>
      </c>
      <c r="B46" s="2710" t="s">
        <v>2756</v>
      </c>
      <c r="C46" s="681" t="s">
        <v>1</v>
      </c>
      <c r="D46" s="480"/>
      <c r="E46" s="481"/>
      <c r="F46" s="482"/>
      <c r="G46" s="483"/>
      <c r="H46" s="484"/>
      <c r="I46" s="481"/>
      <c r="J46" s="484"/>
      <c r="K46" s="782"/>
      <c r="L46" s="1145"/>
      <c r="M46" s="1146"/>
      <c r="N46" s="1133"/>
      <c r="O46" s="1146"/>
      <c r="P46" s="3170" t="str">
        <f>A46</f>
        <v>成交单价</v>
      </c>
      <c r="Q46" s="3170"/>
      <c r="R46" s="3184">
        <f>E46</f>
        <v>0</v>
      </c>
      <c r="S46" s="3184"/>
      <c r="T46" s="3184">
        <f>G46</f>
        <v>0</v>
      </c>
      <c r="U46" s="3184"/>
      <c r="V46" s="3184">
        <f>I46</f>
        <v>0</v>
      </c>
      <c r="W46" s="3184"/>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170" t="str">
        <f>A47</f>
        <v>比较价值（元/平方米）</v>
      </c>
      <c r="Q47" s="3170"/>
      <c r="R47" s="3259" t="e">
        <f>ROUND(PRODUCT(R46,AA7:AA45),0)</f>
        <v>#DIV/0!</v>
      </c>
      <c r="S47" s="3259"/>
      <c r="T47" s="3259" t="e">
        <f>ROUND(PRODUCT(T46,AB7:AB45),0)</f>
        <v>#DIV/0!</v>
      </c>
      <c r="U47" s="3259"/>
      <c r="V47" s="3259" t="e">
        <f>ROUND(PRODUCT(V46,AC7:AC45),0)</f>
        <v>#DIV/0!</v>
      </c>
      <c r="W47" s="3259"/>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172" t="str">
        <f>A48</f>
        <v>估价对象XX用房的比较价值（楼面单价，元/平方米）</v>
      </c>
      <c r="Q48" s="3173"/>
      <c r="R48" s="3260" t="e">
        <f>ROUND(AVERAGE(R47:V47),0)</f>
        <v>#DIV/0!</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11" t="s">
        <v>2760</v>
      </c>
      <c r="D55" s="2712" t="s">
        <v>2761</v>
      </c>
      <c r="E55" s="685" t="s">
        <v>2762</v>
      </c>
      <c r="F55" s="1109" t="s">
        <v>2763</v>
      </c>
      <c r="G55" s="3189" t="s">
        <v>2764</v>
      </c>
      <c r="H55" s="3261"/>
      <c r="I55" s="144" t="s">
        <v>2765</v>
      </c>
      <c r="J55" s="2713">
        <f>项目基本情况!F35</f>
        <v>0</v>
      </c>
      <c r="K55" s="2714" t="s">
        <v>2766</v>
      </c>
      <c r="L55" s="1108"/>
      <c r="M55" s="1146"/>
      <c r="N55" s="1146"/>
      <c r="O55" s="1146"/>
    </row>
    <row r="56" spans="1:15" s="691" customFormat="1">
      <c r="A56" s="687" t="s">
        <v>2767</v>
      </c>
      <c r="B56" s="688" t="e">
        <f>C48</f>
        <v>#DIV/0!</v>
      </c>
      <c r="C56" s="689">
        <v>1</v>
      </c>
      <c r="D56" s="1165">
        <v>1</v>
      </c>
      <c r="E56" s="689">
        <f>'数据-汇总表'!E8+'数据-汇总表'!E9</f>
        <v>71089.5</v>
      </c>
      <c r="F56" s="1105" t="e">
        <f t="shared" ref="F56:F65" si="15">ROUND(B56*E56/10000,0)</f>
        <v>#DIV/0!</v>
      </c>
      <c r="G56" s="3185"/>
      <c r="H56" s="3170"/>
      <c r="I56" s="1110">
        <v>1</v>
      </c>
      <c r="J56" s="1113">
        <v>1</v>
      </c>
      <c r="K56" s="1147"/>
      <c r="L56" s="943"/>
      <c r="M56" s="943"/>
      <c r="N56" s="943"/>
      <c r="O56" s="943"/>
    </row>
    <row r="57" spans="1:15" s="691" customFormat="1">
      <c r="A57" s="692" t="s">
        <v>2768</v>
      </c>
      <c r="B57" s="261" t="e">
        <f>ROUND($C$48*C57*D57,0)</f>
        <v>#DIV/0!</v>
      </c>
      <c r="C57" s="200">
        <f t="shared" ref="C57:C65" si="16">IF($C$55="北京市系数",I57,J57)</f>
        <v>0.7</v>
      </c>
      <c r="D57" s="1166">
        <v>0.25</v>
      </c>
      <c r="E57" s="693"/>
      <c r="F57" s="1105" t="e">
        <f t="shared" si="15"/>
        <v>#DIV/0!</v>
      </c>
      <c r="G57" s="3262" t="s">
        <v>2769</v>
      </c>
      <c r="H57" s="1106" t="str">
        <f>项目基本情况!B37</f>
        <v>六级</v>
      </c>
      <c r="I57" s="1110">
        <f>SUMIF(修正!A45:A56,H57,修正!B45:B56)</f>
        <v>0.7</v>
      </c>
      <c r="J57" s="1114"/>
      <c r="K57" s="1146"/>
      <c r="L57" s="943"/>
      <c r="M57" s="943"/>
      <c r="N57" s="943"/>
      <c r="O57" s="943"/>
    </row>
    <row r="58" spans="1:15" s="691" customFormat="1">
      <c r="A58" s="692" t="s">
        <v>2770</v>
      </c>
      <c r="B58" s="261" t="e">
        <f t="shared" ref="B58:B65" si="17">ROUND($C$48*C58*D58,0)</f>
        <v>#DIV/0!</v>
      </c>
      <c r="C58" s="200">
        <f t="shared" si="16"/>
        <v>0.4</v>
      </c>
      <c r="D58" s="1166">
        <v>0.25</v>
      </c>
      <c r="E58" s="693"/>
      <c r="F58" s="1105" t="e">
        <f t="shared" si="15"/>
        <v>#DIV/0!</v>
      </c>
      <c r="G58" s="3262"/>
      <c r="H58" s="1106" t="str">
        <f>项目基本情况!B37</f>
        <v>六级</v>
      </c>
      <c r="I58" s="1110">
        <f>SUMIF(修正!A45:A56,H58,修正!C45:C56)</f>
        <v>0.4</v>
      </c>
      <c r="J58" s="1114"/>
      <c r="K58" s="1147"/>
      <c r="L58" s="943"/>
      <c r="M58" s="943"/>
      <c r="N58" s="943"/>
      <c r="O58" s="943"/>
    </row>
    <row r="59" spans="1:15" s="691" customFormat="1">
      <c r="A59" s="692" t="s">
        <v>2771</v>
      </c>
      <c r="B59" s="261" t="e">
        <f t="shared" si="17"/>
        <v>#DIV/0!</v>
      </c>
      <c r="C59" s="200">
        <f t="shared" si="16"/>
        <v>0.28000000000000003</v>
      </c>
      <c r="D59" s="1166">
        <v>0.25</v>
      </c>
      <c r="E59" s="693"/>
      <c r="F59" s="1105" t="e">
        <f t="shared" si="15"/>
        <v>#DIV/0!</v>
      </c>
      <c r="G59" s="3262"/>
      <c r="H59" s="1106" t="str">
        <f>项目基本情况!B37</f>
        <v>六级</v>
      </c>
      <c r="I59" s="1110">
        <f>SUMIF(修正!A45:A56,H59,修正!D45:D56)</f>
        <v>0.28000000000000003</v>
      </c>
      <c r="J59" s="1114"/>
      <c r="K59" s="1146"/>
      <c r="L59" s="943"/>
      <c r="M59" s="943"/>
      <c r="N59" s="943"/>
      <c r="O59" s="943"/>
    </row>
    <row r="60" spans="1:15" s="691" customFormat="1">
      <c r="A60" s="692" t="s">
        <v>2772</v>
      </c>
      <c r="B60" s="261" t="e">
        <f t="shared" si="17"/>
        <v>#DIV/0!</v>
      </c>
      <c r="C60" s="200">
        <f t="shared" si="16"/>
        <v>0.25</v>
      </c>
      <c r="D60" s="1166">
        <v>0.25</v>
      </c>
      <c r="E60" s="693"/>
      <c r="F60" s="1105" t="e">
        <f t="shared" si="15"/>
        <v>#DIV/0!</v>
      </c>
      <c r="G60" s="3262"/>
      <c r="H60" s="1106" t="str">
        <f>项目基本情况!B37</f>
        <v>六级</v>
      </c>
      <c r="I60" s="1110">
        <f>SUMIF(修正!A45:A56,H60,修正!E45:E56)</f>
        <v>0.25</v>
      </c>
      <c r="J60" s="1114"/>
      <c r="K60" s="1147"/>
      <c r="L60" s="943"/>
      <c r="M60" s="943"/>
      <c r="N60" s="943"/>
      <c r="O60" s="943"/>
    </row>
    <row r="61" spans="1:15" s="691" customFormat="1">
      <c r="A61" s="692" t="s">
        <v>2773</v>
      </c>
      <c r="B61" s="261" t="e">
        <f t="shared" si="17"/>
        <v>#DIV/0!</v>
      </c>
      <c r="C61" s="200">
        <f t="shared" si="16"/>
        <v>0</v>
      </c>
      <c r="D61" s="1166">
        <v>0.25</v>
      </c>
      <c r="E61" s="260">
        <f>'数据-汇总表'!E11</f>
        <v>0</v>
      </c>
      <c r="F61" s="1105" t="e">
        <f t="shared" si="15"/>
        <v>#DIV/0!</v>
      </c>
      <c r="G61" s="2715" t="s">
        <v>2774</v>
      </c>
      <c r="H61" s="1106">
        <f>项目基本情况!C37</f>
        <v>0</v>
      </c>
      <c r="I61" s="1110">
        <f>SUMIF(修正!A45:A56,H61,修正!F45:F56)</f>
        <v>0</v>
      </c>
      <c r="J61" s="1114"/>
      <c r="K61" s="1146"/>
      <c r="L61" s="943"/>
      <c r="M61" s="943"/>
      <c r="N61" s="943"/>
      <c r="O61" s="943"/>
    </row>
    <row r="62" spans="1:15" s="691" customFormat="1">
      <c r="A62" s="692" t="s">
        <v>2775</v>
      </c>
      <c r="B62" s="261" t="e">
        <f t="shared" si="17"/>
        <v>#DIV/0!</v>
      </c>
      <c r="C62" s="200">
        <f t="shared" si="16"/>
        <v>0</v>
      </c>
      <c r="D62" s="1166">
        <v>0.25</v>
      </c>
      <c r="E62" s="260">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1" t="e">
        <f t="shared" si="17"/>
        <v>#DIV/0!</v>
      </c>
      <c r="C63" s="200">
        <f t="shared" si="16"/>
        <v>0.2</v>
      </c>
      <c r="D63" s="1166">
        <v>0.25</v>
      </c>
      <c r="E63" s="260">
        <f>'数据-汇总表'!E13</f>
        <v>0</v>
      </c>
      <c r="F63" s="1105" t="e">
        <f t="shared" si="15"/>
        <v>#DIV/0!</v>
      </c>
      <c r="G63" s="1111" t="s">
        <v>2778</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1" customFormat="1">
      <c r="A64" s="692" t="s">
        <v>2779</v>
      </c>
      <c r="B64" s="261" t="e">
        <f t="shared" si="17"/>
        <v>#DIV/0!</v>
      </c>
      <c r="C64" s="200">
        <f t="shared" si="16"/>
        <v>0.2</v>
      </c>
      <c r="D64" s="1166">
        <v>0.25</v>
      </c>
      <c r="E64" s="260">
        <f>'数据-汇总表'!E14</f>
        <v>0</v>
      </c>
      <c r="F64" s="1105" t="e">
        <f t="shared" si="15"/>
        <v>#DIV/0!</v>
      </c>
      <c r="G64" s="2715" t="s">
        <v>2769</v>
      </c>
      <c r="H64" s="1106" t="str">
        <f>项目基本情况!B37</f>
        <v>六级</v>
      </c>
      <c r="I64" s="1110">
        <f>SUMIF(修正!A45:A56,H64,修正!H45:H56)</f>
        <v>0.2</v>
      </c>
      <c r="J64" s="1114"/>
      <c r="K64" s="1147"/>
      <c r="L64" s="943"/>
      <c r="M64" s="943"/>
      <c r="N64" s="943"/>
      <c r="O64" s="943"/>
    </row>
    <row r="65" spans="1:17" s="691" customFormat="1" ht="15" thickBot="1">
      <c r="A65" s="692" t="s">
        <v>2780</v>
      </c>
      <c r="B65" s="261" t="e">
        <f t="shared" si="17"/>
        <v>#DIV/0!</v>
      </c>
      <c r="C65" s="200">
        <f t="shared" si="16"/>
        <v>0</v>
      </c>
      <c r="D65" s="1166">
        <v>0.25</v>
      </c>
      <c r="E65" s="260">
        <f>'数据-汇总表'!E15</f>
        <v>0</v>
      </c>
      <c r="F65" s="1105" t="e">
        <f t="shared" si="15"/>
        <v>#DIV/0!</v>
      </c>
      <c r="G65" s="2716"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71089.5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7" t="s">
        <v>2782</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8" t="s">
        <v>2783</v>
      </c>
      <c r="B71" s="331" t="str">
        <f>"北京市平均增长率"&amp;TEXT(SUMIF(基准地价修正住宅!N21:N25,A71,基准地价修正住宅!P21:P25),"0.00%")</f>
        <v>北京市平均增长率2.45%</v>
      </c>
      <c r="C71" s="602">
        <v>100</v>
      </c>
      <c r="D71" s="594"/>
      <c r="E71" s="594"/>
      <c r="F71" s="594"/>
      <c r="G71" s="594"/>
      <c r="H71" s="594"/>
      <c r="I71" s="594"/>
      <c r="J71" s="594"/>
      <c r="K71" s="594"/>
      <c r="L71" s="594"/>
      <c r="M71" s="1569"/>
      <c r="N71" s="594"/>
      <c r="O71" s="1570"/>
      <c r="P71" s="503"/>
    </row>
    <row r="72" spans="1:17" s="117" customFormat="1" ht="15.75" thickBot="1">
      <c r="A72" s="514" t="s">
        <v>2585</v>
      </c>
      <c r="B72" s="515"/>
      <c r="C72" s="516"/>
      <c r="D72" s="517"/>
      <c r="E72" s="517"/>
      <c r="F72" s="517"/>
      <c r="G72" s="517"/>
      <c r="H72" s="517"/>
      <c r="I72" s="517"/>
      <c r="J72" s="517"/>
      <c r="K72" s="517"/>
      <c r="L72" s="517"/>
      <c r="M72" s="518"/>
      <c r="N72" s="517"/>
      <c r="O72" s="1164"/>
      <c r="P72" s="503"/>
      <c r="Q72" s="503"/>
    </row>
    <row r="73" spans="1:17" s="117" customFormat="1" ht="15">
      <c r="A73" s="520" t="s">
        <v>2550</v>
      </c>
      <c r="B73" s="509"/>
      <c r="C73" s="521" t="s">
        <v>2652</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99" t="s">
        <v>2647</v>
      </c>
      <c r="S4" s="3200"/>
      <c r="T4" s="3199" t="s">
        <v>2648</v>
      </c>
      <c r="U4" s="3200"/>
      <c r="V4" s="3184" t="s">
        <v>2649</v>
      </c>
      <c r="W4" s="3184"/>
      <c r="X4" s="1815"/>
      <c r="Y4" s="3199" t="s">
        <v>2651</v>
      </c>
      <c r="Z4" s="3200"/>
      <c r="AA4" s="3186" t="s">
        <v>2647</v>
      </c>
      <c r="AB4" s="3187" t="s">
        <v>2648</v>
      </c>
      <c r="AC4" s="3186" t="s">
        <v>2649</v>
      </c>
    </row>
    <row r="5" spans="1:29" ht="15">
      <c r="A5" s="403"/>
      <c r="B5" s="404"/>
      <c r="C5" s="3207" t="s">
        <v>2542</v>
      </c>
      <c r="D5" s="3208"/>
      <c r="E5" s="3214" t="s">
        <v>2543</v>
      </c>
      <c r="F5" s="3215"/>
      <c r="G5" s="3207" t="s">
        <v>2544</v>
      </c>
      <c r="H5" s="3208"/>
      <c r="I5" s="3207" t="s">
        <v>2545</v>
      </c>
      <c r="J5" s="3208"/>
      <c r="K5" s="609"/>
      <c r="L5" s="1132"/>
      <c r="M5" s="1133"/>
      <c r="N5" s="1133"/>
      <c r="O5" s="1133"/>
      <c r="P5" s="3195"/>
      <c r="Q5" s="3196"/>
      <c r="R5" s="3201"/>
      <c r="S5" s="3202"/>
      <c r="T5" s="3201"/>
      <c r="U5" s="3202"/>
      <c r="V5" s="3184"/>
      <c r="W5" s="3184"/>
      <c r="X5" s="1815"/>
      <c r="Y5" s="3201"/>
      <c r="Z5" s="3202"/>
      <c r="AA5" s="3187"/>
      <c r="AB5" s="3187"/>
      <c r="AC5" s="3187"/>
    </row>
    <row r="6" spans="1:29" ht="15.75" thickBot="1">
      <c r="A6" s="405"/>
      <c r="B6" s="406"/>
      <c r="C6" s="3263" t="s">
        <v>2797</v>
      </c>
      <c r="D6" s="3264"/>
      <c r="E6" s="3265" t="s">
        <v>2797</v>
      </c>
      <c r="F6" s="3266"/>
      <c r="G6" s="3263" t="s">
        <v>2797</v>
      </c>
      <c r="H6" s="3264"/>
      <c r="I6" s="3263" t="s">
        <v>2797</v>
      </c>
      <c r="J6" s="3264"/>
      <c r="K6" s="609" t="s">
        <v>2547</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7" t="s">
        <v>2548</v>
      </c>
      <c r="B7" s="408"/>
      <c r="C7" s="409">
        <f>'数据-取费表'!B2</f>
        <v>43312</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209" t="s">
        <v>2549</v>
      </c>
      <c r="Q7" s="3211"/>
      <c r="R7" s="769" t="s">
        <v>17</v>
      </c>
      <c r="S7" s="770">
        <f t="shared" ref="S7:S15" si="0">F7</f>
        <v>0</v>
      </c>
      <c r="T7" s="769" t="s">
        <v>17</v>
      </c>
      <c r="U7" s="770">
        <f t="shared" ref="U7:U15" si="1">H7</f>
        <v>0</v>
      </c>
      <c r="V7" s="769" t="s">
        <v>17</v>
      </c>
      <c r="W7" s="770">
        <f t="shared" ref="W7:W15" si="2">J7</f>
        <v>0</v>
      </c>
      <c r="X7" s="771"/>
      <c r="Y7" s="3209" t="s">
        <v>2549</v>
      </c>
      <c r="Z7" s="3210"/>
      <c r="AA7" s="772" t="e">
        <f>D7/F7</f>
        <v>#DIV/0!</v>
      </c>
      <c r="AB7" s="772" t="e">
        <f>D7/H7</f>
        <v>#DIV/0!</v>
      </c>
      <c r="AC7" s="772" t="e">
        <f>D7/J7</f>
        <v>#DIV/0!</v>
      </c>
    </row>
    <row r="8" spans="1:29" s="117"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9" t="s">
        <v>2552</v>
      </c>
      <c r="Q8" s="3210"/>
      <c r="R8" s="769" t="s">
        <v>17</v>
      </c>
      <c r="S8" s="770">
        <f t="shared" si="0"/>
        <v>0</v>
      </c>
      <c r="T8" s="769" t="s">
        <v>17</v>
      </c>
      <c r="U8" s="770">
        <f t="shared" si="1"/>
        <v>0</v>
      </c>
      <c r="V8" s="769" t="s">
        <v>17</v>
      </c>
      <c r="W8" s="770">
        <f t="shared" si="2"/>
        <v>0</v>
      </c>
      <c r="X8" s="771"/>
      <c r="Y8" s="3209" t="s">
        <v>2552</v>
      </c>
      <c r="Z8" s="3210"/>
      <c r="AA8" s="772" t="e">
        <f t="shared" ref="AA8:AA40" si="3">D8/F8</f>
        <v>#DIV/0!</v>
      </c>
      <c r="AB8" s="772" t="e">
        <f t="shared" ref="AB8:AB40" si="4">D8/H8</f>
        <v>#DIV/0!</v>
      </c>
      <c r="AC8" s="772" t="e">
        <f t="shared" ref="AC8:AC40" si="5">D8/J8</f>
        <v>#DIV/0!</v>
      </c>
    </row>
    <row r="9" spans="1:29" s="117" customFormat="1">
      <c r="A9" s="414" t="s">
        <v>2553</v>
      </c>
      <c r="B9" s="71" t="s">
        <v>2554</v>
      </c>
      <c r="C9" s="2705"/>
      <c r="D9" s="135">
        <v>100</v>
      </c>
      <c r="E9" s="2705"/>
      <c r="F9" s="135">
        <f>SUMIF(70:70,E9,71:71)-SUMIF(70:70,C9,71:71)+100</f>
        <v>100</v>
      </c>
      <c r="G9" s="2705"/>
      <c r="H9" s="135">
        <f>SUMIF(70:70,G9,71:71)-SUMIF(70:70,C9,71:71)+100</f>
        <v>100</v>
      </c>
      <c r="I9" s="2705"/>
      <c r="J9" s="135">
        <f>SUMIF(70:70,I9,71:71)-SUMIF(70:70,C9,71:71)+100</f>
        <v>100</v>
      </c>
      <c r="K9" s="610"/>
      <c r="L9" s="1134"/>
      <c r="M9" s="1135"/>
      <c r="N9" s="1135"/>
      <c r="O9" s="1136"/>
      <c r="P9" s="3170" t="s">
        <v>2555</v>
      </c>
      <c r="Q9" s="1797" t="str">
        <f t="shared" ref="Q9:Q15" si="6">B9</f>
        <v>用途</v>
      </c>
      <c r="R9" s="769" t="s">
        <v>17</v>
      </c>
      <c r="S9" s="770">
        <f t="shared" si="0"/>
        <v>100</v>
      </c>
      <c r="T9" s="769" t="s">
        <v>17</v>
      </c>
      <c r="U9" s="770">
        <f t="shared" si="1"/>
        <v>100</v>
      </c>
      <c r="V9" s="769" t="s">
        <v>17</v>
      </c>
      <c r="W9" s="770">
        <f t="shared" si="2"/>
        <v>100</v>
      </c>
      <c r="X9" s="771"/>
      <c r="Y9" s="3005" t="s">
        <v>2556</v>
      </c>
      <c r="Z9" s="55" t="str">
        <f t="shared" ref="Z9:Z15" si="7">Q9</f>
        <v>用途</v>
      </c>
      <c r="AA9" s="772">
        <f t="shared" si="3"/>
        <v>1</v>
      </c>
      <c r="AB9" s="772">
        <f t="shared" si="4"/>
        <v>1</v>
      </c>
      <c r="AC9" s="772">
        <f t="shared" si="5"/>
        <v>1</v>
      </c>
    </row>
    <row r="10" spans="1:29" s="426" customFormat="1" ht="27">
      <c r="A10" s="420"/>
      <c r="B10" s="421" t="s">
        <v>2557</v>
      </c>
      <c r="C10" s="431"/>
      <c r="D10" s="136">
        <v>100</v>
      </c>
      <c r="E10" s="431"/>
      <c r="F10" s="136">
        <f>ROUND(100/'数据-取费表'!G16,0)</f>
        <v>102</v>
      </c>
      <c r="G10" s="431"/>
      <c r="H10" s="136">
        <f>ROUND(100/'数据-取费表'!G16,0)</f>
        <v>102</v>
      </c>
      <c r="I10" s="431"/>
      <c r="J10" s="136">
        <f>ROUND(100/'数据-取费表'!G16,0)</f>
        <v>102</v>
      </c>
      <c r="K10" s="671"/>
      <c r="L10" s="1137"/>
      <c r="M10" s="1138"/>
      <c r="N10" s="1138"/>
      <c r="O10" s="1139"/>
      <c r="P10" s="3170"/>
      <c r="Q10" s="1797" t="str">
        <f t="shared" si="6"/>
        <v>土地使用年限（年）</v>
      </c>
      <c r="R10" s="769" t="s">
        <v>17</v>
      </c>
      <c r="S10" s="770">
        <f t="shared" si="0"/>
        <v>102</v>
      </c>
      <c r="T10" s="769" t="s">
        <v>17</v>
      </c>
      <c r="U10" s="770">
        <f t="shared" si="1"/>
        <v>102</v>
      </c>
      <c r="V10" s="769" t="s">
        <v>17</v>
      </c>
      <c r="W10" s="770">
        <f t="shared" si="2"/>
        <v>102</v>
      </c>
      <c r="X10" s="771"/>
      <c r="Y10" s="3005"/>
      <c r="Z10" s="55" t="str">
        <f t="shared" si="7"/>
        <v>土地使用年限（年）</v>
      </c>
      <c r="AA10" s="772">
        <f t="shared" si="3"/>
        <v>0.98039215686274506</v>
      </c>
      <c r="AB10" s="772">
        <f t="shared" si="4"/>
        <v>0.98039215686274506</v>
      </c>
      <c r="AC10" s="772">
        <f t="shared" si="5"/>
        <v>0.98039215686274506</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70"/>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6">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7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6">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7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0"/>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57">
      <c r="A15" s="439" t="s">
        <v>2559</v>
      </c>
      <c r="B15" s="628" t="s">
        <v>2798</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7" t="s">
        <v>2560</v>
      </c>
      <c r="Q15" s="1812" t="str">
        <f t="shared" si="6"/>
        <v>产业集聚程度</v>
      </c>
      <c r="R15" s="773" t="s">
        <v>17</v>
      </c>
      <c r="S15" s="774">
        <f t="shared" si="0"/>
        <v>100</v>
      </c>
      <c r="T15" s="773" t="s">
        <v>17</v>
      </c>
      <c r="U15" s="774">
        <f t="shared" si="1"/>
        <v>100</v>
      </c>
      <c r="V15" s="773" t="s">
        <v>17</v>
      </c>
      <c r="W15" s="774">
        <f t="shared" si="2"/>
        <v>100</v>
      </c>
      <c r="X15" s="1815"/>
      <c r="Y15" s="3177" t="s">
        <v>2560</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178"/>
      <c r="Q16" s="1812"/>
      <c r="R16" s="773"/>
      <c r="S16" s="774"/>
      <c r="T16" s="773"/>
      <c r="U16" s="774"/>
      <c r="V16" s="773"/>
      <c r="W16" s="774"/>
      <c r="X16" s="1815"/>
      <c r="Y16" s="3178"/>
      <c r="Z16" s="1816"/>
      <c r="AA16" s="1813">
        <v>1</v>
      </c>
      <c r="AB16" s="1813">
        <v>1</v>
      </c>
      <c r="AC16" s="1813">
        <v>1</v>
      </c>
    </row>
    <row r="17" spans="1:29" ht="85.5">
      <c r="A17" s="427"/>
      <c r="B17" s="630" t="s">
        <v>2709</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8"/>
      <c r="Q17" s="1812" t="str">
        <f>B17</f>
        <v>交通便捷度</v>
      </c>
      <c r="R17" s="773" t="s">
        <v>17</v>
      </c>
      <c r="S17" s="774">
        <f>F17</f>
        <v>100</v>
      </c>
      <c r="T17" s="773" t="s">
        <v>17</v>
      </c>
      <c r="U17" s="774">
        <f>H17</f>
        <v>100</v>
      </c>
      <c r="V17" s="773" t="s">
        <v>17</v>
      </c>
      <c r="W17" s="774">
        <f>J17</f>
        <v>100</v>
      </c>
      <c r="X17" s="1815"/>
      <c r="Y17" s="3178"/>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178"/>
      <c r="Q18" s="1812"/>
      <c r="R18" s="773"/>
      <c r="S18" s="774"/>
      <c r="T18" s="773"/>
      <c r="U18" s="774"/>
      <c r="V18" s="773"/>
      <c r="W18" s="774"/>
      <c r="X18" s="1815"/>
      <c r="Y18" s="3178"/>
      <c r="Z18" s="1816"/>
      <c r="AA18" s="1813">
        <v>1</v>
      </c>
      <c r="AB18" s="1813">
        <v>1</v>
      </c>
      <c r="AC18" s="1813">
        <v>1</v>
      </c>
    </row>
    <row r="19" spans="1:29" ht="15">
      <c r="A19" s="427"/>
      <c r="B19" s="630" t="s">
        <v>2748</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8"/>
      <c r="Q19" s="1812" t="str">
        <f t="shared" ref="Q19:Q33" si="8">B19</f>
        <v>区域土地利用方向</v>
      </c>
      <c r="R19" s="773" t="s">
        <v>17</v>
      </c>
      <c r="S19" s="774">
        <f>F19</f>
        <v>100</v>
      </c>
      <c r="T19" s="773" t="s">
        <v>17</v>
      </c>
      <c r="U19" s="774">
        <f>H19</f>
        <v>100</v>
      </c>
      <c r="V19" s="773" t="s">
        <v>17</v>
      </c>
      <c r="W19" s="774">
        <f>J19</f>
        <v>100</v>
      </c>
      <c r="X19" s="1815"/>
      <c r="Y19" s="3178"/>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178"/>
      <c r="Q20" s="1812"/>
      <c r="R20" s="773"/>
      <c r="S20" s="774"/>
      <c r="T20" s="773"/>
      <c r="U20" s="774"/>
      <c r="V20" s="773"/>
      <c r="W20" s="774"/>
      <c r="X20" s="1815"/>
      <c r="Y20" s="3178"/>
      <c r="Z20" s="1816"/>
      <c r="AA20" s="1813"/>
      <c r="AB20" s="1813"/>
      <c r="AC20" s="1813"/>
    </row>
    <row r="21" spans="1:29" ht="71.25">
      <c r="A21" s="403"/>
      <c r="B21" s="630" t="s">
        <v>2799</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8"/>
      <c r="Q21" s="1812" t="str">
        <f t="shared" si="8"/>
        <v>环境状况</v>
      </c>
      <c r="R21" s="773" t="s">
        <v>17</v>
      </c>
      <c r="S21" s="774">
        <f>F21</f>
        <v>100</v>
      </c>
      <c r="T21" s="773" t="s">
        <v>17</v>
      </c>
      <c r="U21" s="774">
        <f>H21</f>
        <v>100</v>
      </c>
      <c r="V21" s="773" t="s">
        <v>17</v>
      </c>
      <c r="W21" s="774">
        <f>J21</f>
        <v>100</v>
      </c>
      <c r="X21" s="1815"/>
      <c r="Y21" s="3178"/>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178"/>
      <c r="Q22" s="1812"/>
      <c r="R22" s="773"/>
      <c r="S22" s="774"/>
      <c r="T22" s="773"/>
      <c r="U22" s="774"/>
      <c r="V22" s="773"/>
      <c r="W22" s="774"/>
      <c r="X22" s="1815"/>
      <c r="Y22" s="3178"/>
      <c r="Z22" s="1816"/>
      <c r="AA22" s="1813">
        <v>1</v>
      </c>
      <c r="AB22" s="1813">
        <v>1</v>
      </c>
      <c r="AC22" s="1813">
        <v>1</v>
      </c>
    </row>
    <row r="23" spans="1:29" s="117" customFormat="1" ht="42.75">
      <c r="A23" s="648"/>
      <c r="B23" s="632" t="s">
        <v>2654</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8"/>
      <c r="Q23" s="1797" t="str">
        <f t="shared" si="8"/>
        <v>公共配套设施</v>
      </c>
      <c r="R23" s="769" t="s">
        <v>17</v>
      </c>
      <c r="S23" s="770">
        <f>F23</f>
        <v>100</v>
      </c>
      <c r="T23" s="769" t="s">
        <v>17</v>
      </c>
      <c r="U23" s="770">
        <f>H23</f>
        <v>100</v>
      </c>
      <c r="V23" s="769" t="s">
        <v>17</v>
      </c>
      <c r="W23" s="770">
        <f>J23</f>
        <v>100</v>
      </c>
      <c r="X23" s="771"/>
      <c r="Y23" s="3178"/>
      <c r="Z23" s="55" t="str">
        <f>Q23</f>
        <v>公共配套设施</v>
      </c>
      <c r="AA23" s="1813">
        <f>D23/F23</f>
        <v>1</v>
      </c>
      <c r="AB23" s="1813">
        <f>D23/H23</f>
        <v>1</v>
      </c>
      <c r="AC23" s="1813">
        <f>D23/J23</f>
        <v>1</v>
      </c>
    </row>
    <row r="24" spans="1:29" s="117" customFormat="1" ht="15">
      <c r="A24" s="648"/>
      <c r="B24" s="631"/>
      <c r="C24" s="2706"/>
      <c r="D24" s="447"/>
      <c r="E24" s="2617"/>
      <c r="F24" s="447"/>
      <c r="G24" s="2617"/>
      <c r="H24" s="447"/>
      <c r="I24" s="446"/>
      <c r="J24" s="447"/>
      <c r="K24" s="671"/>
      <c r="L24" s="1134"/>
      <c r="M24" s="1135"/>
      <c r="N24" s="1135"/>
      <c r="O24" s="1136"/>
      <c r="P24" s="3178"/>
      <c r="Q24" s="1797"/>
      <c r="R24" s="769"/>
      <c r="S24" s="770"/>
      <c r="T24" s="769"/>
      <c r="U24" s="770"/>
      <c r="V24" s="769"/>
      <c r="W24" s="770"/>
      <c r="X24" s="771"/>
      <c r="Y24" s="3178"/>
      <c r="Z24" s="55"/>
      <c r="AA24" s="772">
        <v>1</v>
      </c>
      <c r="AB24" s="772">
        <v>1</v>
      </c>
      <c r="AC24" s="772">
        <v>1</v>
      </c>
    </row>
    <row r="25" spans="1:29" s="117" customFormat="1" ht="28.5">
      <c r="A25" s="648"/>
      <c r="B25" s="632" t="s">
        <v>2655</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8"/>
      <c r="Q25" s="1797" t="str">
        <f t="shared" ref="Q25" si="9">B25</f>
        <v>基础设施水平</v>
      </c>
      <c r="R25" s="769" t="s">
        <v>17</v>
      </c>
      <c r="S25" s="770">
        <f>F25</f>
        <v>100</v>
      </c>
      <c r="T25" s="769" t="s">
        <v>17</v>
      </c>
      <c r="U25" s="770">
        <f>H25</f>
        <v>100</v>
      </c>
      <c r="V25" s="769" t="s">
        <v>17</v>
      </c>
      <c r="W25" s="770">
        <f>J25</f>
        <v>100</v>
      </c>
      <c r="X25" s="771"/>
      <c r="Y25" s="3178"/>
      <c r="Z25" s="55" t="str">
        <f>Q25</f>
        <v>基础设施水平</v>
      </c>
      <c r="AA25" s="1813">
        <f>D25/F25</f>
        <v>1</v>
      </c>
      <c r="AB25" s="1813">
        <f>D25/H25</f>
        <v>1</v>
      </c>
      <c r="AC25" s="1813">
        <f>D25/J25</f>
        <v>1</v>
      </c>
    </row>
    <row r="26" spans="1:29" s="117" customFormat="1" ht="15">
      <c r="A26" s="648"/>
      <c r="B26" s="631"/>
      <c r="C26" s="2706"/>
      <c r="D26" s="447"/>
      <c r="E26" s="2707"/>
      <c r="F26" s="447"/>
      <c r="G26" s="2707"/>
      <c r="H26" s="447"/>
      <c r="I26" s="2707"/>
      <c r="J26" s="447"/>
      <c r="K26" s="671"/>
      <c r="L26" s="1134"/>
      <c r="M26" s="1135"/>
      <c r="N26" s="1135"/>
      <c r="O26" s="1136"/>
      <c r="P26" s="3178"/>
      <c r="Q26" s="1797"/>
      <c r="R26" s="769"/>
      <c r="S26" s="770"/>
      <c r="T26" s="769"/>
      <c r="U26" s="770"/>
      <c r="V26" s="769"/>
      <c r="W26" s="770"/>
      <c r="X26" s="771"/>
      <c r="Y26" s="3178"/>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8"/>
      <c r="Z27" s="1816" t="str">
        <f t="shared" ref="Z27:Z40" si="13">Q27</f>
        <v>临街状况</v>
      </c>
      <c r="AA27" s="1813">
        <f t="shared" si="3"/>
        <v>1</v>
      </c>
      <c r="AB27" s="1813">
        <f t="shared" si="4"/>
        <v>1</v>
      </c>
      <c r="AC27" s="1813">
        <f t="shared" si="5"/>
        <v>1</v>
      </c>
    </row>
    <row r="28" spans="1:29" ht="27">
      <c r="A28" s="427"/>
      <c r="B28" s="632" t="s">
        <v>2691</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8"/>
      <c r="Q28" s="1812" t="str">
        <f t="shared" si="8"/>
        <v>毗邻道路的类型与等级</v>
      </c>
      <c r="R28" s="773" t="s">
        <v>17</v>
      </c>
      <c r="S28" s="774">
        <f t="shared" si="10"/>
        <v>100</v>
      </c>
      <c r="T28" s="773" t="s">
        <v>17</v>
      </c>
      <c r="U28" s="774">
        <f t="shared" si="11"/>
        <v>100</v>
      </c>
      <c r="V28" s="773" t="s">
        <v>17</v>
      </c>
      <c r="W28" s="774">
        <f t="shared" si="12"/>
        <v>100</v>
      </c>
      <c r="X28" s="1815"/>
      <c r="Y28" s="3178"/>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178"/>
      <c r="Q29" s="1812"/>
      <c r="R29" s="773"/>
      <c r="S29" s="774"/>
      <c r="T29" s="773"/>
      <c r="U29" s="774"/>
      <c r="V29" s="773"/>
      <c r="W29" s="774"/>
      <c r="X29" s="1815"/>
      <c r="Y29" s="3178"/>
      <c r="Z29" s="1816"/>
      <c r="AA29" s="1813">
        <v>1</v>
      </c>
      <c r="AB29" s="1813">
        <v>1</v>
      </c>
      <c r="AC29" s="1813">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8"/>
      <c r="Q30" s="1812" t="str">
        <f t="shared" si="8"/>
        <v>土地级别</v>
      </c>
      <c r="R30" s="773" t="s">
        <v>17</v>
      </c>
      <c r="S30" s="774">
        <f t="shared" si="10"/>
        <v>100</v>
      </c>
      <c r="T30" s="773" t="s">
        <v>17</v>
      </c>
      <c r="U30" s="774">
        <f t="shared" si="11"/>
        <v>100</v>
      </c>
      <c r="V30" s="773" t="s">
        <v>17</v>
      </c>
      <c r="W30" s="774">
        <f t="shared" si="12"/>
        <v>100</v>
      </c>
      <c r="X30" s="1815"/>
      <c r="Y30" s="3178"/>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8"/>
      <c r="Q31" s="1812">
        <f t="shared" si="8"/>
        <v>111</v>
      </c>
      <c r="R31" s="773" t="s">
        <v>17</v>
      </c>
      <c r="S31" s="774">
        <f t="shared" si="10"/>
        <v>100</v>
      </c>
      <c r="T31" s="773" t="s">
        <v>17</v>
      </c>
      <c r="U31" s="774">
        <f t="shared" si="11"/>
        <v>100</v>
      </c>
      <c r="V31" s="773" t="s">
        <v>17</v>
      </c>
      <c r="W31" s="774">
        <f t="shared" si="12"/>
        <v>100</v>
      </c>
      <c r="X31" s="1815"/>
      <c r="Y31" s="3178"/>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8" t="s">
        <v>2565</v>
      </c>
      <c r="Q32" s="1812">
        <f t="shared" si="8"/>
        <v>111</v>
      </c>
      <c r="R32" s="773" t="s">
        <v>17</v>
      </c>
      <c r="S32" s="774">
        <f t="shared" si="10"/>
        <v>100</v>
      </c>
      <c r="T32" s="773" t="s">
        <v>17</v>
      </c>
      <c r="U32" s="774">
        <f t="shared" si="11"/>
        <v>100</v>
      </c>
      <c r="V32" s="773" t="s">
        <v>17</v>
      </c>
      <c r="W32" s="774">
        <f t="shared" si="12"/>
        <v>100</v>
      </c>
      <c r="X32" s="1815"/>
      <c r="Y32" s="3182" t="s">
        <v>2565</v>
      </c>
      <c r="Z32" s="1816">
        <f t="shared" si="13"/>
        <v>111</v>
      </c>
      <c r="AA32" s="1813">
        <f t="shared" si="3"/>
        <v>1</v>
      </c>
      <c r="AB32" s="1813">
        <f t="shared" si="4"/>
        <v>1</v>
      </c>
      <c r="AC32" s="1813">
        <f t="shared" si="5"/>
        <v>1</v>
      </c>
    </row>
    <row r="33" spans="1:29" s="470" customFormat="1" ht="15.75" thickBot="1">
      <c r="A33" s="675"/>
      <c r="B33" s="2721">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2"/>
      <c r="Q33" s="1812">
        <f t="shared" si="8"/>
        <v>111</v>
      </c>
      <c r="R33" s="776" t="s">
        <v>17</v>
      </c>
      <c r="S33" s="777">
        <f t="shared" si="10"/>
        <v>100</v>
      </c>
      <c r="T33" s="776" t="s">
        <v>17</v>
      </c>
      <c r="U33" s="777">
        <f t="shared" si="11"/>
        <v>100</v>
      </c>
      <c r="V33" s="776" t="s">
        <v>17</v>
      </c>
      <c r="W33" s="777">
        <f t="shared" si="12"/>
        <v>100</v>
      </c>
      <c r="X33" s="778"/>
      <c r="Y33" s="3182"/>
      <c r="Z33" s="779">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2"/>
      <c r="Q34" s="1812" t="str">
        <f>B34</f>
        <v>宗地面积</v>
      </c>
      <c r="R34" s="773" t="s">
        <v>17</v>
      </c>
      <c r="S34" s="774" t="e">
        <f t="shared" si="10"/>
        <v>#N/A</v>
      </c>
      <c r="T34" s="773" t="s">
        <v>17</v>
      </c>
      <c r="U34" s="774" t="e">
        <f t="shared" si="11"/>
        <v>#N/A</v>
      </c>
      <c r="V34" s="773" t="s">
        <v>17</v>
      </c>
      <c r="W34" s="774" t="e">
        <f t="shared" si="12"/>
        <v>#N/A</v>
      </c>
      <c r="X34" s="1815"/>
      <c r="Y34" s="3182"/>
      <c r="Z34" s="1816" t="str">
        <f t="shared" si="13"/>
        <v>宗地面积</v>
      </c>
      <c r="AA34" s="1813" t="e">
        <f t="shared" si="3"/>
        <v>#N/A</v>
      </c>
      <c r="AB34" s="1813" t="e">
        <f t="shared" si="4"/>
        <v>#N/A</v>
      </c>
      <c r="AC34" s="1813" t="e">
        <f t="shared" si="5"/>
        <v>#N/A</v>
      </c>
    </row>
    <row r="35" spans="1:29" ht="15">
      <c r="A35" s="471"/>
      <c r="B35" s="421" t="s">
        <v>2752</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182"/>
      <c r="Q35" s="1812" t="str">
        <f t="shared" ref="Q35:Q40" si="14">B35</f>
        <v>宗地形状</v>
      </c>
      <c r="R35" s="773" t="s">
        <v>17</v>
      </c>
      <c r="S35" s="774">
        <f t="shared" si="10"/>
        <v>100</v>
      </c>
      <c r="T35" s="773" t="s">
        <v>17</v>
      </c>
      <c r="U35" s="774">
        <f t="shared" si="11"/>
        <v>100</v>
      </c>
      <c r="V35" s="773" t="s">
        <v>17</v>
      </c>
      <c r="W35" s="774">
        <f t="shared" si="12"/>
        <v>100</v>
      </c>
      <c r="X35" s="1815"/>
      <c r="Y35" s="3182"/>
      <c r="Z35" s="1816" t="str">
        <f t="shared" si="13"/>
        <v>宗地形状</v>
      </c>
      <c r="AA35" s="1813">
        <f t="shared" si="3"/>
        <v>1</v>
      </c>
      <c r="AB35" s="1813">
        <f t="shared" si="4"/>
        <v>1</v>
      </c>
      <c r="AC35" s="1813">
        <f t="shared" si="5"/>
        <v>1</v>
      </c>
    </row>
    <row r="36" spans="1:29" s="117" customFormat="1" ht="15">
      <c r="A36" s="472"/>
      <c r="B36" s="421" t="s">
        <v>2754</v>
      </c>
      <c r="C36" s="2708"/>
      <c r="D36" s="136">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182"/>
      <c r="Q36" s="1812" t="str">
        <f t="shared" si="14"/>
        <v>宗地开发程度</v>
      </c>
      <c r="R36" s="769" t="s">
        <v>17</v>
      </c>
      <c r="S36" s="770">
        <f t="shared" si="10"/>
        <v>100</v>
      </c>
      <c r="T36" s="769" t="s">
        <v>17</v>
      </c>
      <c r="U36" s="770">
        <f t="shared" si="11"/>
        <v>100</v>
      </c>
      <c r="V36" s="769" t="s">
        <v>17</v>
      </c>
      <c r="W36" s="770">
        <f t="shared" si="12"/>
        <v>100</v>
      </c>
      <c r="X36" s="771"/>
      <c r="Y36" s="3182"/>
      <c r="Z36" s="55" t="str">
        <f t="shared" si="13"/>
        <v>宗地开发程度</v>
      </c>
      <c r="AA36" s="772">
        <f t="shared" si="3"/>
        <v>1</v>
      </c>
      <c r="AB36" s="772">
        <f t="shared" si="4"/>
        <v>1</v>
      </c>
      <c r="AC36" s="772">
        <f t="shared" si="5"/>
        <v>1</v>
      </c>
    </row>
    <row r="37" spans="1:29" ht="15">
      <c r="A37" s="471"/>
      <c r="B37" s="421" t="s">
        <v>2755</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182" t="s">
        <v>2565</v>
      </c>
      <c r="Q37" s="1812" t="str">
        <f t="shared" si="14"/>
        <v>工程地质条件</v>
      </c>
      <c r="R37" s="773" t="s">
        <v>17</v>
      </c>
      <c r="S37" s="774">
        <f t="shared" si="10"/>
        <v>100</v>
      </c>
      <c r="T37" s="773" t="s">
        <v>17</v>
      </c>
      <c r="U37" s="774">
        <f t="shared" si="11"/>
        <v>100</v>
      </c>
      <c r="V37" s="773" t="s">
        <v>17</v>
      </c>
      <c r="W37" s="774">
        <f t="shared" si="12"/>
        <v>100</v>
      </c>
      <c r="X37" s="1815"/>
      <c r="Y37" s="3182" t="s">
        <v>2565</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2"/>
      <c r="Q38" s="1812">
        <f t="shared" si="14"/>
        <v>111</v>
      </c>
      <c r="R38" s="773" t="s">
        <v>17</v>
      </c>
      <c r="S38" s="774">
        <f t="shared" si="10"/>
        <v>100</v>
      </c>
      <c r="T38" s="773" t="s">
        <v>17</v>
      </c>
      <c r="U38" s="774">
        <f t="shared" si="11"/>
        <v>100</v>
      </c>
      <c r="V38" s="773" t="s">
        <v>17</v>
      </c>
      <c r="W38" s="774">
        <f t="shared" si="12"/>
        <v>100</v>
      </c>
      <c r="X38" s="1815"/>
      <c r="Y38" s="3182"/>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2"/>
      <c r="Q39" s="1812">
        <f t="shared" si="14"/>
        <v>111</v>
      </c>
      <c r="R39" s="773" t="s">
        <v>17</v>
      </c>
      <c r="S39" s="774">
        <f t="shared" si="10"/>
        <v>100</v>
      </c>
      <c r="T39" s="773" t="s">
        <v>17</v>
      </c>
      <c r="U39" s="774">
        <f t="shared" si="11"/>
        <v>100</v>
      </c>
      <c r="V39" s="773" t="s">
        <v>17</v>
      </c>
      <c r="W39" s="774">
        <f t="shared" si="12"/>
        <v>100</v>
      </c>
      <c r="X39" s="1815"/>
      <c r="Y39" s="3182"/>
      <c r="Z39" s="1816">
        <f t="shared" si="13"/>
        <v>111</v>
      </c>
      <c r="AA39" s="1813">
        <f t="shared" si="3"/>
        <v>1</v>
      </c>
      <c r="AB39" s="1813">
        <f t="shared" si="4"/>
        <v>1</v>
      </c>
      <c r="AC39" s="1813">
        <f t="shared" si="5"/>
        <v>1</v>
      </c>
    </row>
    <row r="40" spans="1:29" s="470" customFormat="1" ht="15.75" thickBot="1">
      <c r="A40" s="467"/>
      <c r="B40" s="1389">
        <v>111</v>
      </c>
      <c r="C40" s="2709"/>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2"/>
      <c r="Q40" s="1812">
        <f t="shared" si="14"/>
        <v>111</v>
      </c>
      <c r="R40" s="776" t="s">
        <v>17</v>
      </c>
      <c r="S40" s="777">
        <f t="shared" si="10"/>
        <v>100</v>
      </c>
      <c r="T40" s="776" t="s">
        <v>17</v>
      </c>
      <c r="U40" s="777">
        <f t="shared" si="11"/>
        <v>100</v>
      </c>
      <c r="V40" s="776" t="s">
        <v>17</v>
      </c>
      <c r="W40" s="777">
        <f t="shared" si="12"/>
        <v>100</v>
      </c>
      <c r="X40" s="778"/>
      <c r="Y40" s="3182"/>
      <c r="Z40" s="779">
        <f t="shared" si="13"/>
        <v>111</v>
      </c>
      <c r="AA40" s="1813">
        <f t="shared" si="3"/>
        <v>1</v>
      </c>
      <c r="AB40" s="1813">
        <f t="shared" si="4"/>
        <v>1</v>
      </c>
      <c r="AC40" s="1813">
        <f t="shared" si="5"/>
        <v>1</v>
      </c>
    </row>
    <row r="41" spans="1:29" ht="15">
      <c r="A41" s="478" t="s">
        <v>2720</v>
      </c>
      <c r="B41" s="2710" t="s">
        <v>2800</v>
      </c>
      <c r="C41" s="681" t="s">
        <v>1</v>
      </c>
      <c r="D41" s="480"/>
      <c r="E41" s="481"/>
      <c r="F41" s="482"/>
      <c r="G41" s="483"/>
      <c r="H41" s="484"/>
      <c r="I41" s="481"/>
      <c r="J41" s="484"/>
      <c r="K41" s="782"/>
      <c r="L41" s="1145"/>
      <c r="M41" s="1133"/>
      <c r="N41" s="1133"/>
      <c r="O41" s="1146"/>
      <c r="P41" s="3170" t="str">
        <f>A41</f>
        <v>成交单价</v>
      </c>
      <c r="Q41" s="3170"/>
      <c r="R41" s="3184">
        <f>E41</f>
        <v>0</v>
      </c>
      <c r="S41" s="3184"/>
      <c r="T41" s="3184">
        <f>G41</f>
        <v>0</v>
      </c>
      <c r="U41" s="3184"/>
      <c r="V41" s="3184">
        <f>I41</f>
        <v>0</v>
      </c>
      <c r="W41" s="3184"/>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70" t="str">
        <f>A42</f>
        <v>比较价值（元/平方米）</v>
      </c>
      <c r="Q42" s="3170"/>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72" t="str">
        <f>A43</f>
        <v>估价对象XX用房的比较价值（楼面单价，元/平方米）</v>
      </c>
      <c r="Q43" s="3173"/>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11" t="s">
        <v>2760</v>
      </c>
      <c r="D50" s="2712" t="s">
        <v>2761</v>
      </c>
      <c r="E50" s="685" t="s">
        <v>2762</v>
      </c>
      <c r="F50" s="686" t="s">
        <v>2763</v>
      </c>
      <c r="G50" s="3189" t="s">
        <v>2764</v>
      </c>
      <c r="H50" s="3261"/>
      <c r="I50" s="1816" t="s">
        <v>2801</v>
      </c>
      <c r="J50" s="1816">
        <f>项目基本情况!F35</f>
        <v>0</v>
      </c>
      <c r="K50" s="2714" t="s">
        <v>2766</v>
      </c>
      <c r="L50" s="1108"/>
      <c r="M50" s="1146"/>
      <c r="N50" s="1146"/>
      <c r="O50" s="1146"/>
    </row>
    <row r="51" spans="1:17" s="691" customFormat="1">
      <c r="A51" s="687" t="s">
        <v>2767</v>
      </c>
      <c r="B51" s="688" t="e">
        <f>C43</f>
        <v>#DIV/0!</v>
      </c>
      <c r="C51" s="689">
        <v>1</v>
      </c>
      <c r="D51" s="1165">
        <v>1</v>
      </c>
      <c r="E51" s="689">
        <f>'数据-汇总表'!E8+'数据-汇总表'!E9</f>
        <v>71089.5</v>
      </c>
      <c r="F51" s="690" t="e">
        <f t="shared" ref="F51:F60" si="15">ROUND(B51*E51/10000,0)</f>
        <v>#DIV/0!</v>
      </c>
      <c r="G51" s="3185"/>
      <c r="H51" s="3170"/>
      <c r="I51" s="944">
        <v>1</v>
      </c>
      <c r="J51" s="944">
        <v>1</v>
      </c>
      <c r="K51" s="1147"/>
      <c r="L51" s="943"/>
      <c r="M51" s="943"/>
      <c r="N51" s="943"/>
      <c r="O51" s="943"/>
    </row>
    <row r="52" spans="1:17" s="691" customFormat="1">
      <c r="A52" s="692" t="s">
        <v>2768</v>
      </c>
      <c r="B52" s="261" t="e">
        <f>ROUND($C$43*C52*D52,0)</f>
        <v>#DIV/0!</v>
      </c>
      <c r="C52" s="200">
        <f t="shared" ref="C52:C60" si="16">IF($C$50="北京市系数",I52,J52)</f>
        <v>0.7</v>
      </c>
      <c r="D52" s="1166">
        <v>0.25</v>
      </c>
      <c r="E52" s="693"/>
      <c r="F52" s="690" t="e">
        <f t="shared" si="15"/>
        <v>#DIV/0!</v>
      </c>
      <c r="G52" s="3262" t="s">
        <v>2769</v>
      </c>
      <c r="H52" s="1106" t="str">
        <f>项目基本情况!B37</f>
        <v>六级</v>
      </c>
      <c r="I52" s="944">
        <f>SUMIF(修正!A45:A56,H52,修正!B45:B56)</f>
        <v>0.7</v>
      </c>
      <c r="J52" s="945"/>
      <c r="K52" s="1146"/>
      <c r="L52" s="943"/>
      <c r="M52" s="943"/>
      <c r="N52" s="943"/>
      <c r="O52" s="943"/>
    </row>
    <row r="53" spans="1:17" s="691" customFormat="1">
      <c r="A53" s="692" t="s">
        <v>2770</v>
      </c>
      <c r="B53" s="261" t="e">
        <f t="shared" ref="B53:B60" si="17">ROUND($C$43*C53*D53,0)</f>
        <v>#DIV/0!</v>
      </c>
      <c r="C53" s="200">
        <f t="shared" si="16"/>
        <v>0.4</v>
      </c>
      <c r="D53" s="1166">
        <v>0.25</v>
      </c>
      <c r="E53" s="693"/>
      <c r="F53" s="690" t="e">
        <f t="shared" si="15"/>
        <v>#DIV/0!</v>
      </c>
      <c r="G53" s="3262"/>
      <c r="H53" s="1106" t="str">
        <f>项目基本情况!B37</f>
        <v>六级</v>
      </c>
      <c r="I53" s="944">
        <f>SUMIF(修正!A45:A56,H53,修正!C45:C56)</f>
        <v>0.4</v>
      </c>
      <c r="J53" s="945"/>
      <c r="K53" s="1147"/>
      <c r="L53" s="943"/>
      <c r="M53" s="943"/>
      <c r="N53" s="943"/>
      <c r="O53" s="943"/>
    </row>
    <row r="54" spans="1:17" s="691" customFormat="1">
      <c r="A54" s="692" t="s">
        <v>2771</v>
      </c>
      <c r="B54" s="261" t="e">
        <f t="shared" si="17"/>
        <v>#DIV/0!</v>
      </c>
      <c r="C54" s="200">
        <f t="shared" si="16"/>
        <v>0.28000000000000003</v>
      </c>
      <c r="D54" s="1166">
        <v>0.25</v>
      </c>
      <c r="E54" s="693"/>
      <c r="F54" s="690" t="e">
        <f t="shared" si="15"/>
        <v>#DIV/0!</v>
      </c>
      <c r="G54" s="3262"/>
      <c r="H54" s="1106" t="str">
        <f>项目基本情况!B37</f>
        <v>六级</v>
      </c>
      <c r="I54" s="944">
        <f>SUMIF(修正!A45:A56,H54,修正!D45:D56)</f>
        <v>0.28000000000000003</v>
      </c>
      <c r="J54" s="945"/>
      <c r="K54" s="1146"/>
      <c r="L54" s="943"/>
      <c r="M54" s="943"/>
      <c r="N54" s="943"/>
      <c r="O54" s="943"/>
    </row>
    <row r="55" spans="1:17" s="691" customFormat="1">
      <c r="A55" s="692" t="s">
        <v>2772</v>
      </c>
      <c r="B55" s="261" t="e">
        <f t="shared" si="17"/>
        <v>#DIV/0!</v>
      </c>
      <c r="C55" s="200">
        <f t="shared" si="16"/>
        <v>0.25</v>
      </c>
      <c r="D55" s="1166">
        <v>0.25</v>
      </c>
      <c r="E55" s="693"/>
      <c r="F55" s="690" t="e">
        <f t="shared" si="15"/>
        <v>#DIV/0!</v>
      </c>
      <c r="G55" s="3262"/>
      <c r="H55" s="1106" t="str">
        <f>项目基本情况!B37</f>
        <v>六级</v>
      </c>
      <c r="I55" s="944">
        <f>SUMIF(修正!A45:A56,H55,修正!E45:E56)</f>
        <v>0.25</v>
      </c>
      <c r="J55" s="945"/>
      <c r="K55" s="1147"/>
      <c r="L55" s="943"/>
      <c r="M55" s="943"/>
      <c r="N55" s="943"/>
      <c r="O55" s="943"/>
    </row>
    <row r="56" spans="1:17" s="691" customFormat="1">
      <c r="A56" s="692" t="s">
        <v>2773</v>
      </c>
      <c r="B56" s="261" t="e">
        <f t="shared" si="17"/>
        <v>#DIV/0!</v>
      </c>
      <c r="C56" s="200">
        <f t="shared" si="16"/>
        <v>0</v>
      </c>
      <c r="D56" s="1166">
        <v>0.25</v>
      </c>
      <c r="E56" s="260">
        <f>'数据-汇总表'!E11</f>
        <v>0</v>
      </c>
      <c r="F56" s="690" t="e">
        <f t="shared" si="15"/>
        <v>#DIV/0!</v>
      </c>
      <c r="G56" s="2715" t="s">
        <v>2774</v>
      </c>
      <c r="H56" s="1106">
        <f>项目基本情况!C37</f>
        <v>0</v>
      </c>
      <c r="I56" s="944">
        <f>SUMIF(修正!A45:A56,H56,修正!F45:F56)</f>
        <v>0</v>
      </c>
      <c r="J56" s="945"/>
      <c r="K56" s="1146"/>
      <c r="L56" s="943"/>
      <c r="M56" s="943"/>
      <c r="N56" s="943"/>
      <c r="O56" s="943"/>
    </row>
    <row r="57" spans="1:17" s="691" customFormat="1">
      <c r="A57" s="692" t="s">
        <v>2775</v>
      </c>
      <c r="B57" s="261" t="e">
        <f t="shared" si="17"/>
        <v>#DIV/0!</v>
      </c>
      <c r="C57" s="200">
        <f t="shared" si="16"/>
        <v>0</v>
      </c>
      <c r="D57" s="1166">
        <v>0.25</v>
      </c>
      <c r="E57" s="260">
        <f>'数据-汇总表'!E12</f>
        <v>0</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1" t="e">
        <f t="shared" si="17"/>
        <v>#DIV/0!</v>
      </c>
      <c r="C58" s="200">
        <f t="shared" si="16"/>
        <v>0.2</v>
      </c>
      <c r="D58" s="1166">
        <v>0.25</v>
      </c>
      <c r="E58" s="260">
        <f>'数据-汇总表'!E13</f>
        <v>0</v>
      </c>
      <c r="F58" s="690" t="e">
        <f t="shared" si="15"/>
        <v>#DIV/0!</v>
      </c>
      <c r="G58" s="1111" t="s">
        <v>2778</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1" customFormat="1">
      <c r="A59" s="692" t="s">
        <v>2779</v>
      </c>
      <c r="B59" s="261" t="e">
        <f t="shared" si="17"/>
        <v>#DIV/0!</v>
      </c>
      <c r="C59" s="200">
        <f t="shared" si="16"/>
        <v>0.2</v>
      </c>
      <c r="D59" s="1166">
        <v>0.25</v>
      </c>
      <c r="E59" s="260">
        <f>'数据-汇总表'!E14</f>
        <v>0</v>
      </c>
      <c r="F59" s="690" t="e">
        <f t="shared" si="15"/>
        <v>#DIV/0!</v>
      </c>
      <c r="G59" s="2715" t="s">
        <v>2769</v>
      </c>
      <c r="H59" s="1106" t="str">
        <f>项目基本情况!B37</f>
        <v>六级</v>
      </c>
      <c r="I59" s="944">
        <f>SUMIF(修正!A45:A56,H59,修正!H45:H56)</f>
        <v>0.2</v>
      </c>
      <c r="J59" s="945"/>
      <c r="K59" s="1147"/>
      <c r="L59" s="943"/>
      <c r="M59" s="943"/>
      <c r="N59" s="943"/>
      <c r="O59" s="943"/>
    </row>
    <row r="60" spans="1:17" s="691" customFormat="1" ht="15" thickBot="1">
      <c r="A60" s="692" t="s">
        <v>2780</v>
      </c>
      <c r="B60" s="261" t="e">
        <f t="shared" si="17"/>
        <v>#DIV/0!</v>
      </c>
      <c r="C60" s="200">
        <f t="shared" si="16"/>
        <v>0</v>
      </c>
      <c r="D60" s="1166">
        <v>0.25</v>
      </c>
      <c r="E60" s="260">
        <f>'数据-汇总表'!E15</f>
        <v>0</v>
      </c>
      <c r="F60" s="690" t="e">
        <f t="shared" si="15"/>
        <v>#DIV/0!</v>
      </c>
      <c r="G60" s="2716"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19833.080000000002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7" t="s">
        <v>2782</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2" t="s">
        <v>2802</v>
      </c>
      <c r="B66" s="331" t="str">
        <f>"北京市平均增长率"&amp;TEXT(基准地价修正住宅!P24,"0.00%")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SUMPRODUCT((A105:A204=ROUNDDOWN(基准地价修正住宅!G3,1))*(B104:M104=基准地价修正住宅!G2)*(B105:M204))</f>
        <v>0.89929999999999999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3003</v>
      </c>
    </row>
    <row r="2" spans="1:5" ht="15.75">
      <c r="A2" s="2916" t="s">
        <v>2995</v>
      </c>
      <c r="B2" s="2917">
        <f ca="1">SUMIF(B6:B13,"&lt;&gt;#ref!",B6:B13)</f>
        <v>0</v>
      </c>
      <c r="C2" s="2916" t="s">
        <v>2996</v>
      </c>
      <c r="D2" s="2916" t="s">
        <v>2997</v>
      </c>
      <c r="E2" s="2917">
        <f ca="1">SUMIF(E6:E13,"&lt;&gt;#ref!",E6:E13)</f>
        <v>0</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#REF!</v>
      </c>
      <c r="C6" s="2916" t="s">
        <v>2996</v>
      </c>
      <c r="D6" s="2918"/>
      <c r="E6" s="2581" t="e">
        <f ca="1">SUMIF(INDIRECT("'"&amp;A6&amp;"'"&amp;"!C:C"),"建筑面积",INDIRECT("'"&amp;A6&amp;"'"&amp;"!D:D"))</f>
        <v>#REF!</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2">
        <f ca="1">结果表住宅!H101</f>
        <v>84455</v>
      </c>
      <c r="E5" s="1961"/>
    </row>
    <row r="6" spans="1:5" ht="15.75">
      <c r="A6" s="1961"/>
      <c r="B6" s="2963"/>
      <c r="C6" s="1964" t="s">
        <v>1624</v>
      </c>
      <c r="D6" s="1042" t="str">
        <f ca="1">NUMBERSTRING(INT(D5*10000),2)&amp;"元整"</f>
        <v>捌亿肆仟肆佰伍拾伍万元整</v>
      </c>
      <c r="E6" s="1961"/>
    </row>
    <row r="7" spans="1:5" ht="15.75">
      <c r="A7" s="1961"/>
      <c r="B7" s="2968"/>
      <c r="C7" s="1965" t="s">
        <v>1625</v>
      </c>
      <c r="D7" s="1043">
        <f ca="1">结果表住宅!H102</f>
        <v>11880</v>
      </c>
      <c r="E7" s="1961"/>
    </row>
    <row r="8" spans="1:5" ht="15.75">
      <c r="A8" s="1961"/>
      <c r="B8" s="2969" t="str">
        <f>结果表住宅!E103</f>
        <v>2.估价师知悉的法定优先受偿款</v>
      </c>
      <c r="C8" s="1966" t="s">
        <v>1626</v>
      </c>
      <c r="D8" s="1043">
        <f>结果表住宅!H103</f>
        <v>0</v>
      </c>
      <c r="E8" s="1961"/>
    </row>
    <row r="9" spans="1:5" ht="15.75">
      <c r="A9" s="1961"/>
      <c r="B9" s="2971"/>
      <c r="C9" s="1964" t="s">
        <v>1624</v>
      </c>
      <c r="D9" s="1042" t="str">
        <f>NUMBERSTRING(INT(D8*10000),2)&amp;"元整"</f>
        <v>零元整</v>
      </c>
      <c r="E9" s="1961"/>
    </row>
    <row r="10" spans="1:5" ht="15">
      <c r="A10" s="1961"/>
      <c r="B10" s="1967" t="s">
        <v>1629</v>
      </c>
      <c r="C10" s="1968" t="s">
        <v>1627</v>
      </c>
      <c r="D10" s="1044">
        <f>结果表住宅!H104</f>
        <v>0</v>
      </c>
      <c r="E10" s="1961"/>
    </row>
    <row r="11" spans="1:5" ht="15">
      <c r="A11" s="1961"/>
      <c r="B11" s="1967" t="s">
        <v>1631</v>
      </c>
      <c r="C11" s="1968" t="s">
        <v>1632</v>
      </c>
      <c r="D11" s="1044">
        <f>结果表住宅!H105</f>
        <v>0</v>
      </c>
      <c r="E11" s="1961"/>
    </row>
    <row r="12" spans="1:5" ht="15">
      <c r="A12" s="1961"/>
      <c r="B12" s="1967" t="s">
        <v>1633</v>
      </c>
      <c r="C12" s="1968" t="s">
        <v>1632</v>
      </c>
      <c r="D12" s="1044">
        <f>结果表住宅!H106</f>
        <v>0</v>
      </c>
      <c r="E12" s="1961"/>
    </row>
    <row r="13" spans="1:5" ht="15.75">
      <c r="A13" s="1961"/>
      <c r="B13" s="2962" t="str">
        <f>结果表住宅!E107</f>
        <v>3.房地产抵押价值</v>
      </c>
      <c r="C13" s="1969" t="s">
        <v>1623</v>
      </c>
      <c r="D13" s="1045">
        <f ca="1">结果表住宅!H107</f>
        <v>84455</v>
      </c>
      <c r="E13" s="1961"/>
    </row>
    <row r="14" spans="1:5" ht="15.75">
      <c r="A14" s="1961"/>
      <c r="B14" s="2963"/>
      <c r="C14" s="1964" t="s">
        <v>1624</v>
      </c>
      <c r="D14" s="1042" t="str">
        <f ca="1">NUMBERSTRING(INT(D13*10000),2)&amp;"元整"</f>
        <v>捌亿肆仟肆佰伍拾伍万元整</v>
      </c>
      <c r="E14" s="1961"/>
    </row>
    <row r="15" spans="1:5" ht="15">
      <c r="A15" s="1961"/>
      <c r="B15" s="2968"/>
      <c r="C15" s="1965" t="s">
        <v>1634</v>
      </c>
      <c r="D15" s="1054">
        <f ca="1">结果表住宅!H108</f>
        <v>11880</v>
      </c>
      <c r="E15" s="1961"/>
    </row>
    <row r="16" spans="1:5" ht="15">
      <c r="A16" s="1961"/>
      <c r="B16" s="2969" t="str">
        <f>结果表住宅!E109</f>
        <v>——</v>
      </c>
      <c r="C16" s="1969" t="s">
        <v>1635</v>
      </c>
      <c r="D16" s="1970" t="str">
        <f>结果表住宅!H109</f>
        <v>——</v>
      </c>
      <c r="E16" s="1961"/>
    </row>
    <row r="17" spans="1:5" ht="15.75">
      <c r="A17" s="1961"/>
      <c r="B17" s="2970"/>
      <c r="C17" s="1964" t="s">
        <v>1636</v>
      </c>
      <c r="D17" s="1042" t="e">
        <f>NUMBERSTRING(INT(D16*10000),2)&amp;"元整"</f>
        <v>#VALUE!</v>
      </c>
      <c r="E17" s="1961"/>
    </row>
    <row r="18" spans="1:5" ht="15">
      <c r="A18" s="1961"/>
      <c r="B18" s="2971"/>
      <c r="C18" s="1965" t="s">
        <v>1625</v>
      </c>
      <c r="D18" s="1054" t="str">
        <f>结果表住宅!H110</f>
        <v>——</v>
      </c>
      <c r="E18" s="1961"/>
    </row>
    <row r="19" spans="1:5" ht="15.75">
      <c r="A19" s="1961"/>
      <c r="B19" s="2962" t="str">
        <f>结果表住宅!E111</f>
        <v>——</v>
      </c>
      <c r="C19" s="1969" t="s">
        <v>1623</v>
      </c>
      <c r="D19" s="1043" t="str">
        <f>结果表住宅!H111</f>
        <v>——</v>
      </c>
      <c r="E19" s="1961"/>
    </row>
    <row r="20" spans="1:5" ht="15.75">
      <c r="A20" s="1961"/>
      <c r="B20" s="2963"/>
      <c r="C20" s="1964" t="s">
        <v>1636</v>
      </c>
      <c r="D20" s="1042" t="e">
        <f>NUMBERSTRING(INT(D19*10000),2)&amp;"元整"</f>
        <v>#VALUE!</v>
      </c>
      <c r="E20" s="1961"/>
    </row>
    <row r="21" spans="1:5" ht="15.75" thickBot="1">
      <c r="A21" s="1961"/>
      <c r="B21" s="2964"/>
      <c r="C21" s="1971" t="s">
        <v>1634</v>
      </c>
      <c r="D21" s="1055" t="str">
        <f>结果表住宅!H112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72" t="s">
        <v>1151</v>
      </c>
      <c r="H1" s="3272"/>
      <c r="I1" s="3272"/>
      <c r="J1" s="3272"/>
      <c r="K1" s="3272"/>
      <c r="L1" s="3272"/>
      <c r="N1" s="3272" t="s">
        <v>1152</v>
      </c>
      <c r="O1" s="3272"/>
      <c r="P1" s="3272"/>
      <c r="Q1" s="3272"/>
      <c r="R1" s="1448"/>
      <c r="S1" s="3272" t="s">
        <v>1153</v>
      </c>
      <c r="T1" s="3272"/>
      <c r="U1" s="3272"/>
      <c r="V1" s="3272"/>
      <c r="X1" s="3271" t="s">
        <v>1154</v>
      </c>
      <c r="Y1" s="3272"/>
      <c r="Z1" s="3272"/>
      <c r="AA1" s="3272"/>
      <c r="AB1" s="3272"/>
      <c r="AD1" s="3271" t="s">
        <v>1155</v>
      </c>
      <c r="AE1" s="3272"/>
      <c r="AF1" s="3272"/>
      <c r="AG1" s="3272"/>
      <c r="AH1" s="327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3038</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3045</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3039</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3046</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3037</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3034</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3035</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4">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69"/>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69"/>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70"/>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68">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69"/>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69"/>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70"/>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68">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69"/>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69"/>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70"/>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5">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6"/>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6"/>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7"/>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68">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69"/>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69"/>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70"/>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68">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69">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69">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70">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68">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69">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69">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70">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68">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69">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69">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70">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68">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69">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69">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70">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68">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69">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69">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70">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68">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69">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69">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70">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68">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69">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69">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70">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68">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69">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69">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70">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68">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69">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69">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70">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68">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69">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69">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70">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79" t="s">
        <v>3006</v>
      </c>
      <c r="D1" s="3280"/>
      <c r="E1" s="3280"/>
      <c r="F1" s="3280"/>
      <c r="G1" s="3280"/>
      <c r="H1" s="3280"/>
      <c r="I1" s="3280"/>
      <c r="J1" s="3280"/>
      <c r="K1" s="3280"/>
      <c r="L1" s="3280"/>
      <c r="M1" s="3280"/>
      <c r="N1" s="3280"/>
      <c r="O1" s="3280"/>
      <c r="P1" s="3280"/>
      <c r="Q1" s="3280"/>
      <c r="R1" s="3280"/>
      <c r="S1" s="3281"/>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3015</v>
      </c>
      <c r="B17" s="2923"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4" t="s">
        <v>3017</v>
      </c>
      <c r="E19" s="1794"/>
      <c r="F19" s="1794"/>
      <c r="G19" s="1794"/>
      <c r="H19" s="1282"/>
      <c r="I19" s="168"/>
      <c r="J19" s="168"/>
      <c r="K19" s="168"/>
      <c r="L19" s="168"/>
      <c r="M19" s="168"/>
      <c r="N19" s="168"/>
      <c r="O19" s="168"/>
      <c r="P19" s="168"/>
      <c r="Q19" s="168"/>
      <c r="R19" s="787"/>
      <c r="S19" s="138"/>
    </row>
    <row r="20" spans="1:45" ht="16.5" thickBot="1">
      <c r="A20" s="714" t="s">
        <v>3018</v>
      </c>
      <c r="B20" s="337" t="e">
        <f ca="1">IF(D20="——",S22,S22-F20)</f>
        <v>#REF!</v>
      </c>
      <c r="C20" s="168"/>
      <c r="D20" s="2925" t="s">
        <v>3019</v>
      </c>
      <c r="E20" s="1795"/>
      <c r="F20" s="1206" t="e">
        <f ca="1">SUMIF(INDIRECT("'"&amp;H20&amp;"'"&amp;"!A:A"),"承租人权益价值",INDIRECT("'"&amp;H20&amp;"'"&amp;"!c:c"))</f>
        <v>#REF!</v>
      </c>
      <c r="G20" s="1206" t="s">
        <v>3020</v>
      </c>
      <c r="H20" s="2926"/>
      <c r="I20" s="168"/>
      <c r="J20" s="168"/>
      <c r="K20" s="168"/>
      <c r="L20" s="168"/>
      <c r="M20" s="168"/>
      <c r="N20" s="168"/>
      <c r="O20" s="168"/>
      <c r="P20" s="168"/>
      <c r="Q20" s="168"/>
      <c r="R20" s="787"/>
      <c r="S20" s="138"/>
    </row>
    <row r="21" spans="1:45" ht="15.75">
      <c r="A21" s="714" t="s">
        <v>3021</v>
      </c>
      <c r="B21" s="337">
        <f>R22</f>
        <v>10000</v>
      </c>
      <c r="C21" s="168"/>
      <c r="D21" s="168"/>
      <c r="E21" s="168"/>
      <c r="F21" s="168"/>
      <c r="G21" s="168"/>
      <c r="H21" s="168"/>
      <c r="I21" s="168"/>
      <c r="J21" s="168"/>
      <c r="K21" s="168"/>
      <c r="L21" s="168"/>
      <c r="M21" s="168"/>
      <c r="N21" s="168"/>
      <c r="O21" s="168"/>
      <c r="P21" s="168"/>
      <c r="Q21" s="168"/>
      <c r="R21" s="787"/>
      <c r="S21" s="138"/>
    </row>
    <row r="22" spans="1:45">
      <c r="A22" s="360" t="s">
        <v>3022</v>
      </c>
      <c r="B22" s="24">
        <f>SUM(B24:B10000)</f>
        <v>100</v>
      </c>
      <c r="C22" s="3142" t="s">
        <v>33</v>
      </c>
      <c r="D22" s="3143"/>
      <c r="E22" s="3143"/>
      <c r="F22" s="3143"/>
      <c r="G22" s="3143"/>
      <c r="H22" s="3143"/>
      <c r="I22" s="3143"/>
      <c r="J22" s="3143"/>
      <c r="K22" s="3143"/>
      <c r="L22" s="3143"/>
      <c r="M22" s="3143"/>
      <c r="N22" s="3143"/>
      <c r="O22" s="3143"/>
      <c r="P22" s="3143"/>
      <c r="Q22" s="3278"/>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49170</v>
      </c>
      <c r="C2" s="2" t="s">
        <v>133</v>
      </c>
      <c r="D2" s="242"/>
      <c r="E2" s="242"/>
      <c r="F2" s="242"/>
      <c r="G2" s="242"/>
    </row>
    <row r="3" spans="1:7" s="243" customFormat="1" ht="18" customHeight="1" thickBot="1">
      <c r="A3" s="246" t="s">
        <v>85</v>
      </c>
      <c r="B3" s="247">
        <f ca="1">ROUND(B2*10000/'数据-汇总表'!E3,0)</f>
        <v>6917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1137</v>
      </c>
      <c r="D9" s="1034">
        <f>'数据-汇总表'!E5</f>
        <v>71089.5</v>
      </c>
      <c r="E9" s="268">
        <f>'数据-取费表'!B27</f>
        <v>160</v>
      </c>
      <c r="F9" s="264"/>
      <c r="G9" s="269"/>
    </row>
    <row r="10" spans="1:7" s="257" customFormat="1" ht="13.5" customHeight="1">
      <c r="A10" s="952" t="s">
        <v>801</v>
      </c>
      <c r="B10" s="267" t="s">
        <v>94</v>
      </c>
      <c r="C10" s="268">
        <f>ROUND(D10*E10/10000,0)</f>
        <v>0</v>
      </c>
      <c r="D10" s="1034">
        <f>'数据-汇总表'!E6</f>
        <v>0</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1422</v>
      </c>
      <c r="D19" s="1038">
        <f>'数据-汇总表'!E3</f>
        <v>71089.5</v>
      </c>
      <c r="E19" s="254">
        <f>'数据-取费表'!B31</f>
        <v>200</v>
      </c>
      <c r="F19" s="274"/>
      <c r="G19" s="1" t="s">
        <v>1074</v>
      </c>
    </row>
    <row r="20" spans="1:7" s="257" customFormat="1" ht="13.5" customHeight="1">
      <c r="A20" s="950" t="s">
        <v>1057</v>
      </c>
      <c r="B20" s="253" t="s">
        <v>104</v>
      </c>
      <c r="C20" s="275">
        <f>ROUND((C5+C19)*F20,0)</f>
        <v>441</v>
      </c>
      <c r="D20" s="275"/>
      <c r="E20" s="275"/>
      <c r="F20" s="276">
        <f>'数据-取费表'!B37</f>
        <v>0.02</v>
      </c>
      <c r="G20" s="1291" t="s">
        <v>1068</v>
      </c>
    </row>
    <row r="21" spans="1:7" s="257" customFormat="1" ht="13.5" customHeight="1">
      <c r="A21" s="950" t="s">
        <v>1059</v>
      </c>
      <c r="B21" s="253" t="s">
        <v>105</v>
      </c>
      <c r="C21" s="278">
        <f>F21</f>
        <v>0</v>
      </c>
      <c r="D21" s="279" t="s">
        <v>126</v>
      </c>
      <c r="E21" s="275"/>
      <c r="F21" s="276">
        <f>'数据-取费表'!B38</f>
        <v>0</v>
      </c>
      <c r="G21" s="277" t="s">
        <v>106</v>
      </c>
    </row>
    <row r="22" spans="1:7" s="257" customFormat="1" ht="13.5" customHeight="1">
      <c r="A22" s="950" t="s">
        <v>786</v>
      </c>
      <c r="B22" s="253" t="s">
        <v>107</v>
      </c>
      <c r="C22" s="1356">
        <f ca="1">ROUND(SUM(C23:C25),0)</f>
        <v>2051</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131</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0</v>
      </c>
      <c r="D26" s="281"/>
      <c r="E26" s="284"/>
      <c r="F26" s="282"/>
      <c r="G26" s="286"/>
    </row>
    <row r="27" spans="1:7" s="257" customFormat="1" ht="24.75">
      <c r="A27" s="950" t="s">
        <v>787</v>
      </c>
      <c r="B27" s="287" t="s">
        <v>112</v>
      </c>
      <c r="C27" s="288">
        <f>C28</f>
        <v>640</v>
      </c>
      <c r="D27" s="278">
        <f>C29</f>
        <v>0</v>
      </c>
      <c r="E27" s="279" t="s">
        <v>126</v>
      </c>
      <c r="F27" s="289">
        <f>'数据-取费表'!Q16</f>
        <v>0.03</v>
      </c>
      <c r="G27" s="290" t="s">
        <v>1069</v>
      </c>
    </row>
    <row r="28" spans="1:7" s="257" customFormat="1" ht="13.5" customHeight="1">
      <c r="A28" s="953" t="s">
        <v>794</v>
      </c>
      <c r="B28" s="291" t="s">
        <v>1062</v>
      </c>
      <c r="C28" s="292">
        <f>ROUND((C5+C19+C20)*F27*'数据-取费表'!B21/'数据-取费表'!B20,0)</f>
        <v>640</v>
      </c>
      <c r="D28" s="278"/>
      <c r="E28" s="279"/>
      <c r="F28" s="289"/>
      <c r="G28" s="290"/>
    </row>
    <row r="29" spans="1:7" s="257" customFormat="1" ht="13.5" customHeight="1">
      <c r="A29" s="953" t="s">
        <v>792</v>
      </c>
      <c r="B29" s="291" t="s">
        <v>1063</v>
      </c>
      <c r="C29" s="281">
        <f>ROUND(C21*F27*'数据-取费表'!B21/'数据-取费表'!B20,4)</f>
        <v>0</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26582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19499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16883</v>
      </c>
      <c r="D34" s="260"/>
      <c r="E34" s="263"/>
      <c r="F34" s="300">
        <f>IF('数据-取费表'!B24=0,1,'数据-取费表'!N16)</f>
        <v>0.95</v>
      </c>
      <c r="G34" s="262" t="s">
        <v>116</v>
      </c>
    </row>
    <row r="35" spans="1:7" ht="13.5" customHeight="1">
      <c r="A35" s="953" t="s">
        <v>796</v>
      </c>
      <c r="B35" s="258" t="s">
        <v>60</v>
      </c>
      <c r="C35" s="263">
        <f>ROUND(C34*F35,0)</f>
        <v>506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506</v>
      </c>
      <c r="D36" s="263"/>
      <c r="E36" s="263"/>
      <c r="F36" s="302">
        <f>'数据-取费表'!B34</f>
        <v>0.03</v>
      </c>
      <c r="G36" s="303" t="s">
        <v>62</v>
      </c>
    </row>
    <row r="37" spans="1:7" s="301" customFormat="1" ht="13.5" customHeight="1">
      <c r="A37" s="953" t="s">
        <v>798</v>
      </c>
      <c r="B37" s="258" t="s">
        <v>118</v>
      </c>
      <c r="C37" s="292">
        <f>ROUND(E37*D37*F34/10000,0)</f>
        <v>1351</v>
      </c>
      <c r="D37" s="260">
        <f>'数据-汇总表'!E3</f>
        <v>71089.5</v>
      </c>
      <c r="E37" s="292">
        <f>'数据-取费表'!B35</f>
        <v>200</v>
      </c>
      <c r="F37" s="302"/>
      <c r="G37" s="304" t="s">
        <v>119</v>
      </c>
    </row>
    <row r="38" spans="1:7" ht="13.5" customHeight="1">
      <c r="A38" s="953" t="s">
        <v>799</v>
      </c>
      <c r="B38" s="258" t="s">
        <v>63</v>
      </c>
      <c r="C38" s="263">
        <f>ROUND(C34*F38,0)</f>
        <v>253</v>
      </c>
      <c r="D38" s="263"/>
      <c r="E38" s="263"/>
      <c r="F38" s="302">
        <f>'数据-取费表'!B36</f>
        <v>1.4999999999999999E-2</v>
      </c>
      <c r="G38" s="262" t="s">
        <v>117</v>
      </c>
    </row>
    <row r="39" spans="1:7" s="257" customFormat="1" ht="13.5" customHeight="1">
      <c r="A39" s="950" t="s">
        <v>783</v>
      </c>
      <c r="B39" s="253" t="s">
        <v>104</v>
      </c>
      <c r="C39" s="275">
        <f>ROUND(C33*F20,0)</f>
        <v>390</v>
      </c>
      <c r="D39" s="275"/>
      <c r="E39" s="275"/>
      <c r="F39" s="276"/>
      <c r="G39" s="1291" t="s">
        <v>1071</v>
      </c>
    </row>
    <row r="40" spans="1:7" s="257" customFormat="1" ht="13.5" customHeight="1">
      <c r="A40" s="950" t="s">
        <v>784</v>
      </c>
      <c r="B40" s="253" t="s">
        <v>105</v>
      </c>
      <c r="C40" s="305">
        <f>F21</f>
        <v>0</v>
      </c>
      <c r="D40" s="279" t="s">
        <v>129</v>
      </c>
      <c r="E40" s="275"/>
      <c r="F40" s="276"/>
      <c r="G40" s="277" t="s">
        <v>120</v>
      </c>
    </row>
    <row r="41" spans="1:7" s="257" customFormat="1" ht="13.5" customHeight="1">
      <c r="A41" s="950" t="s">
        <v>785</v>
      </c>
      <c r="B41" s="253" t="s">
        <v>107</v>
      </c>
      <c r="C41" s="275">
        <f ca="1">ROUND(SUM(C42:C43),0)</f>
        <v>897</v>
      </c>
      <c r="D41" s="278">
        <f ca="1">C44</f>
        <v>0</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879</v>
      </c>
      <c r="D42" s="281"/>
      <c r="E42" s="281"/>
      <c r="F42" s="282"/>
      <c r="G42" s="3147" t="s">
        <v>121</v>
      </c>
    </row>
    <row r="43" spans="1:7" ht="13.5" customHeight="1">
      <c r="A43" s="953" t="s">
        <v>792</v>
      </c>
      <c r="B43" s="258" t="s">
        <v>1064</v>
      </c>
      <c r="C43" s="281">
        <f ca="1">ROUND(IF('数据-取费表'!B22&lt;=1,C39*F22*'数据-取费表'!B21/2,C39*(POWER((1+F22),'数据-取费表'!B21/2)-1)),0)</f>
        <v>18</v>
      </c>
      <c r="D43" s="281"/>
      <c r="E43" s="281"/>
      <c r="F43" s="282"/>
      <c r="G43" s="3148"/>
    </row>
    <row r="44" spans="1:7" ht="13.5" customHeight="1">
      <c r="A44" s="953" t="s">
        <v>793</v>
      </c>
      <c r="B44" s="258" t="s">
        <v>1066</v>
      </c>
      <c r="C44" s="281">
        <f ca="1">ROUND(IF('数据-取费表'!B22&lt;=1,C40*F22*'数据-取费表'!B21/2,C40*(POWER((1+F22),'数据-取费表'!B21/2)-1)),4)</f>
        <v>0</v>
      </c>
      <c r="D44" s="281"/>
      <c r="E44" s="281"/>
      <c r="F44" s="282"/>
      <c r="G44" s="3149"/>
    </row>
    <row r="45" spans="1:7" s="257" customFormat="1" ht="13.5" customHeight="1">
      <c r="A45" s="950" t="s">
        <v>786</v>
      </c>
      <c r="B45" s="287" t="s">
        <v>112</v>
      </c>
      <c r="C45" s="288">
        <f>C46</f>
        <v>597</v>
      </c>
      <c r="D45" s="278">
        <f>C47</f>
        <v>0</v>
      </c>
      <c r="E45" s="279" t="s">
        <v>129</v>
      </c>
      <c r="F45" s="289"/>
      <c r="G45" s="290" t="s">
        <v>1072</v>
      </c>
    </row>
    <row r="46" spans="1:7" s="257" customFormat="1" ht="13.5" customHeight="1">
      <c r="A46" s="953" t="s">
        <v>794</v>
      </c>
      <c r="B46" s="291" t="s">
        <v>1065</v>
      </c>
      <c r="C46" s="292">
        <f>ROUND((C33+C39)*F27,0)</f>
        <v>597</v>
      </c>
      <c r="D46" s="306"/>
      <c r="E46" s="279"/>
      <c r="F46" s="289"/>
      <c r="G46" s="290"/>
    </row>
    <row r="47" spans="1:7" s="257" customFormat="1" ht="13.5" customHeight="1">
      <c r="A47" s="953" t="s">
        <v>792</v>
      </c>
      <c r="B47" s="291" t="s">
        <v>1067</v>
      </c>
      <c r="C47" s="281">
        <f>ROUND(C40*F27,4)</f>
        <v>0</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22588</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22588</v>
      </c>
      <c r="D51" s="275"/>
      <c r="E51" s="275"/>
      <c r="F51" s="307"/>
      <c r="G51" s="277" t="s">
        <v>64</v>
      </c>
    </row>
    <row r="52" spans="1:7" s="251" customFormat="1" ht="16.5" thickBot="1">
      <c r="A52" s="308" t="s">
        <v>65</v>
      </c>
      <c r="B52" s="309"/>
      <c r="C52" s="310">
        <f ca="1">C31+C51</f>
        <v>49170</v>
      </c>
      <c r="D52" s="309"/>
      <c r="E52" s="309"/>
      <c r="F52" s="309"/>
      <c r="G52" s="311"/>
    </row>
    <row r="55" spans="1:7" ht="15">
      <c r="B55" s="313" t="s">
        <v>66</v>
      </c>
      <c r="C55" s="314"/>
    </row>
    <row r="56" spans="1:7">
      <c r="B56" s="316" t="s">
        <v>67</v>
      </c>
      <c r="C56" s="317">
        <f ca="1">ROUND(C51/C52,3)</f>
        <v>0.45900000000000002</v>
      </c>
    </row>
    <row r="57" spans="1:7">
      <c r="B57" s="316" t="s">
        <v>68</v>
      </c>
      <c r="C57" s="318">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2" t="s">
        <v>871</v>
      </c>
      <c r="B1" s="328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结果表住宅!D116</f>
        <v>出让国有建设用地使用权价值</v>
      </c>
      <c r="E2" s="2982"/>
      <c r="F2" s="2982" t="str">
        <f>结果表住宅!F116</f>
        <v>在建建筑物价值</v>
      </c>
      <c r="G2" s="2982"/>
      <c r="H2" s="2982" t="str">
        <f>IF(项目基本情况!B9="房地产市场价值","房地产市场价值","房地产价值")</f>
        <v>房地产价值</v>
      </c>
      <c r="I2" s="2982"/>
    </row>
    <row r="3" spans="1:9" ht="15">
      <c r="A3" s="2976"/>
      <c r="B3" s="2976"/>
      <c r="C3" s="2976"/>
      <c r="D3" s="1046" t="s">
        <v>1638</v>
      </c>
      <c r="E3" s="1046" t="s">
        <v>1644</v>
      </c>
      <c r="F3" s="1046" t="s">
        <v>1638</v>
      </c>
      <c r="G3" s="1046" t="s">
        <v>1639</v>
      </c>
      <c r="H3" s="1046" t="s">
        <v>1638</v>
      </c>
      <c r="I3" s="1046" t="s">
        <v>1639</v>
      </c>
    </row>
    <row r="4" spans="1:9" ht="30">
      <c r="A4" s="1975" t="str">
        <f>项目基本情况!S2</f>
        <v>北京市出让国有建设用地使用权及在建建筑物房地产</v>
      </c>
      <c r="B4" s="1046">
        <f>项目基本情况!C17</f>
        <v>71089.5</v>
      </c>
      <c r="C4" s="1046">
        <f>项目基本情况!C18</f>
        <v>19833.080000000002</v>
      </c>
      <c r="D4" s="1046">
        <f ca="1">结果表住宅!D118</f>
        <v>74320</v>
      </c>
      <c r="E4" s="1046">
        <f ca="1">结果表住宅!E118</f>
        <v>10454</v>
      </c>
      <c r="F4" s="1046">
        <f ca="1">结果表住宅!F118</f>
        <v>10135</v>
      </c>
      <c r="G4" s="1046">
        <f ca="1">结果表住宅!G118</f>
        <v>1426</v>
      </c>
      <c r="H4" s="1046">
        <f ca="1">结果表住宅!H118</f>
        <v>84455</v>
      </c>
      <c r="I4" s="1046">
        <f ca="1">结果表住宅!I118</f>
        <v>11880</v>
      </c>
    </row>
    <row r="5" spans="1:9" ht="30" customHeight="1">
      <c r="A5" s="2976" t="s">
        <v>1640</v>
      </c>
      <c r="B5" s="2976"/>
      <c r="C5" s="2976"/>
      <c r="D5" s="2977" t="str">
        <f ca="1">结果表住宅!D119</f>
        <v>柒亿肆仟叁佰贰拾万元整</v>
      </c>
      <c r="E5" s="2977"/>
      <c r="F5" s="2977" t="str">
        <f ca="1">结果表住宅!F119</f>
        <v>壹亿零壹佰叁拾伍万元整</v>
      </c>
      <c r="G5" s="2977"/>
      <c r="H5" s="2977" t="str">
        <f ca="1">结果表住宅!H119</f>
        <v>捌亿肆仟肆佰伍拾伍万元整</v>
      </c>
      <c r="I5" s="2977"/>
    </row>
    <row r="6" spans="1:9" ht="15.75">
      <c r="A6" s="2975" t="str">
        <f>结果表住宅!A120</f>
        <v>估价师知悉的法定优先受偿款</v>
      </c>
      <c r="B6" s="2975"/>
      <c r="C6" s="2975"/>
      <c r="D6" s="2975">
        <f>结果表住宅!D120</f>
        <v>0</v>
      </c>
      <c r="E6" s="2975"/>
      <c r="F6" s="2975"/>
      <c r="G6" s="2975"/>
      <c r="H6" s="2975"/>
      <c r="I6" s="2975"/>
    </row>
    <row r="7" spans="1:9" ht="15">
      <c r="A7" s="2976" t="s">
        <v>1640</v>
      </c>
      <c r="B7" s="2976"/>
      <c r="C7" s="2976"/>
      <c r="D7" s="2978" t="str">
        <f>结果表住宅!D121</f>
        <v>零元整</v>
      </c>
      <c r="E7" s="2979"/>
      <c r="F7" s="2979"/>
      <c r="G7" s="2979"/>
      <c r="H7" s="2979"/>
      <c r="I7" s="2980"/>
    </row>
    <row r="8" spans="1:9" ht="15.75">
      <c r="A8" s="2975" t="str">
        <f>结果表住宅!A122</f>
        <v>房地产抵押价值</v>
      </c>
      <c r="B8" s="2975"/>
      <c r="C8" s="2975"/>
      <c r="D8" s="2975">
        <f ca="1">结果表住宅!D122</f>
        <v>84455</v>
      </c>
      <c r="E8" s="2975"/>
      <c r="F8" s="2975"/>
      <c r="G8" s="2975"/>
      <c r="H8" s="2975"/>
      <c r="I8" s="2975"/>
    </row>
    <row r="9" spans="1:9" ht="15">
      <c r="A9" s="2976" t="s">
        <v>1640</v>
      </c>
      <c r="B9" s="2976"/>
      <c r="C9" s="2976"/>
      <c r="D9" s="2977" t="str">
        <f ca="1">结果表住宅!D123</f>
        <v>捌亿肆仟肆佰伍拾伍万元整</v>
      </c>
      <c r="E9" s="2977"/>
      <c r="F9" s="2977"/>
      <c r="G9" s="2977"/>
      <c r="H9" s="2977"/>
      <c r="I9" s="2977"/>
    </row>
    <row r="10" spans="1:9" ht="15.75">
      <c r="A10" s="2975" t="str">
        <f>结果表住宅!A124</f>
        <v/>
      </c>
      <c r="B10" s="2975"/>
      <c r="C10" s="2975"/>
      <c r="D10" s="2975" t="str">
        <f>结果表住宅!D124</f>
        <v>——</v>
      </c>
      <c r="E10" s="2975"/>
      <c r="F10" s="2975"/>
      <c r="G10" s="2975"/>
      <c r="H10" s="2975"/>
      <c r="I10" s="2975"/>
    </row>
    <row r="11" spans="1:9" ht="15">
      <c r="A11" s="2976" t="s">
        <v>1640</v>
      </c>
      <c r="B11" s="2976"/>
      <c r="C11" s="2976"/>
      <c r="D11" s="2977" t="e">
        <f>结果表住宅!D125</f>
        <v>#VALUE!</v>
      </c>
      <c r="E11" s="2977"/>
      <c r="F11" s="2977"/>
      <c r="G11" s="2977"/>
      <c r="H11" s="2977"/>
      <c r="I11" s="2977"/>
    </row>
    <row r="12" spans="1:9" ht="15.75">
      <c r="A12" s="2975" t="str">
        <f>结果表住宅!A126</f>
        <v/>
      </c>
      <c r="B12" s="2975"/>
      <c r="C12" s="2975"/>
      <c r="D12" s="2975" t="str">
        <f>结果表住宅!D126</f>
        <v>——</v>
      </c>
      <c r="E12" s="2975"/>
      <c r="F12" s="2975"/>
      <c r="G12" s="2975"/>
      <c r="H12" s="2975"/>
      <c r="I12" s="2975"/>
    </row>
    <row r="13" spans="1:9" ht="15.75" thickBot="1">
      <c r="A13" s="2972" t="s">
        <v>1640</v>
      </c>
      <c r="B13" s="2972"/>
      <c r="C13" s="2972"/>
      <c r="D13" s="2973" t="e">
        <f>结果表住宅!D127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1662</v>
      </c>
      <c r="B1" s="2989"/>
      <c r="C1" s="2989"/>
      <c r="D1" s="2989"/>
    </row>
    <row r="2" spans="1:4" ht="18">
      <c r="A2" s="2990" t="s">
        <v>1646</v>
      </c>
      <c r="B2" s="2990"/>
      <c r="C2" s="2990"/>
      <c r="D2" s="2990"/>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90" t="s">
        <v>1652</v>
      </c>
      <c r="B6" s="2990"/>
      <c r="C6" s="2990"/>
      <c r="D6" s="2990"/>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IF(项目基本情况!B8="抵押",结果表住宅!K120,"——")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1658</v>
      </c>
      <c r="B22" s="2987"/>
      <c r="C22" s="2987"/>
      <c r="D22" s="298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43318</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43359</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3044</v>
      </c>
      <c r="B12" s="1024">
        <v>1120110054</v>
      </c>
      <c r="C12" s="2946">
        <v>43937</v>
      </c>
      <c r="D12" s="1704" t="s">
        <v>3044</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成本法</vt:lpstr>
      <vt:lpstr>成本法 (元)</vt:lpstr>
      <vt:lpstr>基准地价修正住宅</vt:lpstr>
      <vt:lpstr>假设开发法</vt:lpstr>
      <vt:lpstr>比较法-商业</vt:lpstr>
      <vt:lpstr>成本法商业</vt:lpstr>
      <vt:lpstr>基准地价修正商业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2018-08-06T11:01:12Z</dcterms:modified>
</cp:coreProperties>
</file>