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4"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楼面高）" sheetId="39" r:id="rId18"/>
    <sheet name="比较法-住宅、综合 (楼面低)" sheetId="6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s>
  <externalReferences>
    <externalReference r:id="rId43"/>
  </externalReferences>
  <definedNames>
    <definedName name="_xlnm._FilterDatabase" localSheetId="21" hidden="1">'比较法-工业'!$A$1:$L$45</definedName>
    <definedName name="_xlnm._FilterDatabase" localSheetId="18" hidden="1">'比较法-住宅、综合 (楼面低)'!$A$1:$L$50</definedName>
    <definedName name="_xlnm._FilterDatabase" localSheetId="17" hidden="1">'比较法-住宅、综合（楼面高）'!$A$1:$L$50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 (楼面低)'!$A$75:$M$75</definedName>
    <definedName name="套工交易情况">'比较法-住宅、综合（楼面高）'!$A$75:$M$75</definedName>
    <definedName name="套工土地级别">'比较法-工业'!$B$101:$M$101</definedName>
    <definedName name="套工用途">'比较法-工业'!$B$72:$M$72</definedName>
    <definedName name="套综道路等级" localSheetId="18">'比较法-住宅、综合 (楼面低)'!$B$108:$M$108</definedName>
    <definedName name="套综道路等级">'比较法-住宅、综合（楼面高）'!$B$108:$M$108</definedName>
    <definedName name="套综工程地质条件" localSheetId="18">'比较法-住宅、综合 (楼面低)'!$B$127:$M$127</definedName>
    <definedName name="套综工程地质条件">'比较法-住宅、综合（楼面高）'!$B$127:$M$127</definedName>
    <definedName name="套综交易情况" localSheetId="18">'比较法-住宅、综合 (楼面低)'!$A$75:$M$75</definedName>
    <definedName name="套综交易情况">'比较法-住宅、综合（楼面高）'!$A$75:$M$75</definedName>
    <definedName name="套综临街宽度及深度" localSheetId="18">'比较法-住宅、综合 (楼面低)'!$B$123:$M$123</definedName>
    <definedName name="套综临街宽度及深度">'比较法-住宅、综合（楼面高）'!$B$123:$M$123</definedName>
    <definedName name="套综土地级别" localSheetId="18">'比较法-住宅、综合 (楼面低)'!$B$110:$M$110</definedName>
    <definedName name="套综土地级别">'比较法-住宅、综合（楼面高）'!$B$110:$M$110</definedName>
    <definedName name="套综用途" localSheetId="18">'比较法-住宅、综合 (楼面低)'!$B$77:$M$77</definedName>
    <definedName name="套综用途">'比较法-住宅、综合（楼面高）'!$B$77:$M$77</definedName>
    <definedName name="套综宗地内开发程度" localSheetId="18">'比较法-住宅、综合 (楼面低)'!$B$125:$M$125</definedName>
    <definedName name="套综宗地内开发程度">'比较法-住宅、综合（楼面高）'!$B$125:$M$125</definedName>
    <definedName name="套综宗地形状" localSheetId="18">'比较法-住宅、综合 (楼面低)'!$B$121:$M$121</definedName>
    <definedName name="套综宗地形状">'比较法-住宅、综合（楼面高）'!$B$121:$M$121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73" i="31" l="1"/>
  <c r="Y72" i="31"/>
  <c r="W62" i="31"/>
  <c r="Y71" i="31"/>
  <c r="X70" i="31"/>
  <c r="X69" i="31"/>
  <c r="X66" i="31"/>
  <c r="X68" i="31"/>
  <c r="X67" i="31"/>
  <c r="W61" i="31"/>
  <c r="W60" i="31"/>
  <c r="W59" i="31"/>
  <c r="W32" i="31" l="1"/>
  <c r="W33" i="31"/>
  <c r="W35" i="31"/>
  <c r="W36" i="31"/>
  <c r="W37" i="31"/>
  <c r="W38" i="31"/>
  <c r="W39" i="31"/>
  <c r="W40" i="31"/>
  <c r="W41" i="31"/>
  <c r="W42" i="31"/>
  <c r="W43" i="31"/>
  <c r="W44" i="31"/>
  <c r="W45" i="31"/>
  <c r="W46" i="31"/>
  <c r="W47" i="31"/>
  <c r="W48" i="31"/>
  <c r="W49" i="31"/>
  <c r="W50" i="31"/>
  <c r="W51" i="31"/>
  <c r="W52" i="31"/>
  <c r="W53" i="31"/>
  <c r="W54" i="31"/>
  <c r="W31" i="31"/>
  <c r="D32" i="31"/>
  <c r="D33" i="31"/>
  <c r="D35" i="31"/>
  <c r="D36" i="31"/>
  <c r="D37" i="31"/>
  <c r="D38" i="31"/>
  <c r="D39" i="31"/>
  <c r="D40" i="31"/>
  <c r="D41" i="31"/>
  <c r="D42" i="31"/>
  <c r="D43" i="31"/>
  <c r="D44" i="31"/>
  <c r="D45" i="31"/>
  <c r="D46" i="31"/>
  <c r="D47" i="31"/>
  <c r="D48" i="31"/>
  <c r="D49" i="31"/>
  <c r="D50" i="31"/>
  <c r="D51" i="31"/>
  <c r="D52" i="31"/>
  <c r="D53" i="31"/>
  <c r="D54" i="31"/>
  <c r="D31" i="31"/>
  <c r="D56" i="31"/>
  <c r="D57" i="31"/>
  <c r="D58" i="31"/>
  <c r="D55" i="31"/>
  <c r="E73" i="39" l="1"/>
  <c r="F73" i="39"/>
  <c r="G73" i="39" s="1"/>
  <c r="H73" i="39" s="1"/>
  <c r="I73" i="39" s="1"/>
  <c r="J73" i="39" s="1"/>
  <c r="K73" i="39" s="1"/>
  <c r="L73" i="39" s="1"/>
  <c r="D73" i="3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D120" i="69"/>
  <c r="E120" i="69" s="1"/>
  <c r="F120" i="69" s="1"/>
  <c r="G120" i="69" s="1"/>
  <c r="H120" i="69" s="1"/>
  <c r="I120"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E103" i="69"/>
  <c r="F103" i="69" s="1"/>
  <c r="G103" i="69" s="1"/>
  <c r="D103" i="69"/>
  <c r="E101" i="69"/>
  <c r="F101" i="69" s="1"/>
  <c r="G101" i="69" s="1"/>
  <c r="D101" i="69"/>
  <c r="E99" i="69"/>
  <c r="F99" i="69" s="1"/>
  <c r="G99" i="69" s="1"/>
  <c r="D99" i="69"/>
  <c r="E97" i="69"/>
  <c r="F97" i="69" s="1"/>
  <c r="G97" i="69" s="1"/>
  <c r="D97" i="69"/>
  <c r="E95" i="69"/>
  <c r="F95" i="69" s="1"/>
  <c r="G95" i="69" s="1"/>
  <c r="D95" i="69"/>
  <c r="E93" i="69"/>
  <c r="F93" i="69" s="1"/>
  <c r="G93" i="69" s="1"/>
  <c r="D93" i="69"/>
  <c r="E91" i="69"/>
  <c r="F91" i="69" s="1"/>
  <c r="G91" i="69" s="1"/>
  <c r="D91" i="69"/>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B73" i="69"/>
  <c r="H67" i="69"/>
  <c r="I67" i="69" s="1"/>
  <c r="C67" i="69" s="1"/>
  <c r="E67" i="69"/>
  <c r="H66" i="69"/>
  <c r="I66" i="69" s="1"/>
  <c r="C66" i="69" s="1"/>
  <c r="E66" i="69"/>
  <c r="H65" i="69"/>
  <c r="I65" i="69" s="1"/>
  <c r="C65" i="69" s="1"/>
  <c r="E65" i="69"/>
  <c r="H64" i="69"/>
  <c r="I64" i="69" s="1"/>
  <c r="C64" i="69" s="1"/>
  <c r="E64" i="69"/>
  <c r="H63" i="69"/>
  <c r="I63" i="69" s="1"/>
  <c r="C63" i="69" s="1"/>
  <c r="E63" i="69"/>
  <c r="H62" i="69"/>
  <c r="I62" i="69" s="1"/>
  <c r="C62" i="69" s="1"/>
  <c r="I61" i="69"/>
  <c r="C61" i="69" s="1"/>
  <c r="H61" i="69"/>
  <c r="H60" i="69"/>
  <c r="I60" i="69" s="1"/>
  <c r="C60" i="69" s="1"/>
  <c r="H59" i="69"/>
  <c r="I59" i="69" s="1"/>
  <c r="C59" i="69" s="1"/>
  <c r="E58" i="69"/>
  <c r="E68" i="69" s="1"/>
  <c r="J57" i="69"/>
  <c r="J55" i="69"/>
  <c r="I55" i="69"/>
  <c r="H55" i="69"/>
  <c r="G55" i="69"/>
  <c r="F55" i="69"/>
  <c r="E55" i="69"/>
  <c r="P50" i="69"/>
  <c r="P49" i="69"/>
  <c r="V48" i="69"/>
  <c r="T48" i="69"/>
  <c r="R48"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F40" i="69"/>
  <c r="AA40" i="69" s="1"/>
  <c r="C40" i="69"/>
  <c r="H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J29" i="69"/>
  <c r="AC29" i="69" s="1"/>
  <c r="H29" i="69"/>
  <c r="AB29" i="69" s="1"/>
  <c r="F29" i="69"/>
  <c r="AA29" i="69" s="1"/>
  <c r="C29" i="69"/>
  <c r="Q27" i="69"/>
  <c r="Z27" i="69" s="1"/>
  <c r="J27" i="69"/>
  <c r="H27" i="69"/>
  <c r="AB27" i="69" s="1"/>
  <c r="F27" i="69"/>
  <c r="AA27" i="69" s="1"/>
  <c r="C27" i="69"/>
  <c r="Q25" i="69"/>
  <c r="Z25" i="69" s="1"/>
  <c r="J25" i="69"/>
  <c r="AC25" i="69" s="1"/>
  <c r="H25" i="69"/>
  <c r="AB25" i="69" s="1"/>
  <c r="F25" i="69"/>
  <c r="AA25" i="69" s="1"/>
  <c r="C25" i="69"/>
  <c r="AC23" i="69"/>
  <c r="W23" i="69"/>
  <c r="Q23" i="69"/>
  <c r="Z23" i="69" s="1"/>
  <c r="J23" i="69"/>
  <c r="H23" i="69"/>
  <c r="AB23" i="69" s="1"/>
  <c r="F23" i="69"/>
  <c r="AA23" i="69" s="1"/>
  <c r="C23" i="69"/>
  <c r="Q21" i="69"/>
  <c r="Z21" i="69" s="1"/>
  <c r="J21" i="69"/>
  <c r="AC21" i="69" s="1"/>
  <c r="H21" i="69"/>
  <c r="AB21" i="69" s="1"/>
  <c r="F21" i="69"/>
  <c r="AA21" i="69" s="1"/>
  <c r="C21" i="69"/>
  <c r="AC19" i="69"/>
  <c r="W19" i="69"/>
  <c r="Q19" i="69"/>
  <c r="Z19" i="69" s="1"/>
  <c r="J19" i="69"/>
  <c r="H19" i="69"/>
  <c r="AB19" i="69" s="1"/>
  <c r="F19" i="69"/>
  <c r="AA19" i="69" s="1"/>
  <c r="C19" i="69"/>
  <c r="Q17" i="69"/>
  <c r="Z17" i="69" s="1"/>
  <c r="J17" i="69"/>
  <c r="AC17" i="69" s="1"/>
  <c r="H17" i="69"/>
  <c r="AB17" i="69" s="1"/>
  <c r="F17" i="69"/>
  <c r="AA17" i="69" s="1"/>
  <c r="C17" i="69"/>
  <c r="AC16" i="69"/>
  <c r="W16" i="69"/>
  <c r="Q16" i="69"/>
  <c r="Z16" i="69" s="1"/>
  <c r="J16" i="69"/>
  <c r="H16" i="69"/>
  <c r="F16" i="69"/>
  <c r="AA16"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C12" i="69"/>
  <c r="Q11" i="69"/>
  <c r="Z11" i="69" s="1"/>
  <c r="J11" i="69"/>
  <c r="AC11" i="69" s="1"/>
  <c r="H11" i="69"/>
  <c r="AB11" i="69" s="1"/>
  <c r="F11" i="69"/>
  <c r="AA11" i="69" s="1"/>
  <c r="U10" i="69"/>
  <c r="J10" i="69"/>
  <c r="W10" i="69" s="1"/>
  <c r="H10" i="69"/>
  <c r="AB10" i="69" s="1"/>
  <c r="F10" i="69"/>
  <c r="S10" i="69" s="1"/>
  <c r="C9" i="69"/>
  <c r="C70" i="69" s="1"/>
  <c r="AA10" i="69" l="1"/>
  <c r="AC10" i="69"/>
  <c r="S17" i="69"/>
  <c r="S11" i="69"/>
  <c r="W11" i="69"/>
  <c r="S12" i="69"/>
  <c r="W12" i="69"/>
  <c r="U13" i="69"/>
  <c r="S14" i="69"/>
  <c r="W14" i="69"/>
  <c r="U15" i="69"/>
  <c r="S16" i="69"/>
  <c r="W17" i="69"/>
  <c r="S19" i="69"/>
  <c r="W21" i="69"/>
  <c r="S23" i="69"/>
  <c r="W25" i="69"/>
  <c r="AC27" i="69"/>
  <c r="W27" i="69"/>
  <c r="S27" i="69"/>
  <c r="D70" i="69"/>
  <c r="C72" i="69"/>
  <c r="U11" i="69"/>
  <c r="U12" i="69"/>
  <c r="S13" i="69"/>
  <c r="W13" i="69"/>
  <c r="U14" i="69"/>
  <c r="S15" i="69"/>
  <c r="W15" i="69"/>
  <c r="AB16" i="69"/>
  <c r="U16" i="69"/>
  <c r="S21" i="69"/>
  <c r="S25" i="69"/>
  <c r="AB40" i="69"/>
  <c r="U40" i="69"/>
  <c r="U17" i="69"/>
  <c r="U19" i="69"/>
  <c r="U21" i="69"/>
  <c r="U23" i="69"/>
  <c r="U25" i="69"/>
  <c r="U27" i="69"/>
  <c r="U29" i="69"/>
  <c r="U31" i="69"/>
  <c r="S33" i="69"/>
  <c r="W33" i="69"/>
  <c r="U34" i="69"/>
  <c r="S36" i="69"/>
  <c r="W36" i="69"/>
  <c r="U37" i="69"/>
  <c r="S38" i="69"/>
  <c r="W38" i="69"/>
  <c r="U39" i="69"/>
  <c r="S41" i="69"/>
  <c r="W41" i="69"/>
  <c r="U42" i="69"/>
  <c r="S43" i="69"/>
  <c r="W43" i="69"/>
  <c r="U44" i="69"/>
  <c r="S45" i="69"/>
  <c r="W45" i="69"/>
  <c r="U46" i="69"/>
  <c r="S47" i="69"/>
  <c r="W47" i="69"/>
  <c r="S29" i="69"/>
  <c r="W29" i="69"/>
  <c r="S31" i="69"/>
  <c r="W31" i="69"/>
  <c r="U33" i="69"/>
  <c r="S34" i="69"/>
  <c r="W34" i="69"/>
  <c r="U36" i="69"/>
  <c r="S37" i="69"/>
  <c r="W37" i="69"/>
  <c r="U38" i="69"/>
  <c r="S39" i="69"/>
  <c r="W39" i="69"/>
  <c r="S40" i="69"/>
  <c r="W40" i="69"/>
  <c r="U41" i="69"/>
  <c r="S42" i="69"/>
  <c r="W42" i="69"/>
  <c r="U43" i="69"/>
  <c r="S44" i="69"/>
  <c r="W44" i="69"/>
  <c r="U45" i="69"/>
  <c r="S46" i="69"/>
  <c r="W46" i="69"/>
  <c r="U47" i="69"/>
  <c r="D72" i="69" l="1"/>
  <c r="E70" i="69"/>
  <c r="G27" i="68"/>
  <c r="G21" i="68"/>
  <c r="G22" i="68"/>
  <c r="G23" i="68"/>
  <c r="G24" i="68"/>
  <c r="G25" i="68"/>
  <c r="G26" i="68"/>
  <c r="G20" i="68"/>
  <c r="E23" i="68"/>
  <c r="E22" i="68"/>
  <c r="E21" i="68"/>
  <c r="E20" i="68"/>
  <c r="E27" i="68" s="1"/>
  <c r="F70" i="69" l="1"/>
  <c r="E72" i="69"/>
  <c r="V9" i="31"/>
  <c r="F9" i="31"/>
  <c r="G9" i="31"/>
  <c r="H9" i="31"/>
  <c r="I9" i="31"/>
  <c r="E9" i="31"/>
  <c r="M3" i="31"/>
  <c r="C10" i="12"/>
  <c r="C40" i="39"/>
  <c r="C12" i="39"/>
  <c r="E120" i="39"/>
  <c r="F120" i="39" s="1"/>
  <c r="G120" i="39" s="1"/>
  <c r="H120" i="39" s="1"/>
  <c r="I120" i="39" s="1"/>
  <c r="D120" i="39"/>
  <c r="B28" i="1"/>
  <c r="N7" i="1"/>
  <c r="F72" i="69" l="1"/>
  <c r="G70" i="69"/>
  <c r="H7" i="1"/>
  <c r="C13" i="3"/>
  <c r="I13" i="3" s="1"/>
  <c r="K13" i="3" s="1"/>
  <c r="A16" i="3"/>
  <c r="C8" i="68"/>
  <c r="A15" i="3"/>
  <c r="A20" i="3" s="1"/>
  <c r="C7" i="68"/>
  <c r="A14" i="3"/>
  <c r="C6" i="68"/>
  <c r="A13" i="3"/>
  <c r="C5" i="68"/>
  <c r="A3" i="3"/>
  <c r="F13" i="4"/>
  <c r="B7" i="4"/>
  <c r="D3" i="4"/>
  <c r="H70" i="69" l="1"/>
  <c r="G72" i="69"/>
  <c r="A16" i="55"/>
  <c r="A15" i="55"/>
  <c r="A14" i="55"/>
  <c r="A10" i="55"/>
  <c r="A9" i="55"/>
  <c r="A8" i="55"/>
  <c r="A6" i="54"/>
  <c r="A8" i="54"/>
  <c r="A7" i="54"/>
  <c r="A27" i="51"/>
  <c r="H72" i="69" l="1"/>
  <c r="I70" i="69"/>
  <c r="D5" i="46"/>
  <c r="J70" i="69" l="1"/>
  <c r="I72" i="69"/>
  <c r="L5" i="59"/>
  <c r="Q5" i="59" s="1"/>
  <c r="K5" i="59"/>
  <c r="J5" i="59"/>
  <c r="O5" i="59" s="1"/>
  <c r="I5" i="59"/>
  <c r="N6" i="59"/>
  <c r="O6" i="59"/>
  <c r="P6" i="59"/>
  <c r="Q6" i="59"/>
  <c r="N5" i="59"/>
  <c r="P5" i="59"/>
  <c r="J72" i="69" l="1"/>
  <c r="K70" i="69"/>
  <c r="K75" i="9"/>
  <c r="K6" i="4"/>
  <c r="O76" i="9" s="1"/>
  <c r="E10" i="67"/>
  <c r="B11" i="67"/>
  <c r="E11" i="67"/>
  <c r="E8" i="67"/>
  <c r="B10" i="67"/>
  <c r="B8" i="67"/>
  <c r="F11" i="67"/>
  <c r="E9" i="67"/>
  <c r="F10" i="67"/>
  <c r="E13" i="67"/>
  <c r="F9" i="67"/>
  <c r="B12" i="67"/>
  <c r="F13" i="67"/>
  <c r="B9" i="67"/>
  <c r="E12" i="67"/>
  <c r="B13" i="67"/>
  <c r="F8" i="67"/>
  <c r="F14" i="67"/>
  <c r="B14" i="67"/>
  <c r="E14" i="67"/>
  <c r="F12" i="67"/>
  <c r="L70" i="69" l="1"/>
  <c r="K72" i="69"/>
  <c r="L76" i="9"/>
  <c r="K76" i="9"/>
  <c r="K77" i="9" s="1"/>
  <c r="K79" i="9" s="1"/>
  <c r="K81" i="9" s="1"/>
  <c r="D22" i="31"/>
  <c r="L72" i="69" l="1"/>
  <c r="M70" i="69"/>
  <c r="E15" i="66"/>
  <c r="F15" i="66"/>
  <c r="E16" i="66"/>
  <c r="F16" i="66"/>
  <c r="E17" i="66"/>
  <c r="F17" i="66"/>
  <c r="E18" i="66"/>
  <c r="F18" i="66"/>
  <c r="E19" i="66"/>
  <c r="F19" i="66"/>
  <c r="E20" i="66"/>
  <c r="F20" i="66"/>
  <c r="E21" i="66"/>
  <c r="F21" i="66"/>
  <c r="E22" i="66"/>
  <c r="F22" i="66"/>
  <c r="E23" i="66"/>
  <c r="F23" i="66"/>
  <c r="B3" i="66"/>
  <c r="N70" i="69" l="1"/>
  <c r="N72" i="69" s="1"/>
  <c r="M72" i="69"/>
  <c r="M19" i="46"/>
  <c r="F9" i="69" l="1"/>
  <c r="H9" i="69"/>
  <c r="J9" i="69"/>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AC9" i="69" l="1"/>
  <c r="V49" i="69" s="1"/>
  <c r="I49" i="69" s="1"/>
  <c r="W9" i="69"/>
  <c r="U9" i="69"/>
  <c r="AB9" i="69"/>
  <c r="T49" i="69" s="1"/>
  <c r="G49" i="69" s="1"/>
  <c r="AA9" i="69"/>
  <c r="R49" i="69" s="1"/>
  <c r="S9" i="69"/>
  <c r="U2" i="31"/>
  <c r="O2" i="31"/>
  <c r="P2" i="31"/>
  <c r="Q2" i="31"/>
  <c r="R2" i="31"/>
  <c r="S2" i="31"/>
  <c r="T2" i="31"/>
  <c r="G54" i="69" l="1"/>
  <c r="H54" i="69" s="1"/>
  <c r="G53" i="69"/>
  <c r="H53" i="69" s="1"/>
  <c r="R50" i="69"/>
  <c r="E49" i="69"/>
  <c r="I54" i="69"/>
  <c r="J54" i="69" s="1"/>
  <c r="I53" i="69"/>
  <c r="J53" i="69" s="1"/>
  <c r="C3" i="65"/>
  <c r="C1" i="65"/>
  <c r="N1" i="65" s="1"/>
  <c r="N7" i="65"/>
  <c r="E54" i="69" l="1"/>
  <c r="F54" i="69" s="1"/>
  <c r="E53" i="69"/>
  <c r="F53" i="69" s="1"/>
  <c r="C50" i="69"/>
  <c r="C49" i="69"/>
  <c r="H1" i="65"/>
  <c r="B76" i="63"/>
  <c r="N5" i="65"/>
  <c r="N4" i="65"/>
  <c r="J6" i="65"/>
  <c r="I7" i="65"/>
  <c r="I3" i="65"/>
  <c r="N3" i="65"/>
  <c r="J4" i="65"/>
  <c r="I5" i="65"/>
  <c r="N6" i="65"/>
  <c r="B62" i="69" l="1"/>
  <c r="F62" i="69" s="1"/>
  <c r="B66" i="69"/>
  <c r="F66" i="69" s="1"/>
  <c r="B64" i="69"/>
  <c r="F64" i="69" s="1"/>
  <c r="B60" i="69"/>
  <c r="F60" i="69" s="1"/>
  <c r="B58" i="69"/>
  <c r="F58" i="69" s="1"/>
  <c r="B67" i="69"/>
  <c r="F67" i="69" s="1"/>
  <c r="B65" i="69"/>
  <c r="F65" i="69" s="1"/>
  <c r="B63" i="69"/>
  <c r="F63" i="69" s="1"/>
  <c r="B61" i="69"/>
  <c r="F61" i="69" s="1"/>
  <c r="B59" i="69"/>
  <c r="F59" i="69" s="1"/>
  <c r="C4" i="65"/>
  <c r="B39" i="1" s="1"/>
  <c r="I4" i="65"/>
  <c r="J3" i="65"/>
  <c r="J7" i="65"/>
  <c r="I6" i="65"/>
  <c r="J5" i="65"/>
  <c r="F68" i="69" l="1"/>
  <c r="B2" i="69" s="1"/>
  <c r="E20" i="46"/>
  <c r="J1" i="65"/>
  <c r="M5" i="54"/>
  <c r="A23" i="51"/>
  <c r="E3" i="65"/>
  <c r="B5" i="69" l="1"/>
  <c r="B3" i="69"/>
  <c r="B4"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AA8" i="59" s="1"/>
  <c r="O8" i="59"/>
  <c r="N8" i="59"/>
  <c r="D8" i="59"/>
  <c r="C9" i="59" l="1"/>
  <c r="Y8" i="59"/>
  <c r="Z8" i="59" s="1"/>
  <c r="F9" i="59"/>
  <c r="AB8" i="59"/>
  <c r="B9" i="59"/>
  <c r="X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F12" i="31"/>
  <c r="G12" i="31" s="1"/>
  <c r="H12" i="31" s="1"/>
  <c r="I12" i="31" s="1"/>
  <c r="J12" i="31" s="1"/>
  <c r="K12" i="31" s="1"/>
  <c r="L12" i="31" s="1"/>
  <c r="M12" i="31" s="1"/>
  <c r="N12" i="31" s="1"/>
  <c r="O12" i="31" s="1"/>
  <c r="P12" i="31" s="1"/>
  <c r="Q12" i="31" s="1"/>
  <c r="R12" i="31" s="1"/>
  <c r="S12" i="31" s="1"/>
  <c r="T12" i="31" s="1"/>
  <c r="U12" i="31" s="1"/>
  <c r="F10" i="31"/>
  <c r="G10" i="31" s="1"/>
  <c r="H10" i="31" s="1"/>
  <c r="I10" i="31" s="1"/>
  <c r="J10" i="31" s="1"/>
  <c r="K10" i="31" s="1"/>
  <c r="L10" i="31" s="1"/>
  <c r="M10" i="31" s="1"/>
  <c r="N10" i="31" s="1"/>
  <c r="O10" i="31" s="1"/>
  <c r="P10" i="31" s="1"/>
  <c r="Q10" i="31" s="1"/>
  <c r="R10" i="31" s="1"/>
  <c r="S10" i="31" s="1"/>
  <c r="T10" i="31" s="1"/>
  <c r="U10" i="31" s="1"/>
  <c r="F8" i="31"/>
  <c r="G8" i="31" s="1"/>
  <c r="H8" i="31" s="1"/>
  <c r="I8" i="31" s="1"/>
  <c r="J8" i="31" s="1"/>
  <c r="K8" i="31" s="1"/>
  <c r="L8" i="31" s="1"/>
  <c r="M8" i="31" s="1"/>
  <c r="N8" i="31" s="1"/>
  <c r="O8" i="31" s="1"/>
  <c r="P8" i="31" s="1"/>
  <c r="Q8" i="31" s="1"/>
  <c r="R8" i="31" s="1"/>
  <c r="S8" i="31" s="1"/>
  <c r="T8" i="31" s="1"/>
  <c r="U8" i="31" s="1"/>
  <c r="F6" i="31"/>
  <c r="G6" i="31" s="1"/>
  <c r="H6" i="31" s="1"/>
  <c r="I6" i="31" s="1"/>
  <c r="J6" i="31" s="1"/>
  <c r="K6" i="31" s="1"/>
  <c r="L6" i="31" s="1"/>
  <c r="M6" i="31" s="1"/>
  <c r="N6" i="31" s="1"/>
  <c r="O6" i="31" s="1"/>
  <c r="P6" i="31" s="1"/>
  <c r="Q6" i="31" s="1"/>
  <c r="R6" i="31" s="1"/>
  <c r="S6" i="31" s="1"/>
  <c r="T6" i="31" s="1"/>
  <c r="U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N2" i="31"/>
  <c r="M2" i="31"/>
  <c r="L2" i="31"/>
  <c r="K2" i="31"/>
  <c r="J2" i="31"/>
  <c r="I2" i="31"/>
  <c r="H2" i="31"/>
  <c r="G2" i="31"/>
  <c r="F2" i="31"/>
  <c r="E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T59" i="31"/>
  <c r="T60" i="31"/>
  <c r="U60" i="31" s="1"/>
  <c r="T61" i="31"/>
  <c r="T62" i="31"/>
  <c r="U62" i="31" s="1"/>
  <c r="T63" i="31"/>
  <c r="T64" i="31"/>
  <c r="U64" i="31" s="1"/>
  <c r="T65" i="31"/>
  <c r="T66" i="31"/>
  <c r="U66" i="31" s="1"/>
  <c r="T67" i="31"/>
  <c r="T68" i="31"/>
  <c r="U68" i="31" s="1"/>
  <c r="T69" i="31"/>
  <c r="T70" i="31"/>
  <c r="U70" i="31" s="1"/>
  <c r="T71" i="31"/>
  <c r="T72" i="31"/>
  <c r="U72" i="31" s="1"/>
  <c r="T73" i="31"/>
  <c r="T74" i="31"/>
  <c r="U74" i="31" s="1"/>
  <c r="T75" i="31"/>
  <c r="T76" i="31"/>
  <c r="U76" i="31" s="1"/>
  <c r="T77" i="31"/>
  <c r="T78" i="31"/>
  <c r="U78" i="31" s="1"/>
  <c r="T79" i="31"/>
  <c r="T80" i="31"/>
  <c r="U80" i="31" s="1"/>
  <c r="T81" i="31"/>
  <c r="T82" i="31"/>
  <c r="U82" i="31" s="1"/>
  <c r="T83" i="31"/>
  <c r="T84" i="31"/>
  <c r="U84" i="31" s="1"/>
  <c r="T85" i="31"/>
  <c r="T86" i="31"/>
  <c r="U86" i="31" s="1"/>
  <c r="T87" i="31"/>
  <c r="T88" i="31"/>
  <c r="U88" i="31" s="1"/>
  <c r="T89" i="31"/>
  <c r="T90" i="31"/>
  <c r="U90" i="31" s="1"/>
  <c r="T91" i="31"/>
  <c r="T92" i="31"/>
  <c r="U92" i="31" s="1"/>
  <c r="T93" i="31"/>
  <c r="T94" i="31"/>
  <c r="U94" i="31" s="1"/>
  <c r="T95" i="31"/>
  <c r="T96" i="31"/>
  <c r="U96" i="31" s="1"/>
  <c r="T97" i="31"/>
  <c r="T98" i="31"/>
  <c r="U98" i="31" s="1"/>
  <c r="T99" i="31"/>
  <c r="T100" i="31"/>
  <c r="U100" i="31" s="1"/>
  <c r="T101" i="31"/>
  <c r="T102" i="31"/>
  <c r="U102" i="31" s="1"/>
  <c r="T103" i="31"/>
  <c r="T104" i="31"/>
  <c r="U104" i="31" s="1"/>
  <c r="T105" i="31"/>
  <c r="T106" i="31"/>
  <c r="U106" i="31" s="1"/>
  <c r="T107" i="31"/>
  <c r="T108" i="31"/>
  <c r="U108" i="31" s="1"/>
  <c r="T109" i="31"/>
  <c r="T110" i="31"/>
  <c r="U110" i="31" s="1"/>
  <c r="T111" i="31"/>
  <c r="T112" i="31"/>
  <c r="U112" i="31" s="1"/>
  <c r="T113" i="31"/>
  <c r="T114" i="31"/>
  <c r="U114" i="31" s="1"/>
  <c r="T115" i="31"/>
  <c r="T116" i="31"/>
  <c r="U116" i="31" s="1"/>
  <c r="T117" i="31"/>
  <c r="T118" i="31"/>
  <c r="U118" i="31" s="1"/>
  <c r="T119" i="31"/>
  <c r="T120" i="31"/>
  <c r="U120" i="31" s="1"/>
  <c r="T121" i="31"/>
  <c r="T122" i="31"/>
  <c r="U122" i="31" s="1"/>
  <c r="T123" i="31"/>
  <c r="T124" i="31"/>
  <c r="U124" i="31" s="1"/>
  <c r="T125" i="31"/>
  <c r="T126" i="31"/>
  <c r="U126" i="31" s="1"/>
  <c r="T127" i="31"/>
  <c r="T128" i="31"/>
  <c r="U128" i="31" s="1"/>
  <c r="T129" i="31"/>
  <c r="T130" i="31"/>
  <c r="U130" i="31" s="1"/>
  <c r="T131" i="31"/>
  <c r="T132" i="31"/>
  <c r="U132" i="31" s="1"/>
  <c r="T133" i="31"/>
  <c r="T134" i="31"/>
  <c r="U134" i="31" s="1"/>
  <c r="T135" i="31"/>
  <c r="T136" i="31"/>
  <c r="U136" i="31" s="1"/>
  <c r="T137" i="31"/>
  <c r="T138" i="31"/>
  <c r="U138" i="31" s="1"/>
  <c r="T139" i="31"/>
  <c r="T140" i="31"/>
  <c r="U140" i="31" s="1"/>
  <c r="T141" i="31"/>
  <c r="T142" i="31"/>
  <c r="U142" i="31" s="1"/>
  <c r="T143" i="31"/>
  <c r="T144" i="31"/>
  <c r="U144" i="31" s="1"/>
  <c r="T145" i="31"/>
  <c r="T146" i="31"/>
  <c r="U146" i="31" s="1"/>
  <c r="T147" i="31"/>
  <c r="T148" i="31"/>
  <c r="U148" i="31" s="1"/>
  <c r="T149" i="31"/>
  <c r="T150" i="31"/>
  <c r="U150" i="31" s="1"/>
  <c r="T151" i="31"/>
  <c r="T152" i="31"/>
  <c r="U152" i="31" s="1"/>
  <c r="T153" i="31"/>
  <c r="T154" i="31"/>
  <c r="U154" i="31" s="1"/>
  <c r="T155" i="31"/>
  <c r="T156" i="31"/>
  <c r="U156" i="31" s="1"/>
  <c r="T157" i="31"/>
  <c r="T158" i="31"/>
  <c r="U158" i="31" s="1"/>
  <c r="T159" i="31"/>
  <c r="T160" i="31"/>
  <c r="U160" i="31" s="1"/>
  <c r="T161" i="31"/>
  <c r="T162" i="31"/>
  <c r="U162" i="31" s="1"/>
  <c r="T163" i="31"/>
  <c r="T164" i="31"/>
  <c r="U164" i="31" s="1"/>
  <c r="T165" i="31"/>
  <c r="T166" i="31"/>
  <c r="U166" i="31" s="1"/>
  <c r="T167" i="31"/>
  <c r="T168" i="31"/>
  <c r="U168" i="31" s="1"/>
  <c r="T169" i="31"/>
  <c r="T170" i="31"/>
  <c r="U170" i="31" s="1"/>
  <c r="T171" i="31"/>
  <c r="T172" i="31"/>
  <c r="U172" i="31" s="1"/>
  <c r="T173" i="31"/>
  <c r="T174" i="31"/>
  <c r="U174" i="31" s="1"/>
  <c r="T175" i="31"/>
  <c r="T176" i="31"/>
  <c r="U176" i="31" s="1"/>
  <c r="T177" i="31"/>
  <c r="T178" i="31"/>
  <c r="U178" i="31" s="1"/>
  <c r="T179" i="31"/>
  <c r="T180" i="31"/>
  <c r="U180" i="31" s="1"/>
  <c r="T181" i="31"/>
  <c r="T182" i="31"/>
  <c r="U182" i="31" s="1"/>
  <c r="T183" i="31"/>
  <c r="T184" i="31"/>
  <c r="U184" i="31" s="1"/>
  <c r="T185" i="31"/>
  <c r="T186" i="31"/>
  <c r="U186" i="31" s="1"/>
  <c r="T187" i="31"/>
  <c r="T188" i="31"/>
  <c r="U188" i="31" s="1"/>
  <c r="T189" i="31"/>
  <c r="T190" i="31"/>
  <c r="U190" i="31" s="1"/>
  <c r="T191" i="31"/>
  <c r="T192" i="31"/>
  <c r="U192" i="31" s="1"/>
  <c r="T193" i="31"/>
  <c r="T194" i="31"/>
  <c r="U194" i="31" s="1"/>
  <c r="T195" i="31"/>
  <c r="T196" i="31"/>
  <c r="U196" i="31" s="1"/>
  <c r="T197" i="31"/>
  <c r="T198" i="31"/>
  <c r="U198" i="31" s="1"/>
  <c r="T199" i="31"/>
  <c r="T200" i="31"/>
  <c r="U200" i="31" s="1"/>
  <c r="T201" i="31"/>
  <c r="T202" i="31"/>
  <c r="U202" i="31" s="1"/>
  <c r="T203" i="31"/>
  <c r="T204" i="31"/>
  <c r="U204" i="31" s="1"/>
  <c r="T205" i="31"/>
  <c r="T206" i="31"/>
  <c r="U206" i="31" s="1"/>
  <c r="T207" i="31"/>
  <c r="T208" i="31"/>
  <c r="U208" i="31" s="1"/>
  <c r="T209" i="31"/>
  <c r="T210" i="31"/>
  <c r="U210" i="31" s="1"/>
  <c r="T211" i="31"/>
  <c r="T212" i="31"/>
  <c r="U212" i="31" s="1"/>
  <c r="T213" i="31"/>
  <c r="T214" i="31"/>
  <c r="U214" i="31" s="1"/>
  <c r="T215" i="31"/>
  <c r="T216" i="31"/>
  <c r="U216" i="31" s="1"/>
  <c r="T217" i="31"/>
  <c r="T218" i="31"/>
  <c r="U218" i="31" s="1"/>
  <c r="T219" i="31"/>
  <c r="T220" i="31"/>
  <c r="U220" i="31" s="1"/>
  <c r="T221" i="31"/>
  <c r="T222" i="31"/>
  <c r="U222" i="31" s="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U426" i="31" s="1"/>
  <c r="T427" i="31"/>
  <c r="T428" i="31"/>
  <c r="U428" i="31" s="1"/>
  <c r="T429" i="31"/>
  <c r="T430" i="31"/>
  <c r="U430" i="31" s="1"/>
  <c r="T431" i="31"/>
  <c r="T432" i="31"/>
  <c r="U432" i="31" s="1"/>
  <c r="T433" i="31"/>
  <c r="T434" i="31"/>
  <c r="U434" i="31" s="1"/>
  <c r="T435" i="31"/>
  <c r="T436" i="31"/>
  <c r="U436" i="31" s="1"/>
  <c r="T437" i="31"/>
  <c r="T438" i="31"/>
  <c r="U438" i="31" s="1"/>
  <c r="T439" i="31"/>
  <c r="T440" i="31"/>
  <c r="U440" i="31" s="1"/>
  <c r="T441" i="31"/>
  <c r="T442" i="31"/>
  <c r="U442" i="31" s="1"/>
  <c r="T443" i="31"/>
  <c r="T444" i="31"/>
  <c r="U444" i="31" s="1"/>
  <c r="T445" i="31"/>
  <c r="T446" i="31"/>
  <c r="U446" i="31" s="1"/>
  <c r="T447" i="31"/>
  <c r="T448" i="31"/>
  <c r="U448" i="31" s="1"/>
  <c r="T449" i="31"/>
  <c r="T450" i="31"/>
  <c r="U450" i="31" s="1"/>
  <c r="T451" i="31"/>
  <c r="T452" i="31"/>
  <c r="U452" i="31" s="1"/>
  <c r="T453" i="31"/>
  <c r="T454" i="31"/>
  <c r="U454" i="31" s="1"/>
  <c r="T455" i="31"/>
  <c r="T456" i="31"/>
  <c r="U456" i="31" s="1"/>
  <c r="T457" i="31"/>
  <c r="T458" i="31"/>
  <c r="U458" i="31" s="1"/>
  <c r="T459" i="31"/>
  <c r="T460" i="31"/>
  <c r="U460" i="31" s="1"/>
  <c r="T461" i="31"/>
  <c r="T462" i="31"/>
  <c r="U462" i="31" s="1"/>
  <c r="T463" i="31"/>
  <c r="T464" i="31"/>
  <c r="U464" i="31" s="1"/>
  <c r="T465" i="31"/>
  <c r="T466" i="31"/>
  <c r="U466" i="31" s="1"/>
  <c r="T467" i="31"/>
  <c r="T468" i="31"/>
  <c r="U468" i="31" s="1"/>
  <c r="T469" i="31"/>
  <c r="T470" i="31"/>
  <c r="U470" i="31" s="1"/>
  <c r="T471" i="31"/>
  <c r="T472" i="31"/>
  <c r="U472" i="31" s="1"/>
  <c r="T473" i="31"/>
  <c r="T474" i="31"/>
  <c r="T475" i="31"/>
  <c r="T476" i="31"/>
  <c r="T477" i="31"/>
  <c r="T478" i="31"/>
  <c r="T479" i="31"/>
  <c r="T480" i="31"/>
  <c r="T481" i="31"/>
  <c r="T482" i="31"/>
  <c r="T483" i="31"/>
  <c r="T484" i="31"/>
  <c r="T485" i="31"/>
  <c r="T486" i="31"/>
  <c r="T487" i="31"/>
  <c r="T488" i="31"/>
  <c r="T489" i="31"/>
  <c r="T490" i="31"/>
  <c r="T491" i="31"/>
  <c r="T492" i="31"/>
  <c r="U492" i="31" s="1"/>
  <c r="T493" i="31"/>
  <c r="T494" i="31"/>
  <c r="T495" i="31"/>
  <c r="T496" i="31"/>
  <c r="T497" i="31"/>
  <c r="T498" i="31"/>
  <c r="U498" i="31" s="1"/>
  <c r="T499" i="31"/>
  <c r="T500" i="31"/>
  <c r="U500" i="31" s="1"/>
  <c r="T501" i="31"/>
  <c r="T502" i="31"/>
  <c r="U502" i="31" s="1"/>
  <c r="T503" i="31"/>
  <c r="T504" i="31"/>
  <c r="U504" i="31" s="1"/>
  <c r="T505" i="31"/>
  <c r="T506" i="31"/>
  <c r="U506" i="31" s="1"/>
  <c r="T507" i="31"/>
  <c r="T508" i="31"/>
  <c r="U508" i="31" s="1"/>
  <c r="T509" i="31"/>
  <c r="T510" i="31"/>
  <c r="U510" i="31" s="1"/>
  <c r="T511" i="31"/>
  <c r="T512" i="31"/>
  <c r="U512" i="31" s="1"/>
  <c r="T513" i="31"/>
  <c r="T514" i="31"/>
  <c r="U514" i="31" s="1"/>
  <c r="T515" i="31"/>
  <c r="T516" i="31"/>
  <c r="U516" i="31" s="1"/>
  <c r="T517" i="31"/>
  <c r="T518" i="31"/>
  <c r="U518" i="31" s="1"/>
  <c r="T519" i="31"/>
  <c r="T520" i="31"/>
  <c r="U520" i="31" s="1"/>
  <c r="T521" i="31"/>
  <c r="T522" i="31"/>
  <c r="U522" i="31" s="1"/>
  <c r="T523" i="31"/>
  <c r="T524" i="31"/>
  <c r="U524" i="31" s="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26" i="31"/>
  <c r="I27" i="31"/>
  <c r="I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R23" i="31"/>
  <c r="P23" i="31"/>
  <c r="N23" i="31"/>
  <c r="L23" i="31"/>
  <c r="J23" i="31"/>
  <c r="H23" i="31"/>
  <c r="F23" i="31"/>
  <c r="S25" i="31"/>
  <c r="Q25" i="31"/>
  <c r="O25" i="31"/>
  <c r="M25" i="31"/>
  <c r="I25" i="31"/>
  <c r="G25" i="31"/>
  <c r="U422" i="31"/>
  <c r="U421" i="31"/>
  <c r="U420" i="31"/>
  <c r="U419" i="31"/>
  <c r="U418" i="31"/>
  <c r="U417" i="31"/>
  <c r="U416" i="31"/>
  <c r="U415" i="31"/>
  <c r="U414" i="31"/>
  <c r="U413" i="31"/>
  <c r="U412" i="31"/>
  <c r="U411" i="31"/>
  <c r="U410" i="31"/>
  <c r="U409" i="31"/>
  <c r="U408" i="31"/>
  <c r="U407" i="31"/>
  <c r="U406" i="31"/>
  <c r="U405" i="31"/>
  <c r="U404" i="31"/>
  <c r="U403" i="31"/>
  <c r="U402" i="31"/>
  <c r="U401" i="31"/>
  <c r="U400" i="31"/>
  <c r="U399" i="31"/>
  <c r="U398" i="31"/>
  <c r="U397" i="31"/>
  <c r="U396" i="31"/>
  <c r="U395" i="31"/>
  <c r="U394" i="31"/>
  <c r="U393" i="31"/>
  <c r="U392" i="31"/>
  <c r="U391" i="31"/>
  <c r="U390" i="31"/>
  <c r="U389" i="31"/>
  <c r="U388" i="31"/>
  <c r="U387" i="31"/>
  <c r="U386" i="31"/>
  <c r="U385" i="31"/>
  <c r="U384" i="31"/>
  <c r="U383" i="31"/>
  <c r="U382" i="31"/>
  <c r="U381" i="31"/>
  <c r="U380" i="31"/>
  <c r="U379" i="31"/>
  <c r="U378" i="31"/>
  <c r="U377" i="31"/>
  <c r="U376" i="31"/>
  <c r="U375" i="31"/>
  <c r="U374" i="31"/>
  <c r="U373" i="31"/>
  <c r="U372" i="31"/>
  <c r="U371" i="31"/>
  <c r="U370" i="31"/>
  <c r="U369" i="31"/>
  <c r="U368" i="31"/>
  <c r="U367" i="31"/>
  <c r="U366" i="31"/>
  <c r="U365" i="31"/>
  <c r="U364" i="31"/>
  <c r="U363" i="31"/>
  <c r="U362" i="31"/>
  <c r="U361" i="31"/>
  <c r="U360" i="31"/>
  <c r="U359" i="31"/>
  <c r="U358" i="31"/>
  <c r="U357" i="31"/>
  <c r="U356" i="31"/>
  <c r="U355" i="31"/>
  <c r="U354" i="31"/>
  <c r="U353" i="31"/>
  <c r="U352" i="31"/>
  <c r="U351" i="31"/>
  <c r="U350" i="31"/>
  <c r="U349" i="31"/>
  <c r="U348" i="31"/>
  <c r="U347" i="31"/>
  <c r="U346" i="31"/>
  <c r="U345" i="31"/>
  <c r="U344" i="31"/>
  <c r="U343" i="31"/>
  <c r="U342" i="31"/>
  <c r="U341" i="31"/>
  <c r="U340" i="31"/>
  <c r="U339" i="31"/>
  <c r="U338" i="31"/>
  <c r="U337" i="31"/>
  <c r="U336" i="31"/>
  <c r="U335" i="31"/>
  <c r="U334" i="31"/>
  <c r="U333" i="31"/>
  <c r="U332" i="31"/>
  <c r="U331" i="31"/>
  <c r="U330" i="31"/>
  <c r="U329" i="31"/>
  <c r="U328" i="31"/>
  <c r="U327" i="31"/>
  <c r="U326" i="31"/>
  <c r="U325" i="31"/>
  <c r="U324" i="31"/>
  <c r="U323" i="31"/>
  <c r="U322" i="31"/>
  <c r="U321" i="31"/>
  <c r="U424" i="31"/>
  <c r="U423" i="31"/>
  <c r="U320" i="31"/>
  <c r="U319" i="31"/>
  <c r="U318" i="31"/>
  <c r="U317" i="31"/>
  <c r="U316" i="31"/>
  <c r="U315" i="31"/>
  <c r="U314" i="31"/>
  <c r="U313" i="31"/>
  <c r="U312" i="31"/>
  <c r="U311" i="31"/>
  <c r="U310" i="31"/>
  <c r="U309" i="31"/>
  <c r="U308" i="31"/>
  <c r="U307" i="31"/>
  <c r="U306" i="31"/>
  <c r="U305" i="31"/>
  <c r="U304" i="31"/>
  <c r="U303" i="31"/>
  <c r="U302" i="31"/>
  <c r="U301" i="31"/>
  <c r="U300" i="31"/>
  <c r="U299" i="31"/>
  <c r="U298" i="31"/>
  <c r="U297" i="31"/>
  <c r="U296" i="31"/>
  <c r="U295" i="31"/>
  <c r="U294" i="31"/>
  <c r="U293" i="31"/>
  <c r="U292" i="31"/>
  <c r="U291" i="31"/>
  <c r="U290" i="31"/>
  <c r="U289" i="31"/>
  <c r="U288" i="31"/>
  <c r="U287" i="31"/>
  <c r="U286" i="31"/>
  <c r="U285" i="31"/>
  <c r="U284" i="31"/>
  <c r="U283" i="31"/>
  <c r="U282" i="31"/>
  <c r="U281" i="31"/>
  <c r="U280" i="31"/>
  <c r="U279" i="31"/>
  <c r="U278" i="31"/>
  <c r="U277" i="31"/>
  <c r="U276" i="31"/>
  <c r="U275" i="31"/>
  <c r="U274" i="31"/>
  <c r="U273" i="31"/>
  <c r="U272" i="31"/>
  <c r="U271" i="31"/>
  <c r="U270" i="31"/>
  <c r="U269" i="31"/>
  <c r="U268" i="31"/>
  <c r="U267" i="31"/>
  <c r="U266" i="31"/>
  <c r="U265" i="31"/>
  <c r="U264" i="31"/>
  <c r="U263" i="31"/>
  <c r="U262" i="31"/>
  <c r="U261" i="31"/>
  <c r="U260" i="31"/>
  <c r="U259" i="31"/>
  <c r="U258" i="31"/>
  <c r="U257" i="31"/>
  <c r="U256" i="31"/>
  <c r="U255" i="31"/>
  <c r="U254" i="31"/>
  <c r="U253" i="31"/>
  <c r="U252" i="31"/>
  <c r="U251" i="31"/>
  <c r="U250" i="31"/>
  <c r="U249" i="31"/>
  <c r="U248" i="31"/>
  <c r="U247" i="31"/>
  <c r="U246" i="31"/>
  <c r="U245" i="31"/>
  <c r="U244" i="31"/>
  <c r="U243" i="31"/>
  <c r="U242" i="31"/>
  <c r="U241" i="31"/>
  <c r="U240" i="31"/>
  <c r="U239" i="31"/>
  <c r="U238" i="31"/>
  <c r="U237" i="31"/>
  <c r="U236" i="31"/>
  <c r="U235" i="31"/>
  <c r="U234" i="31"/>
  <c r="U233" i="31"/>
  <c r="U232" i="31"/>
  <c r="U231" i="31"/>
  <c r="U230" i="31"/>
  <c r="U229" i="31"/>
  <c r="U228" i="31"/>
  <c r="U227" i="31"/>
  <c r="U226" i="31"/>
  <c r="U225" i="31"/>
  <c r="U224" i="31"/>
  <c r="U223" i="31"/>
  <c r="U429" i="31"/>
  <c r="U427" i="31"/>
  <c r="U425" i="31"/>
  <c r="U221" i="31"/>
  <c r="U219" i="31"/>
  <c r="U217" i="31"/>
  <c r="U215" i="31"/>
  <c r="U213" i="31"/>
  <c r="U211" i="31"/>
  <c r="U209" i="31"/>
  <c r="U207" i="31"/>
  <c r="U205" i="31"/>
  <c r="U203" i="31"/>
  <c r="U201" i="31"/>
  <c r="U199" i="31"/>
  <c r="U197" i="31"/>
  <c r="U195" i="31"/>
  <c r="U193" i="31"/>
  <c r="U191" i="31"/>
  <c r="U189" i="31"/>
  <c r="U187" i="31"/>
  <c r="U185" i="31"/>
  <c r="U183" i="31"/>
  <c r="U181" i="31"/>
  <c r="U179" i="31"/>
  <c r="U177" i="31"/>
  <c r="U175" i="31"/>
  <c r="U173" i="31"/>
  <c r="U171" i="31"/>
  <c r="U169" i="31"/>
  <c r="U167" i="31"/>
  <c r="U165" i="31"/>
  <c r="U163" i="31"/>
  <c r="U161" i="31"/>
  <c r="U159" i="31"/>
  <c r="U157" i="31"/>
  <c r="U155" i="31"/>
  <c r="U153" i="31"/>
  <c r="U151" i="31"/>
  <c r="U149" i="31"/>
  <c r="U147" i="31"/>
  <c r="U145" i="31"/>
  <c r="U143" i="31"/>
  <c r="U141" i="31"/>
  <c r="U139" i="31"/>
  <c r="U137" i="31"/>
  <c r="U135" i="31"/>
  <c r="U133" i="31"/>
  <c r="U131" i="31"/>
  <c r="U129" i="31"/>
  <c r="U127" i="31"/>
  <c r="U125" i="31"/>
  <c r="U123" i="31"/>
  <c r="U497" i="31"/>
  <c r="U496" i="31"/>
  <c r="U495" i="31"/>
  <c r="U494" i="31"/>
  <c r="U493" i="31"/>
  <c r="U491" i="31"/>
  <c r="U490" i="31"/>
  <c r="U489" i="31"/>
  <c r="U488" i="31"/>
  <c r="U487" i="31"/>
  <c r="U486" i="31"/>
  <c r="U485" i="31"/>
  <c r="U484" i="31"/>
  <c r="U483" i="31"/>
  <c r="U482" i="31"/>
  <c r="U481" i="31"/>
  <c r="U480" i="31"/>
  <c r="U479" i="31"/>
  <c r="U478" i="31"/>
  <c r="U477" i="31"/>
  <c r="U476" i="31"/>
  <c r="U475" i="31"/>
  <c r="U474" i="31"/>
  <c r="U473" i="31"/>
  <c r="U471" i="31"/>
  <c r="U469" i="31"/>
  <c r="U443" i="31"/>
  <c r="U441" i="31"/>
  <c r="U439" i="31"/>
  <c r="U437" i="31"/>
  <c r="U435" i="31"/>
  <c r="U433" i="31"/>
  <c r="U431" i="31"/>
  <c r="U121" i="31"/>
  <c r="U119" i="31"/>
  <c r="U117" i="31"/>
  <c r="U115" i="31"/>
  <c r="U113" i="31"/>
  <c r="U467" i="31"/>
  <c r="U465" i="31"/>
  <c r="U463" i="31"/>
  <c r="U461" i="31"/>
  <c r="U459" i="31"/>
  <c r="U457" i="31"/>
  <c r="U455" i="31"/>
  <c r="U453" i="31"/>
  <c r="U451" i="31"/>
  <c r="U77" i="31"/>
  <c r="U75" i="31"/>
  <c r="U73" i="31"/>
  <c r="U71" i="31"/>
  <c r="U69" i="31"/>
  <c r="U67" i="31"/>
  <c r="U65" i="31"/>
  <c r="U63" i="31"/>
  <c r="U61" i="31"/>
  <c r="U59" i="31"/>
  <c r="U97" i="31"/>
  <c r="U95" i="31"/>
  <c r="U93" i="31"/>
  <c r="U91" i="31"/>
  <c r="U89" i="31"/>
  <c r="U87" i="31"/>
  <c r="U85" i="31"/>
  <c r="U83" i="31"/>
  <c r="U81" i="31"/>
  <c r="U79" i="31"/>
  <c r="U99" i="31"/>
  <c r="U101" i="31"/>
  <c r="U103" i="31"/>
  <c r="U105" i="31"/>
  <c r="U107" i="31"/>
  <c r="U109" i="31"/>
  <c r="U111" i="31"/>
  <c r="U445" i="31"/>
  <c r="U447" i="31"/>
  <c r="U449" i="31"/>
  <c r="U507" i="31"/>
  <c r="U509" i="31"/>
  <c r="U511" i="31"/>
  <c r="U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U515" i="31"/>
  <c r="U517" i="31"/>
  <c r="U519" i="31"/>
  <c r="U521" i="31"/>
  <c r="U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E20" i="6" s="1"/>
  <c r="K7" i="1" s="1"/>
  <c r="M7" i="1" s="1"/>
  <c r="O7" i="1" s="1"/>
  <c r="P7" i="1"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U505" i="31"/>
  <c r="U503" i="31"/>
  <c r="U501" i="31"/>
  <c r="U499" i="31"/>
  <c r="Q27" i="31"/>
  <c r="Q28" i="31"/>
  <c r="Q26" i="31"/>
  <c r="O27" i="31"/>
  <c r="O28" i="31"/>
  <c r="O26" i="31"/>
  <c r="K26" i="31"/>
  <c r="K25" i="31"/>
  <c r="S26" i="31"/>
  <c r="M26" i="31"/>
  <c r="K27" i="31"/>
  <c r="S27" i="31"/>
  <c r="M27" i="31"/>
  <c r="K28" i="31"/>
  <c r="S28" i="31"/>
  <c r="M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B11" i="1"/>
  <c r="E11" i="1" s="1"/>
  <c r="K11" i="1"/>
  <c r="M11" i="1" s="1"/>
  <c r="B9" i="1"/>
  <c r="E9" i="1" s="1"/>
  <c r="K9" i="1"/>
  <c r="M9" i="1" s="1"/>
  <c r="B7" i="1"/>
  <c r="E7" i="1" s="1"/>
  <c r="C20" i="43"/>
  <c r="E2" i="65"/>
  <c r="U27" i="39" l="1"/>
  <c r="S13" i="39"/>
  <c r="F91" i="39"/>
  <c r="G91" i="39" s="1"/>
  <c r="F17" i="39"/>
  <c r="AA17" i="39" s="1"/>
  <c r="J17" i="39"/>
  <c r="W17" i="39" s="1"/>
  <c r="H17" i="39"/>
  <c r="U17" i="39" s="1"/>
  <c r="A30" i="51"/>
  <c r="AB25" i="39"/>
  <c r="U19" i="39"/>
  <c r="AB17" i="39"/>
  <c r="U13" i="39"/>
  <c r="AA19" i="39"/>
  <c r="S17" i="39"/>
  <c r="AB44" i="39"/>
  <c r="AA43" i="39"/>
  <c r="U34" i="39"/>
  <c r="S33" i="39"/>
  <c r="W33" i="39"/>
  <c r="AB29" i="39"/>
  <c r="W27" i="39"/>
  <c r="S23" i="39"/>
  <c r="AC43" i="39"/>
  <c r="U40" i="39"/>
  <c r="W14" i="39"/>
  <c r="A2" i="55"/>
  <c r="B55" i="63" s="1"/>
  <c r="A11" i="55"/>
  <c r="B62" i="63" s="1"/>
  <c r="U27" i="33"/>
  <c r="AB27" i="33"/>
  <c r="AC27" i="34"/>
  <c r="W27" i="34"/>
  <c r="AB36" i="35"/>
  <c r="U36" i="35"/>
  <c r="AC26" i="37"/>
  <c r="W26" i="37"/>
  <c r="J17" i="40"/>
  <c r="F86" i="40"/>
  <c r="G86" i="40" s="1"/>
  <c r="AZ395" i="3"/>
  <c r="AZ405" i="3"/>
  <c r="AZ411" i="3"/>
  <c r="AZ484" i="3"/>
  <c r="AC9" i="33"/>
  <c r="W9" i="33"/>
  <c r="S28" i="34"/>
  <c r="AA28" i="34"/>
  <c r="U45" i="33"/>
  <c r="AB45" i="33"/>
  <c r="U27" i="37"/>
  <c r="AB27" i="37"/>
  <c r="AZ392" i="3"/>
  <c r="AZ397" i="3"/>
  <c r="H5" i="3"/>
  <c r="AZ417" i="3"/>
  <c r="AZ424" i="3"/>
  <c r="AZ457" i="3"/>
  <c r="AZ473" i="3"/>
  <c r="F32" i="15"/>
  <c r="F59" i="15" s="1"/>
  <c r="F29" i="12"/>
  <c r="U31" i="37"/>
  <c r="AA23" i="37"/>
  <c r="AB43" i="33"/>
  <c r="AB44" i="21"/>
  <c r="AC28" i="33"/>
  <c r="S46" i="33"/>
  <c r="W42" i="21"/>
  <c r="AB30" i="21"/>
  <c r="S46" i="21"/>
  <c r="BI5" i="3"/>
  <c r="F9" i="33"/>
  <c r="AA9" i="33" s="1"/>
  <c r="J12" i="35"/>
  <c r="J36" i="35"/>
  <c r="F26" i="37"/>
  <c r="AA26" i="37" s="1"/>
  <c r="G15" i="3"/>
  <c r="G14" i="3"/>
  <c r="C18" i="9"/>
  <c r="D18" i="9" s="1"/>
  <c r="M44" i="9" s="1"/>
  <c r="AZ432" i="3"/>
  <c r="AZ443" i="3"/>
  <c r="AZ447" i="3"/>
  <c r="AZ462" i="3"/>
  <c r="AZ465" i="3"/>
  <c r="AZ387" i="3"/>
  <c r="AZ222" i="3"/>
  <c r="AZ226" i="3"/>
  <c r="AZ238" i="3"/>
  <c r="AZ242" i="3"/>
  <c r="AZ254" i="3"/>
  <c r="AZ258" i="3"/>
  <c r="AZ269" i="3"/>
  <c r="AZ272" i="3"/>
  <c r="AZ285" i="3"/>
  <c r="AZ291" i="3"/>
  <c r="AZ294" i="3"/>
  <c r="AZ113" i="3"/>
  <c r="AZ116" i="3"/>
  <c r="AZ129" i="3"/>
  <c r="AZ132" i="3"/>
  <c r="AZ145" i="3"/>
  <c r="AZ148" i="3"/>
  <c r="BA21" i="3"/>
  <c r="AZ21" i="3" s="1"/>
  <c r="AZ33" i="3"/>
  <c r="AZ38" i="3"/>
  <c r="AZ49" i="3"/>
  <c r="AZ54" i="3"/>
  <c r="AZ64" i="3"/>
  <c r="AZ69" i="3"/>
  <c r="AZ72"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M10" i="44"/>
  <c r="F8" i="44"/>
  <c r="F38" i="15"/>
  <c r="J36" i="15"/>
  <c r="M6" i="15"/>
  <c r="F40" i="44"/>
  <c r="F43" i="44"/>
  <c r="F18" i="44"/>
  <c r="M25" i="44"/>
  <c r="F38" i="44"/>
  <c r="F8" i="15"/>
  <c r="M8" i="44"/>
  <c r="C35" i="44"/>
  <c r="F36" i="15"/>
  <c r="M11" i="44"/>
  <c r="J17" i="44"/>
  <c r="F15" i="44"/>
  <c r="M26" i="44"/>
  <c r="F40" i="15"/>
  <c r="F9" i="44"/>
  <c r="M28" i="44"/>
  <c r="F45" i="44"/>
  <c r="F39" i="44"/>
  <c r="M24" i="44"/>
  <c r="F26" i="15"/>
  <c r="F42" i="15"/>
  <c r="L47" i="15"/>
  <c r="F11" i="44"/>
  <c r="F9" i="15"/>
  <c r="M30" i="44"/>
  <c r="M9" i="15"/>
  <c r="F28" i="44"/>
  <c r="F16" i="15"/>
  <c r="F6" i="15"/>
  <c r="F10" i="44"/>
  <c r="AC17" i="39" l="1"/>
  <c r="E561" i="3"/>
  <c r="AO6" i="3"/>
  <c r="E476" i="3"/>
  <c r="Z11" i="46"/>
  <c r="Z13" i="46" s="1"/>
  <c r="C23" i="46"/>
  <c r="C21" i="46" s="1"/>
  <c r="AH11" i="46"/>
  <c r="AH13" i="46" s="1"/>
  <c r="AG11" i="46"/>
  <c r="AG13" i="46" s="1"/>
  <c r="AD11" i="46"/>
  <c r="AD13" i="46" s="1"/>
  <c r="Y11" i="46"/>
  <c r="Y13" i="46" s="1"/>
  <c r="AC11" i="46"/>
  <c r="AC13" i="46" s="1"/>
  <c r="F29" i="6"/>
  <c r="F28" i="6"/>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Z7" i="46"/>
  <c r="D101" i="46"/>
  <c r="L101" i="46"/>
  <c r="I101" i="46"/>
  <c r="N104" i="45"/>
  <c r="G22" i="46"/>
  <c r="H101" i="46"/>
  <c r="E101" i="46"/>
  <c r="M101" i="46"/>
  <c r="F22" i="46"/>
  <c r="C34" i="46"/>
  <c r="C33" i="46"/>
  <c r="C35" i="46"/>
  <c r="E35" i="46" s="1"/>
  <c r="C36"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N106" i="46"/>
  <c r="N107" i="46"/>
  <c r="N104"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L59" i="15"/>
  <c r="Q75" i="15" s="1"/>
  <c r="Q72" i="15"/>
  <c r="F50" i="15"/>
  <c r="F63" i="15"/>
  <c r="F67" i="15"/>
  <c r="F65" i="15"/>
  <c r="P6" i="1"/>
  <c r="C15" i="12" s="1"/>
  <c r="G66" i="36"/>
  <c r="J18" i="36"/>
  <c r="AE8" i="1"/>
  <c r="AE6" i="1"/>
  <c r="L48" i="15"/>
  <c r="M24" i="15"/>
  <c r="F46" i="44"/>
  <c r="M22" i="15"/>
  <c r="M23" i="15"/>
  <c r="C18" i="44"/>
  <c r="F7" i="15"/>
  <c r="J15" i="15"/>
  <c r="M26" i="15"/>
  <c r="C16" i="15"/>
  <c r="F13" i="15"/>
  <c r="M29" i="15"/>
  <c r="M8" i="15"/>
  <c r="F37" i="15"/>
  <c r="F31" i="15"/>
  <c r="F43" i="15"/>
  <c r="M28" i="15"/>
  <c r="F33" i="44"/>
  <c r="M19" i="44"/>
  <c r="C29" i="46" l="1"/>
  <c r="E29" i="46" s="1"/>
  <c r="C10" i="15"/>
  <c r="K102" i="46"/>
  <c r="K103" i="46"/>
  <c r="K106" i="46"/>
  <c r="F103" i="46"/>
  <c r="F107" i="46"/>
  <c r="F106" i="46"/>
  <c r="J109" i="46"/>
  <c r="C107" i="46"/>
  <c r="C105" i="46"/>
  <c r="J105" i="46"/>
  <c r="J107" i="46"/>
  <c r="N103" i="46"/>
  <c r="N105" i="46"/>
  <c r="N102" i="46"/>
  <c r="G118" i="46"/>
  <c r="H118" i="46" s="1"/>
  <c r="G105"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F49" i="15"/>
  <c r="C48" i="15" s="1"/>
  <c r="C6" i="15"/>
  <c r="M7" i="15"/>
  <c r="J6" i="15" s="1"/>
  <c r="J5" i="15" s="1"/>
  <c r="J18" i="15" s="1"/>
  <c r="L56" i="15"/>
  <c r="J57" i="15"/>
  <c r="J55" i="15" s="1"/>
  <c r="J58" i="15" s="1"/>
  <c r="Q51" i="15" s="1"/>
  <c r="L58" i="15"/>
  <c r="Q74" i="15" s="1"/>
  <c r="K53" i="15"/>
  <c r="J53" i="15"/>
  <c r="F1" i="15" s="1"/>
  <c r="F70" i="15"/>
  <c r="F64" i="15"/>
  <c r="M107" i="46"/>
  <c r="M104" i="46"/>
  <c r="M102" i="46"/>
  <c r="M103" i="46"/>
  <c r="M109" i="46"/>
  <c r="M105" i="46"/>
  <c r="M106" i="46"/>
  <c r="H104" i="46"/>
  <c r="H102" i="46"/>
  <c r="H105" i="46"/>
  <c r="H107" i="46"/>
  <c r="H106" i="46"/>
  <c r="H103" i="46"/>
  <c r="H109" i="46"/>
  <c r="L106" i="46"/>
  <c r="L102" i="46"/>
  <c r="L107" i="46"/>
  <c r="L105" i="46"/>
  <c r="L109" i="46"/>
  <c r="L104" i="46"/>
  <c r="L103"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S7" i="46" s="1"/>
  <c r="T7" i="46" s="1"/>
  <c r="V7" i="46" s="1"/>
  <c r="D106" i="46"/>
  <c r="D104" i="46"/>
  <c r="D105" i="46"/>
  <c r="D109" i="46"/>
  <c r="D107" i="46"/>
  <c r="D103" i="46"/>
  <c r="D22"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AB12" i="39"/>
  <c r="S12" i="39"/>
  <c r="C20" i="11"/>
  <c r="C21" i="11" s="1"/>
  <c r="C22" i="11" s="1"/>
  <c r="C23" i="11" s="1"/>
  <c r="B2" i="11" s="1"/>
  <c r="S12" i="40"/>
  <c r="AC12" i="40"/>
  <c r="W12" i="40"/>
  <c r="E46" i="37"/>
  <c r="F46" i="37" s="1"/>
  <c r="E47" i="37"/>
  <c r="F47" i="37" s="1"/>
  <c r="C48" i="33"/>
  <c r="C49" i="33"/>
  <c r="B3" i="33" s="1"/>
  <c r="B2" i="33" s="1"/>
  <c r="F58" i="15"/>
  <c r="M17" i="15"/>
  <c r="F7" i="67"/>
  <c r="M29" i="44"/>
  <c r="AE7" i="1"/>
  <c r="M27" i="15"/>
  <c r="C5" i="15" l="1"/>
  <c r="C32" i="15" s="1"/>
  <c r="S5" i="46"/>
  <c r="T5" i="46" s="1"/>
  <c r="V5" i="46" s="1"/>
  <c r="S3" i="46"/>
  <c r="T3" i="46" s="1"/>
  <c r="V3" i="46" s="1"/>
  <c r="S4" i="46"/>
  <c r="T4" i="46" s="1"/>
  <c r="V4" i="46" s="1"/>
  <c r="S2" i="46"/>
  <c r="T2" i="46" s="1"/>
  <c r="V2" i="46" s="1"/>
  <c r="S6" i="46"/>
  <c r="T6" i="46" s="1"/>
  <c r="V6" i="46" s="1"/>
  <c r="W12" i="39"/>
  <c r="U12" i="40"/>
  <c r="D113" i="46"/>
  <c r="J22" i="46" s="1"/>
  <c r="Q53" i="15"/>
  <c r="Q61" i="15"/>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7" i="15"/>
  <c r="F41" i="15"/>
  <c r="E7" i="67"/>
  <c r="C19" i="44"/>
  <c r="F68" i="15" l="1"/>
  <c r="C38" i="15"/>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8" i="15" l="1"/>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J16" i="44" l="1"/>
  <c r="J15" i="44" s="1"/>
  <c r="J25" i="44" s="1"/>
  <c r="C15" i="44"/>
  <c r="C39" i="44" s="1"/>
  <c r="C38" i="44"/>
  <c r="J19" i="15"/>
  <c r="J17" i="15" s="1"/>
  <c r="C33" i="15"/>
  <c r="C31" i="15" s="1"/>
  <c r="J14" i="15"/>
  <c r="J22" i="15" s="1"/>
  <c r="C56" i="15"/>
  <c r="C63" i="15" s="1"/>
  <c r="Q50" i="15"/>
  <c r="C13" i="15"/>
  <c r="J35" i="15" s="1"/>
  <c r="C36" i="15"/>
  <c r="C25" i="43"/>
  <c r="C24" i="43" s="1"/>
  <c r="C28" i="43" s="1"/>
  <c r="C30" i="43" s="1"/>
  <c r="C43" i="44"/>
  <c r="L72" i="39"/>
  <c r="M70" i="39"/>
  <c r="M65" i="40"/>
  <c r="L67" i="40"/>
  <c r="J24" i="44" l="1"/>
  <c r="J18" i="44" s="1"/>
  <c r="J27" i="44" s="1"/>
  <c r="J28" i="44" s="1"/>
  <c r="J31" i="44" s="1"/>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N70" i="39"/>
  <c r="N72" i="39" s="1"/>
  <c r="M72" i="39"/>
  <c r="N65" i="40"/>
  <c r="N67" i="40" s="1"/>
  <c r="M67" i="40"/>
  <c r="Q70" i="15" l="1"/>
  <c r="Q69" i="15" s="1"/>
  <c r="J39" i="15"/>
  <c r="J40" i="15" s="1"/>
  <c r="B2" i="44"/>
  <c r="B4" i="44" s="1"/>
  <c r="B3" i="43"/>
  <c r="B5" i="43"/>
  <c r="B4" i="43"/>
  <c r="Q57" i="15"/>
  <c r="C43" i="15"/>
  <c r="Q66" i="15"/>
  <c r="Q48" i="15"/>
  <c r="Q54" i="15" s="1"/>
  <c r="J42" i="15"/>
  <c r="J43" i="15" s="1"/>
  <c r="C70" i="15"/>
  <c r="C46" i="15"/>
  <c r="J9" i="40"/>
  <c r="F9" i="40"/>
  <c r="H9" i="40"/>
  <c r="J9" i="39"/>
  <c r="H9" i="39"/>
  <c r="F9" i="39"/>
  <c r="L51" i="15"/>
  <c r="L57" i="15" l="1"/>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G28" i="68" s="1"/>
  <c r="G29" i="68" s="1"/>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D21" i="9"/>
  <c r="D19" i="9"/>
  <c r="C21" i="9"/>
  <c r="C20" i="9"/>
  <c r="B5" i="12" l="1"/>
  <c r="B3" i="12"/>
  <c r="D22" i="9"/>
  <c r="L44" i="9"/>
  <c r="G19" i="9"/>
  <c r="C32" i="9" s="1"/>
  <c r="G21" i="9"/>
  <c r="C45" i="9"/>
  <c r="H14" i="66" s="1"/>
  <c r="B7" i="66" s="1"/>
  <c r="D20" i="9"/>
  <c r="G22" i="9" l="1"/>
  <c r="G20" i="9"/>
  <c r="N43" i="9"/>
  <c r="D7" i="66"/>
  <c r="C7" i="66"/>
  <c r="C42" i="9"/>
  <c r="O38" i="9"/>
  <c r="K25" i="9" s="1"/>
  <c r="C34" i="9"/>
  <c r="C33" i="9"/>
  <c r="T24" i="31" s="1"/>
  <c r="O43" i="9"/>
  <c r="C35" i="9"/>
  <c r="F42" i="9" s="1"/>
  <c r="T57" i="31" l="1"/>
  <c r="U57" i="31" s="1"/>
  <c r="X57" i="31" s="1"/>
  <c r="T58" i="31"/>
  <c r="U58" i="31" s="1"/>
  <c r="X58" i="31" s="1"/>
  <c r="T55" i="31"/>
  <c r="U55" i="31" s="1"/>
  <c r="X55" i="31" s="1"/>
  <c r="T56" i="31"/>
  <c r="U56" i="31" s="1"/>
  <c r="X56" i="31" s="1"/>
  <c r="T53" i="31"/>
  <c r="U53" i="31" s="1"/>
  <c r="X53" i="31" s="1"/>
  <c r="T54" i="31"/>
  <c r="U54" i="31" s="1"/>
  <c r="X54" i="31" s="1"/>
  <c r="T51" i="31"/>
  <c r="U51" i="31" s="1"/>
  <c r="X51" i="31" s="1"/>
  <c r="T52" i="31"/>
  <c r="U52" i="31" s="1"/>
  <c r="X52" i="31" s="1"/>
  <c r="T49" i="31"/>
  <c r="U49" i="31" s="1"/>
  <c r="X49" i="31" s="1"/>
  <c r="T50" i="31"/>
  <c r="U50" i="31" s="1"/>
  <c r="X50" i="31" s="1"/>
  <c r="T47" i="31"/>
  <c r="U47" i="31" s="1"/>
  <c r="X47" i="31" s="1"/>
  <c r="T48" i="31"/>
  <c r="U48" i="31" s="1"/>
  <c r="X48" i="31" s="1"/>
  <c r="T45" i="31"/>
  <c r="U45" i="31" s="1"/>
  <c r="X45" i="31" s="1"/>
  <c r="T46" i="31"/>
  <c r="U46" i="31" s="1"/>
  <c r="X46" i="31" s="1"/>
  <c r="T31" i="31"/>
  <c r="U31" i="31" s="1"/>
  <c r="X31" i="31" s="1"/>
  <c r="T32" i="31"/>
  <c r="U32" i="31" s="1"/>
  <c r="X32" i="31" s="1"/>
  <c r="T34" i="31"/>
  <c r="U34" i="31" s="1"/>
  <c r="X34" i="31" s="1"/>
  <c r="T36" i="31"/>
  <c r="U36" i="31" s="1"/>
  <c r="X36" i="31" s="1"/>
  <c r="T38" i="31"/>
  <c r="U38" i="31" s="1"/>
  <c r="X38" i="31" s="1"/>
  <c r="T40" i="31"/>
  <c r="U40" i="31" s="1"/>
  <c r="X40" i="31" s="1"/>
  <c r="T42" i="31"/>
  <c r="U42" i="31" s="1"/>
  <c r="X42" i="31" s="1"/>
  <c r="T44" i="31"/>
  <c r="U44" i="31" s="1"/>
  <c r="X44" i="31" s="1"/>
  <c r="T33" i="31"/>
  <c r="U33" i="31" s="1"/>
  <c r="X33" i="31" s="1"/>
  <c r="T35" i="31"/>
  <c r="U35" i="31" s="1"/>
  <c r="X35" i="31" s="1"/>
  <c r="T37" i="31"/>
  <c r="U37" i="31" s="1"/>
  <c r="X37" i="31" s="1"/>
  <c r="T39" i="31"/>
  <c r="U39" i="31" s="1"/>
  <c r="X39" i="31" s="1"/>
  <c r="T41" i="31"/>
  <c r="U41" i="31" s="1"/>
  <c r="X41" i="31" s="1"/>
  <c r="T43" i="31"/>
  <c r="U43" i="31" s="1"/>
  <c r="X43" i="31" s="1"/>
  <c r="U24" i="31"/>
  <c r="X24" i="31" s="1"/>
  <c r="T30" i="31"/>
  <c r="U30" i="31" s="1"/>
  <c r="X30" i="31" s="1"/>
  <c r="T28" i="31"/>
  <c r="U28" i="31" s="1"/>
  <c r="X28" i="31" s="1"/>
  <c r="T26" i="31"/>
  <c r="U26" i="31" s="1"/>
  <c r="X26" i="31" s="1"/>
  <c r="T29" i="31"/>
  <c r="U29" i="31" s="1"/>
  <c r="X29" i="31" s="1"/>
  <c r="T27" i="31"/>
  <c r="U27" i="31" s="1"/>
  <c r="X27" i="31" s="1"/>
  <c r="T25" i="31"/>
  <c r="U25" i="31" s="1"/>
  <c r="X25" i="31" s="1"/>
  <c r="C44" i="9"/>
  <c r="G14" i="66" s="1"/>
  <c r="B6" i="66" s="1"/>
  <c r="D14" i="66"/>
  <c r="F14" i="66" s="1"/>
  <c r="R5" i="54"/>
  <c r="B48" i="63" s="1"/>
  <c r="M38" i="9"/>
  <c r="K27" i="9" s="1"/>
  <c r="E42" i="9"/>
  <c r="N68" i="9"/>
  <c r="D63" i="9"/>
  <c r="C111" i="9" s="1"/>
  <c r="N38" i="9"/>
  <c r="K28" i="9" s="1"/>
  <c r="D42" i="9"/>
  <c r="K26" i="9"/>
  <c r="D45" i="9"/>
  <c r="E45" i="9"/>
  <c r="O40" i="9"/>
  <c r="F45" i="9"/>
  <c r="U22" i="31"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D20" i="31" l="1"/>
  <c r="T22" i="31"/>
  <c r="D21" i="3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D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<sst xmlns="http://schemas.openxmlformats.org/spreadsheetml/2006/main" count="7289" uniqueCount="3096">
  <si>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</si>
  <si>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</si>
  <si>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</si>
  <si>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</si>
  <si>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</si>
  <si>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</si>
  <si>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</si>
  <si>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</si>
  <si>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</si>
  <si>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</si>
  <si>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</si>
  <si>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</si>
  <si>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</si>
  <si>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</si>
  <si>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</si>
  <si>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</si>
  <si>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</si>
  <si>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</si>
  <si>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</si>
  <si>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</si>
  <si>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</si>
  <si>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</si>
  <si>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</si>
  <si>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</si>
  <si>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</si>
  <si>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</si>
  <si>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</si>
  <si>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</si>
  <si>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</si>
  <si>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</si>
  <si>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</si>
  <si>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</si>
  <si>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</si>
  <si>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</si>
  <si>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</si>
  <si>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</si>
  <si>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</si>
  <si>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</si>
  <si>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</si>
  <si>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</si>
  <si>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</si>
  <si>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</si>
  <si>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</si>
  <si>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</si>
  <si>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</si>
  <si>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</si>
  <si>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</si>
  <si>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</si>
  <si>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</si>
  <si>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</si>
  <si>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</si>
  <si>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</si>
  <si>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</si>
  <si>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</si>
  <si>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</si>
  <si>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</si>
  <si>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</si>
  <si>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</si>
  <si>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</si>
  <si>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</si>
  <si>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</si>
  <si>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</si>
  <si>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</si>
  <si>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</si>
  <si>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</si>
  <si>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</si>
  <si>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</si>
  <si>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</si>
  <si>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</si>
  <si>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</si>
  <si>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</si>
  <si>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</si>
  <si>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</si>
  <si>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</si>
  <si>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</si>
  <si>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</si>
  <si>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</si>
  <si>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</si>
  <si>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</si>
  <si>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</si>
  <si>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</si>
  <si>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</si>
  <si>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</si>
  <si>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</si>
  <si>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</si>
  <si>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</si>
  <si>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</si>
  <si>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</si>
  <si>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</si>
  <si>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</si>
  <si>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</si>
  <si>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</si>
  <si>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</si>
  <si>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</si>
  <si>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</si>
  <si>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</si>
  <si>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</si>
  <si>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</si>
  <si>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</si>
  <si>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</si>
  <si>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</si>
  <si>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</si>
  <si>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</si>
  <si>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</si>
  <si>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</si>
  <si>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</si>
  <si>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</si>
  <si>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</si>
  <si>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</si>
  <si>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</si>
  <si>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</si>
  <si>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</si>
  <si>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</si>
  <si>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</si>
  <si>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</si>
  <si>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</si>
  <si>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</si>
  <si>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</si>
  <si>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</si>
  <si>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</si>
  <si>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</si>
  <si>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</si>
  <si>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</si>
  <si>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</si>
  <si>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</si>
  <si>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</si>
  <si>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</si>
  <si>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</si>
  <si>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</si>
  <si>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</si>
  <si>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</si>
  <si>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</si>
  <si>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</si>
  <si>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</si>
  <si>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</si>
  <si>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</si>
  <si>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</si>
  <si>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</si>
  <si>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</si>
  <si>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</si>
  <si>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</si>
  <si>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</si>
  <si>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</si>
  <si>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</si>
  <si>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</si>
  <si>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</si>
  <si>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</si>
  <si>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</si>
  <si>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</si>
  <si>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</si>
  <si>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</si>
  <si>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</si>
  <si>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</si>
  <si>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</si>
  <si>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</si>
  <si>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</si>
  <si>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</si>
  <si>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</si>
  <si>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</si>
  <si>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</si>
  <si>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</si>
  <si>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</si>
  <si>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</si>
  <si>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</si>
  <si>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</si>
  <si>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</si>
  <si>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</si>
  <si>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</si>
  <si>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</si>
  <si>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</si>
  <si>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</si>
  <si>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</si>
  <si>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</si>
  <si>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</si>
  <si>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</si>
  <si>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</si>
  <si>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</si>
  <si>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</si>
  <si>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</si>
  <si>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</si>
  <si>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</si>
  <si>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</si>
  <si>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</si>
  <si>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</si>
  <si>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</si>
  <si>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</si>
  <si>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</si>
  <si>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</si>
  <si>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</si>
  <si>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</si>
  <si>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</si>
  <si>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</si>
  <si>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</si>
  <si>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</si>
  <si>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</si>
  <si>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</si>
  <si>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</si>
  <si>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</si>
  <si>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</si>
  <si>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</si>
  <si>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</si>
  <si>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</si>
  <si>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</si>
  <si>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</si>
  <si>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</si>
  <si>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</si>
  <si>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</si>
  <si>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</si>
  <si>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</si>
  <si>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</si>
  <si>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</si>
  <si>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</si>
  <si>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</si>
  <si>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</si>
  <si>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</si>
  <si>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</si>
  <si>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</si>
  <si>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</si>
  <si>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</si>
  <si>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</si>
  <si>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</si>
  <si>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</si>
  <si>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</si>
  <si>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</si>
  <si>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</si>
  <si>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</si>
  <si>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</si>
  <si>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</si>
  <si>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</si>
  <si>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</si>
  <si>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</si>
  <si>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</si>
  <si>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</si>
  <si>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</si>
  <si>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</si>
  <si>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</si>
  <si>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</si>
  <si>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</si>
  <si>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</si>
  <si>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</si>
  <si>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</si>
  <si>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</si>
  <si>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</si>
  <si>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</si>
  <si>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</si>
  <si>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</si>
  <si>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</si>
  <si>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</si>
  <si>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</si>
  <si>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</si>
  <si>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</si>
  <si>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</si>
  <si>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</si>
  <si>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</si>
  <si>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</si>
  <si>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</si>
  <si>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</si>
  <si>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</si>
  <si>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</si>
  <si>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</si>
  <si>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</si>
  <si>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</si>
  <si>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</si>
  <si>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</si>
  <si>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</si>
  <si>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</si>
  <si>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</si>
  <si>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</si>
  <si>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</si>
  <si>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</si>
  <si>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</si>
  <si>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</si>
  <si>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</si>
  <si>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</si>
  <si>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</si>
  <si>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</si>
  <si>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</si>
  <si>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</si>
  <si>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</si>
  <si>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</si>
  <si>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</si>
  <si>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</si>
  <si>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</si>
  <si>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</si>
  <si>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</si>
  <si>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</si>
  <si>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</si>
  <si>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</si>
  <si>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</si>
  <si>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</si>
  <si>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</si>
  <si>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</si>
  <si>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</si>
  <si>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</si>
  <si>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</si>
  <si>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</si>
  <si>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</si>
  <si>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</si>
  <si>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</si>
  <si>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</si>
  <si>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</si>
  <si>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</si>
  <si>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</si>
  <si>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</si>
  <si>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</si>
  <si>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</si>
  <si>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</si>
  <si>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</si>
  <si>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</si>
  <si>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</si>
  <si>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</si>
  <si>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</si>
  <si>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</si>
  <si>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</si>
  <si>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</si>
  <si>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</si>
  <si>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</si>
  <si>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</si>
  <si>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</si>
  <si>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</si>
  <si>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</si>
  <si>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</si>
  <si>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</si>
  <si>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</si>
  <si>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</si>
  <si>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</si>
  <si>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</si>
  <si>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</si>
  <si>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</si>
  <si>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</si>
  <si>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</si>
  <si>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</si>
  <si>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</si>
  <si>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</si>
  <si>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</si>
  <si>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</si>
  <si>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</si>
  <si>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</si>
  <si>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</si>
  <si>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</si>
  <si>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</si>
  <si>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</si>
  <si>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</si>
  <si>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</si>
  <si>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</si>
  <si>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</si>
  <si>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</si>
  <si>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</si>
  <si>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</si>
  <si>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</si>
  <si>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</si>
  <si>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</si>
  <si>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</si>
  <si>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</si>
  <si>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</si>
  <si>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</si>
  <si>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</si>
  <si>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</si>
  <si>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</si>
  <si>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</si>
  <si>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</si>
  <si>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</si>
  <si>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</si>
  <si>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</si>
  <si>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</si>
  <si>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</si>
  <si>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</si>
  <si>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</si>
  <si>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</si>
  <si>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</si>
  <si>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</si>
  <si>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</si>
  <si>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</si>
  <si>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</si>
  <si>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</si>
  <si>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</si>
  <si>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</si>
  <si>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</si>
  <si>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</si>
  <si>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</si>
  <si>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</si>
  <si>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</si>
  <si>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</si>
  <si>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</si>
  <si>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</si>
  <si>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</si>
  <si>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</si>
  <si>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</si>
  <si>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</si>
  <si>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</si>
  <si>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</si>
  <si>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</si>
  <si>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</si>
  <si>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</si>
  <si>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</si>
  <si>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</si>
  <si>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</si>
  <si>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</si>
  <si>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</si>
  <si>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</si>
  <si>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</si>
  <si>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</si>
  <si>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</si>
  <si>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</si>
  <si>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</si>
  <si>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</si>
  <si>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</si>
  <si>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</si>
  <si>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</si>
  <si>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</si>
  <si>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</si>
  <si>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</si>
  <si>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</si>
  <si>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</si>
  <si>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</si>
  <si>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</si>
  <si>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</si>
  <si>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</si>
  <si>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</si>
  <si>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</si>
  <si>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</si>
  <si>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</si>
  <si>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</si>
  <si>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</si>
  <si>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</si>
  <si>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</si>
  <si>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</si>
  <si>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</si>
  <si>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</si>
  <si>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</si>
  <si>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</si>
  <si>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</si>
  <si>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</si>
  <si>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</si>
  <si>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</si>
  <si>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</si>
  <si>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</si>
  <si>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</si>
  <si>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</si>
  <si>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</si>
  <si>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</si>
  <si>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</si>
  <si>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</si>
  <si>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</si>
  <si>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</si>
  <si>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</si>
  <si>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</si>
  <si>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</si>
  <si>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</si>
  <si>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</si>
  <si>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</si>
  <si>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</si>
  <si>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</si>
  <si>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</si>
  <si>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</si>
  <si>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</si>
  <si>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</si>
  <si>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</si>
  <si>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</si>
  <si>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</si>
  <si>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</si>
  <si>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</si>
  <si>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</si>
  <si>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</si>
  <si>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</si>
  <si>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</si>
  <si>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</si>
  <si>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</si>
  <si>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</si>
  <si>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</si>
  <si>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</si>
  <si>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</si>
  <si>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</si>
  <si>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</si>
  <si>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</si>
  <si>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</si>
  <si>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</si>
  <si>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</si>
  <si>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</si>
  <si>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</si>
  <si>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</si>
  <si>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</si>
  <si>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</si>
  <si>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</si>
  <si>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</si>
  <si>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</si>
  <si>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</si>
  <si>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</si>
  <si>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</si>
  <si>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</si>
  <si>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</si>
  <si>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</si>
  <si>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</si>
  <si>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</si>
  <si>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</si>
  <si>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</si>
  <si>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</si>
  <si>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</si>
  <si>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</si>
  <si>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</si>
  <si>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</si>
  <si>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</si>
  <si>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</si>
  <si>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</si>
  <si>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</si>
  <si>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</si>
  <si>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</si>
  <si>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</si>
  <si>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</si>
  <si>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</si>
  <si>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</si>
  <si>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</si>
  <si>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</si>
  <si>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</si>
  <si>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</si>
  <si>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</si>
  <si>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</si>
  <si>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</si>
  <si>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</si>
  <si>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</si>
  <si>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</si>
  <si>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</si>
  <si>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</si>
  <si>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</si>
  <si>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</si>
  <si>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</si>
  <si>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</si>
  <si>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</si>
  <si>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</si>
  <si>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</si>
  <si>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</si>
  <si>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</si>
  <si>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</si>
  <si>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</si>
  <si>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</si>
  <si>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</si>
  <si>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</si>
  <si>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</si>
  <si>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</si>
  <si>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</si>
  <si>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</si>
  <si>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</si>
  <si>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</si>
  <si>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</si>
  <si>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</si>
  <si>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</si>
  <si>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</si>
  <si>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</si>
  <si>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</si>
  <si>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</si>
  <si>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</si>
  <si>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</si>
  <si>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</si>
  <si>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</si>
  <si>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</si>
  <si>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</si>
  <si>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</si>
  <si>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</si>
  <si>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</si>
  <si>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</si>
  <si>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</si>
  <si>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</si>
  <si>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</si>
  <si>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</si>
  <si>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</si>
  <si>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</si>
  <si>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</si>
  <si>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</si>
  <si>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</si>
  <si>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</si>
  <si>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</si>
  <si>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</si>
  <si>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</si>
  <si>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</si>
  <si>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</si>
  <si>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</si>
  <si>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</si>
  <si>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</si>
  <si>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</si>
  <si>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</si>
  <si>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</si>
  <si>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</si>
  <si>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</si>
  <si>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</si>
  <si>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</si>
  <si>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</si>
  <si>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</si>
  <si>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</si>
  <si>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</si>
  <si>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</si>
  <si>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</si>
  <si>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</si>
  <si>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</si>
  <si>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</si>
  <si>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</si>
  <si>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</si>
  <si>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</si>
  <si>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</si>
  <si>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</si>
  <si>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</si>
  <si>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</si>
  <si>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</si>
  <si>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</si>
  <si>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</si>
  <si>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</si>
  <si>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</si>
  <si>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</si>
  <si>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</si>
  <si>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</si>
  <si>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</si>
  <si>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</si>
  <si>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</si>
  <si>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</si>
  <si>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</si>
  <si>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</si>
  <si>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</si>
  <si>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</si>
  <si>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</si>
  <si>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</si>
  <si>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</si>
  <si>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</si>
  <si>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</si>
  <si>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</si>
  <si>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</si>
  <si>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</si>
  <si>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</si>
  <si>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</si>
  <si>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</si>
  <si>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</si>
  <si>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</si>
  <si>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</si>
  <si>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</si>
  <si>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</si>
  <si>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</si>
  <si>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</si>
  <si>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</si>
  <si>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</si>
  <si>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</si>
  <si>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</si>
  <si>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</si>
  <si>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</si>
  <si>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</si>
  <si>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</si>
  <si>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</si>
  <si>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</si>
  <si>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</si>
  <si>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</si>
  <si>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</si>
  <si>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</si>
  <si>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</si>
  <si>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</si>
  <si>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</si>
  <si>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</si>
  <si>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</si>
  <si>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</si>
  <si>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</si>
  <si>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</si>
  <si>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</si>
  <si>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</si>
  <si>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</si>
  <si>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</si>
  <si>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</si>
  <si>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</si>
  <si>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</si>
  <si>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</si>
  <si>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</si>
  <si>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</si>
  <si>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</si>
  <si>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</si>
  <si>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</si>
  <si>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</si>
  <si>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</si>
  <si>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</si>
  <si>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</si>
  <si>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</si>
  <si>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</si>
  <si>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</si>
  <si>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</si>
  <si>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</si>
  <si>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</si>
  <si>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</si>
  <si>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</si>
  <si>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</si>
  <si>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</si>
  <si>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</si>
  <si>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</si>
  <si>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</si>
  <si>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</si>
  <si>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</si>
  <si>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</si>
  <si>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</si>
  <si>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</si>
  <si>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</si>
  <si>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</si>
  <si>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</si>
  <si>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</si>
  <si>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</si>
  <si>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</si>
  <si>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</si>
  <si>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</si>
  <si>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</si>
  <si>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</si>
  <si>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</si>
  <si>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</si>
  <si>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</si>
  <si>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</si>
  <si>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</si>
  <si>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</si>
  <si>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</si>
  <si>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</si>
  <si>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</si>
  <si>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</si>
  <si>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</si>
  <si>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</si>
  <si>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</si>
  <si>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</si>
  <si>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</si>
  <si>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</si>
  <si>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</si>
  <si>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</si>
  <si>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</si>
  <si>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</si>
  <si>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</si>
  <si>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</si>
  <si>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</si>
  <si>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</si>
  <si>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</si>
  <si>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</si>
  <si>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</si>
  <si>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</si>
  <si>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</si>
  <si>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</si>
  <si>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</si>
  <si>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</si>
  <si>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</si>
  <si>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</si>
  <si>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</si>
  <si>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</si>
  <si>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</si>
  <si>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</si>
  <si>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</si>
  <si>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</si>
  <si>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</si>
  <si>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</si>
  <si>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</si>
  <si>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</si>
  <si>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</si>
  <si>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</si>
  <si>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</si>
  <si>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</si>
  <si>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</si>
  <si>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</si>
  <si>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</si>
  <si>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</si>
  <si>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</si>
  <si>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</si>
  <si>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</si>
  <si>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</si>
  <si>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</si>
  <si>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</si>
  <si>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</si>
  <si>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</si>
  <si>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</si>
  <si>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</si>
  <si>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</si>
  <si>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</si>
  <si>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</si>
  <si>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</si>
  <si>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</si>
  <si>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</si>
  <si>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</si>
  <si>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</si>
  <si>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</si>
  <si>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</si>
  <si>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</si>
  <si>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</si>
  <si>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</si>
  <si>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</si>
  <si>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</si>
  <si>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</si>
  <si>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</si>
  <si>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</si>
  <si>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</si>
  <si>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</si>
  <si>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</si>
  <si>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</si>
  <si>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</si>
  <si>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</si>
  <si>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</si>
  <si>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</si>
  <si>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</si>
  <si>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</si>
  <si>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</si>
  <si>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</si>
  <si>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</si>
  <si>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</si>
  <si>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</si>
  <si>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</si>
  <si>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</si>
  <si>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</si>
  <si>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</si>
  <si>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</si>
  <si>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</si>
  <si>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</si>
  <si>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</si>
  <si>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</si>
  <si>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</si>
  <si>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</si>
  <si>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</si>
  <si>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</si>
  <si>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</si>
  <si>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</si>
  <si>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</si>
  <si>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</si>
  <si>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</si>
  <si>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</si>
  <si>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</si>
  <si>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</si>
  <si>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</si>
  <si>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</si>
  <si>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</si>
  <si>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</si>
  <si>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</si>
  <si>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</si>
  <si>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</si>
  <si>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</si>
  <si>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</si>
  <si>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</si>
  <si>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</si>
  <si>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</si>
  <si>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</si>
  <si>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</si>
  <si>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</si>
  <si>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</si>
  <si>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</si>
  <si>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</si>
  <si>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</si>
  <si>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</si>
  <si>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</si>
  <si>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</si>
  <si>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</si>
  <si>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</si>
  <si>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</si>
  <si>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</si>
  <si>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</si>
  <si>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</si>
  <si>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</si>
  <si>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</si>
  <si>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</si>
  <si>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</si>
  <si>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</si>
  <si>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</si>
  <si>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</si>
  <si>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</si>
  <si>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</si>
  <si>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</si>
  <si>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</si>
  <si>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</si>
  <si>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</si>
  <si>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</si>
  <si>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</si>
  <si>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</si>
  <si>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</si>
  <si>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</si>
  <si>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</si>
  <si>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</si>
  <si>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</si>
  <si>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</si>
  <si>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</si>
  <si>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</si>
  <si>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</si>
  <si>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</si>
  <si>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</si>
  <si>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</si>
  <si>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</si>
  <si>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</si>
  <si>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</si>
  <si>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</si>
  <si>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</si>
  <si>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</si>
  <si>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</si>
  <si>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</si>
  <si>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</si>
  <si>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</si>
  <si>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</si>
  <si>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</si>
  <si>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</si>
  <si>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</si>
  <si>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</si>
  <si>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</si>
  <si>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</si>
  <si>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</si>
  <si>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</si>
  <si>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</si>
  <si>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</si>
  <si>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</si>
  <si>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</si>
  <si>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</si>
  <si>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</si>
  <si>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</si>
  <si>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</si>
  <si>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</si>
  <si>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</si>
  <si>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</si>
  <si>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</si>
  <si>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</si>
  <si>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</si>
  <si>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</si>
  <si>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</si>
  <si>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</si>
  <si>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</si>
  <si>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</si>
  <si>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</si>
  <si>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</si>
  <si>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</si>
  <si>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</si>
  <si>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</si>
  <si>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</si>
  <si>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</si>
  <si>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</si>
  <si>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</si>
  <si>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</si>
  <si>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</si>
  <si>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</si>
  <si>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</si>
  <si>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</si>
  <si>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</si>
  <si>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</si>
  <si>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</si>
  <si>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</si>
  <si>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</si>
  <si>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</si>
  <si>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</si>
  <si>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</si>
  <si>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</si>
  <si>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</si>
  <si>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</si>
  <si>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</si>
  <si>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</si>
  <si>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</si>
  <si>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</si>
  <si>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</si>
  <si>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</si>
  <si>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</si>
  <si>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</si>
  <si>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</si>
  <si>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</si>
  <si>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</si>
  <si>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</si>
  <si>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</si>
  <si>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</si>
  <si>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</si>
  <si>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</si>
  <si>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</si>
  <si>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</si>
  <si>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</si>
  <si>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</si>
  <si>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</si>
  <si>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</si>
  <si>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</si>
  <si>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</si>
  <si>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</si>
  <si>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</si>
  <si>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</si>
  <si>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</si>
  <si>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</si>
  <si>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</si>
  <si>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</si>
  <si>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</si>
  <si>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</si>
  <si>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</si>
  <si>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</si>
  <si>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</si>
  <si>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</si>
  <si>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</si>
  <si>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</si>
  <si>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</si>
  <si>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</si>
  <si>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</si>
  <si>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</si>
  <si>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</si>
  <si>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</si>
  <si>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</si>
  <si>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</si>
  <si>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</si>
  <si>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</si>
  <si>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</si>
  <si>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</si>
  <si>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</si>
  <si>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</si>
  <si>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</si>
  <si>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</si>
  <si>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</si>
  <si>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</si>
  <si>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</si>
  <si>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</si>
  <si>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</si>
  <si>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</si>
  <si>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</si>
  <si>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</si>
  <si>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</si>
  <si>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</si>
  <si>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</si>
  <si>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</si>
  <si>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</si>
  <si>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</si>
  <si>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</si>
  <si>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</si>
  <si>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</si>
  <si>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</si>
  <si>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</si>
  <si>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</si>
  <si>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</si>
  <si>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</si>
  <si>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</si>
  <si>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</si>
  <si>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</si>
  <si>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</si>
  <si>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</si>
  <si>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</si>
  <si>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</si>
  <si>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</si>
  <si>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</si>
  <si>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</si>
  <si>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</si>
  <si>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</si>
  <si>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</si>
  <si>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</si>
  <si>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</si>
  <si>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</si>
  <si>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</si>
  <si>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</si>
  <si>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</si>
  <si>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</si>
  <si>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</si>
  <si>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</si>
  <si>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</si>
  <si>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</si>
  <si>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</si>
  <si>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</si>
  <si>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</si>
  <si>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</si>
  <si>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</si>
  <si>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</si>
  <si>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</si>
  <si>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</si>
  <si>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</si>
  <si>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</si>
  <si>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</si>
  <si>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</si>
  <si>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</si>
  <si>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</si>
  <si>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</si>
  <si>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</si>
  <si>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</si>
  <si>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</si>
  <si>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</si>
  <si>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</si>
  <si>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</si>
  <si>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</si>
  <si>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</si>
  <si>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</si>
  <si>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</si>
  <si>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</si>
  <si>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</si>
  <si>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</si>
  <si>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</si>
  <si>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</si>
  <si>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</si>
  <si>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</si>
  <si>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</si>
  <si>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</si>
  <si>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</si>
  <si>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</si>
  <si>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</si>
  <si>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</si>
  <si>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</si>
  <si>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</si>
  <si>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</si>
  <si>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</si>
  <si>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</si>
  <si>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</si>
  <si>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</si>
  <si>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</si>
  <si>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</si>
  <si>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</si>
  <si>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</si>
  <si>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</si>
  <si>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</si>
  <si>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</si>
  <si>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</si>
  <si>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</si>
  <si>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</si>
  <si>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</si>
  <si>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</si>
  <si>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</si>
  <si>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</si>
  <si>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</si>
  <si>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</si>
  <si>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</si>
  <si>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</si>
  <si>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</si>
  <si>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</si>
  <si>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</si>
  <si>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</si>
  <si>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</si>
  <si>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</si>
  <si>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</si>
  <si>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</si>
  <si>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</si>
  <si>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</si>
  <si>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</si>
  <si>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</si>
  <si>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</si>
  <si>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</si>
  <si>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</si>
  <si>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</si>
  <si>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</si>
  <si>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</si>
  <si>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</si>
  <si>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</si>
  <si>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</si>
  <si>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</si>
  <si>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</si>
  <si>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</si>
  <si>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</si>
  <si>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</si>
  <si>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</si>
  <si>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</si>
  <si>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</si>
  <si>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</si>
  <si>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</si>
  <si>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</si>
  <si>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</si>
  <si>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</si>
  <si>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</si>
  <si>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</si>
  <si>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</si>
  <si>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</si>
  <si>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</si>
  <si>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</si>
  <si>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</si>
  <si>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</si>
  <si>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</si>
  <si>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</si>
  <si>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</si>
  <si>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</si>
  <si>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</si>
  <si>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</si>
  <si>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</si>
  <si>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</si>
  <si>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</si>
  <si>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</si>
  <si>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</si>
  <si>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</si>
  <si>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</si>
  <si>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</si>
  <si>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</si>
  <si>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</si>
  <si>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</si>
  <si>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</si>
  <si>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</si>
  <si>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</si>
  <si>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</si>
  <si>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</si>
  <si>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</si>
  <si>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</si>
  <si>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</si>
  <si>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</si>
  <si>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</si>
  <si>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</si>
  <si>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</si>
  <si>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</si>
  <si>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</si>
  <si>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</si>
  <si>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</si>
  <si>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</si>
  <si>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</si>
  <si>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</si>
  <si>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</si>
  <si>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</si>
  <si>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</si>
  <si>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</si>
  <si>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</si>
  <si>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</si>
  <si>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</si>
  <si>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</si>
  <si>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</si>
  <si>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</si>
  <si>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</si>
  <si>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</si>
  <si>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</si>
  <si>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</si>
  <si>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</si>
  <si>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</si>
  <si>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</si>
  <si>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</si>
  <si>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</si>
  <si>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</si>
  <si>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</si>
  <si>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</si>
  <si>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</si>
  <si>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</si>
  <si>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</si>
  <si>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</si>
  <si>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</si>
  <si>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</si>
  <si>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</si>
  <si>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</si>
  <si>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</si>
  <si>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</si>
  <si>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</si>
  <si>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</si>
  <si>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</si>
  <si>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</si>
  <si>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</si>
  <si>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</si>
  <si>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</si>
  <si>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</si>
  <si>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</si>
  <si>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</si>
  <si>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</si>
  <si>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</si>
  <si>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</si>
  <si>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</si>
  <si>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</si>
  <si>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</si>
  <si>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</si>
  <si>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</si>
  <si>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</si>
  <si>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</si>
  <si>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</si>
  <si>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</si>
  <si>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</si>
  <si>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</si>
  <si>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</si>
  <si>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</si>
  <si>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</si>
  <si>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</si>
  <si>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</si>
  <si>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</si>
  <si>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</si>
  <si>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</si>
  <si>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</si>
  <si>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</si>
  <si>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</si>
  <si>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</si>
  <si>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</si>
  <si>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</si>
  <si>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</si>
  <si>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</si>
  <si>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</si>
  <si>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</si>
  <si>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</si>
  <si>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</si>
  <si>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</si>
  <si>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</si>
  <si>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</si>
  <si>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</si>
  <si>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</si>
  <si>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</si>
  <si>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</si>
  <si>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</si>
  <si>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</si>
  <si>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</si>
  <si>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</si>
  <si>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</si>
  <si>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</si>
  <si>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</si>
  <si>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</si>
  <si>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</si>
  <si>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</si>
  <si>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</si>
  <si>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</si>
  <si>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</si>
  <si>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</si>
  <si>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</si>
  <si>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</si>
  <si>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</si>
  <si>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</si>
  <si>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</si>
  <si>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</si>
  <si>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</si>
  <si>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</si>
  <si>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</si>
  <si>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</si>
  <si>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</si>
  <si>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</si>
  <si>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</si>
  <si>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</si>
  <si>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</si>
  <si>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</si>
  <si>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</si>
  <si>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</si>
  <si>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</si>
  <si>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</si>
  <si>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</si>
  <si>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</si>
  <si>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</si>
  <si>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</si>
  <si>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</si>
  <si>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</si>
  <si>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</si>
  <si>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</si>
  <si>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</si>
  <si>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</si>
  <si>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</si>
  <si>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</si>
  <si>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</si>
  <si>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</si>
  <si>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</si>
  <si>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</si>
  <si>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</si>
  <si>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</si>
  <si>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</si>
  <si>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</si>
  <si>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</si>
  <si>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</si>
  <si>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</si>
  <si>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</si>
  <si>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</si>
  <si>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</si>
  <si>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</si>
  <si>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</si>
  <si>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</si>
  <si>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</si>
  <si>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</si>
  <si>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</si>
  <si>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</si>
  <si>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</si>
  <si>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</si>
  <si>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</si>
  <si>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</si>
  <si>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</si>
  <si>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</si>
  <si>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</si>
  <si>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</si>
  <si>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</si>
  <si>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</si>
  <si>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</si>
  <si>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</si>
  <si>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</si>
  <si>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</si>
  <si>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</si>
  <si>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</si>
  <si>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</si>
  <si>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</si>
  <si>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</si>
  <si>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</si>
  <si>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</si>
  <si>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</si>
  <si>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</si>
  <si>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</si>
  <si>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</si>
  <si>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</si>
  <si>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</si>
  <si>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</si>
  <si>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</si>
  <si>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</si>
  <si>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</si>
  <si>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</si>
  <si>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</si>
  <si>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</si>
  <si>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</si>
  <si>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</si>
  <si>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</si>
  <si>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</si>
  <si>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</si>
  <si>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</si>
  <si>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</si>
  <si>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</si>
  <si>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</si>
  <si>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</si>
  <si>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</si>
  <si>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</si>
  <si>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</si>
  <si>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</si>
  <si>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</si>
  <si>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</si>
  <si>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</si>
  <si>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</si>
  <si>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</si>
  <si>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</si>
  <si>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</si>
  <si>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</si>
  <si>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</si>
  <si>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</si>
  <si>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</si>
  <si>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</si>
  <si>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</si>
  <si>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</si>
  <si>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</si>
  <si>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</si>
  <si>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</si>
  <si>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</si>
  <si>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</si>
  <si>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</si>
  <si>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</si>
  <si>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</si>
  <si>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</si>
  <si>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</si>
  <si>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</si>
  <si>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</si>
  <si>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</si>
  <si>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</si>
  <si>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</si>
  <si>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</si>
  <si>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</si>
  <si>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</si>
  <si>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</si>
  <si>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</si>
  <si>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</si>
  <si>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</si>
  <si>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</si>
  <si>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</si>
  <si>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</si>
  <si>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</si>
  <si>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</si>
  <si>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</si>
  <si>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</si>
  <si>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</si>
  <si>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</si>
  <si>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</si>
  <si>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</si>
  <si>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</si>
  <si>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</si>
  <si>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</si>
  <si>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</si>
  <si>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</si>
  <si>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</si>
  <si>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</si>
  <si>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</si>
  <si>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</si>
  <si>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</si>
  <si>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</si>
  <si>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</si>
  <si>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</si>
  <si>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</si>
  <si>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</si>
  <si>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</si>
  <si>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</si>
  <si>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</si>
  <si>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</si>
  <si>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</si>
  <si>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</si>
  <si>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</si>
  <si>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</si>
  <si>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</si>
  <si>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</si>
  <si>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</si>
  <si>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</si>
  <si>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</si>
  <si>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</si>
  <si>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</si>
  <si>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</si>
  <si>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</si>
  <si>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</si>
  <si>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</si>
  <si>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</si>
  <si>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</si>
  <si>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</si>
  <si>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</si>
  <si>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</si>
  <si>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</si>
  <si>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</si>
  <si>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</si>
  <si>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</si>
  <si>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</si>
  <si>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</si>
  <si>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</si>
  <si>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</si>
  <si>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</si>
  <si>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</si>
  <si>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</si>
  <si>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</si>
  <si>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</si>
  <si>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</si>
  <si>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</si>
  <si>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</si>
  <si>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</si>
  <si>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</si>
  <si>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</si>
  <si>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</si>
  <si>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</si>
  <si>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</si>
  <si>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</si>
  <si>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</si>
  <si>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</si>
  <si>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</si>
  <si>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</si>
  <si>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</si>
  <si>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</si>
  <si>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</si>
  <si>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</si>
  <si>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</si>
  <si>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</si>
  <si>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</si>
  <si>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</si>
  <si>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</si>
  <si>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</si>
  <si>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</si>
  <si>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</si>
  <si>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</si>
  <si>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</si>
  <si>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</si>
  <si>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</si>
  <si>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</si>
  <si>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</si>
  <si>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</si>
  <si>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</si>
  <si>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</si>
  <si>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</si>
  <si>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</si>
  <si>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</si>
  <si>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</si>
  <si>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</si>
  <si>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</si>
  <si>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</si>
  <si>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</si>
  <si>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</si>
  <si>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</si>
  <si>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</si>
  <si>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</si>
  <si>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</si>
  <si>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</si>
  <si>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</si>
  <si>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</si>
  <si>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</si>
  <si>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</si>
  <si>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</si>
  <si>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</si>
  <si>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</si>
  <si>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</si>
  <si>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</si>
  <si>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</si>
  <si>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</si>
  <si>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</si>
  <si>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</si>
  <si>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</si>
  <si>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</si>
  <si>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</si>
  <si>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</si>
  <si>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</si>
  <si>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</si>
  <si>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</si>
  <si>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</si>
  <si>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</si>
  <si>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</si>
  <si>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</si>
  <si>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</si>
  <si>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</si>
  <si>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</si>
  <si>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</si>
  <si>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</si>
  <si>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</si>
  <si>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</si>
  <si>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</si>
  <si>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</si>
  <si>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</si>
  <si>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</si>
  <si>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</si>
  <si>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</si>
  <si>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</si>
  <si>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</si>
  <si>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</si>
  <si>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</si>
  <si>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</si>
  <si>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</si>
  <si>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</si>
  <si>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</si>
  <si>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</si>
  <si>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</si>
  <si>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</si>
  <si>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</si>
  <si>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</si>
  <si>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</si>
  <si>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</si>
  <si>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</si>
  <si>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</si>
  <si>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</si>
  <si>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</si>
  <si>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</si>
  <si>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</si>
  <si>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</si>
  <si>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</si>
  <si>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</si>
  <si>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</si>
  <si>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</si>
  <si>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</si>
  <si>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</si>
  <si>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</si>
  <si>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</si>
  <si>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</si>
  <si>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</si>
  <si>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</si>
  <si>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</si>
  <si>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</si>
  <si>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</si>
  <si>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</si>
  <si>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</si>
  <si>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</si>
  <si>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</si>
  <si>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</si>
  <si>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</si>
  <si>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</si>
  <si>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</si>
  <si>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</si>
  <si>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</si>
  <si>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</si>
  <si>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</si>
  <si>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</si>
  <si>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</si>
  <si>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</si>
  <si>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</si>
  <si>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</si>
  <si>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</si>
  <si>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</si>
  <si>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</si>
  <si>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</si>
  <si>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</si>
  <si>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</si>
  <si>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</si>
  <si>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</si>
  <si>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</si>
  <si>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</si>
  <si>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</si>
  <si>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</si>
  <si>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</si>
  <si>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</si>
  <si>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</si>
  <si>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</si>
  <si>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</si>
  <si>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</si>
  <si>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</si>
  <si>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</si>
  <si>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</si>
  <si>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</si>
  <si>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</si>
  <si>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</si>
  <si>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</si>
  <si>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</si>
  <si>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</si>
  <si>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</si>
  <si>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</si>
  <si>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</si>
  <si>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</si>
  <si>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</si>
  <si>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</si>
  <si>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</si>
  <si>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</si>
  <si>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</si>
  <si>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</si>
  <si>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</si>
  <si>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</si>
  <si>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</si>
  <si>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</si>
  <si>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</si>
  <si>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</si>
  <si>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</si>
  <si>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</si>
  <si>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</si>
  <si>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</si>
  <si>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</si>
  <si>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</si>
  <si>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</si>
  <si>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</si>
  <si>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</si>
  <si>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</si>
  <si>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</si>
  <si>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</si>
  <si>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</si>
  <si>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</si>
  <si>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</si>
  <si>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</si>
  <si>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</si>
  <si>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</si>
  <si>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</si>
  <si>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</si>
  <si>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</si>
  <si>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</si>
  <si>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</si>
  <si>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</si>
  <si>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</si>
  <si>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</si>
  <si>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</si>
  <si>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</si>
  <si>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</si>
  <si>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</si>
  <si>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</si>
  <si>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</si>
  <si>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</si>
  <si>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</si>
  <si>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</si>
  <si>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</si>
  <si>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</si>
  <si>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</si>
  <si>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</si>
  <si>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</si>
  <si>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</si>
  <si>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</si>
  <si>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</si>
  <si>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</si>
  <si>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</si>
  <si>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</si>
  <si>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</si>
  <si>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</si>
  <si>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</si>
  <si>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</si>
  <si>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</si>
  <si>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</si>
  <si>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</si>
  <si>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</si>
  <si>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</si>
  <si>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</si>
  <si>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</si>
  <si>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</si>
  <si>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</si>
  <si>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</si>
  <si>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</si>
  <si>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</si>
  <si>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</si>
  <si>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</si>
  <si>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</si>
  <si>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</si>
  <si>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</si>
  <si>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</si>
  <si>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</si>
  <si>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</si>
  <si>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</si>
  <si>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</si>
  <si>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</si>
  <si>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</si>
  <si>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</si>
  <si>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</si>
  <si>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</si>
  <si>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</si>
  <si>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</si>
  <si>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</si>
  <si>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</si>
  <si>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</si>
  <si>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</si>
  <si>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</si>
  <si>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</si>
  <si>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</si>
  <si>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</si>
  <si>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</si>
  <si>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</si>
  <si>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</si>
  <si>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</si>
  <si>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</si>
  <si>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</si>
  <si>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</si>
  <si>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</si>
  <si>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</si>
  <si>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</si>
  <si>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</si>
  <si>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</si>
  <si>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</si>
  <si>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</si>
  <si>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</si>
  <si>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</si>
  <si>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</si>
  <si>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</si>
  <si>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</si>
  <si>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</si>
  <si>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</si>
  <si>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</si>
  <si>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</si>
  <si>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</si>
  <si>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</si>
  <si>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</si>
  <si>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</si>
  <si>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</si>
  <si>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</si>
  <si>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</si>
  <si>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</si>
  <si>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</si>
  <si>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</si>
  <si>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</si>
  <si>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</si>
  <si>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</si>
  <si>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</si>
  <si>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</si>
  <si>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</si>
  <si>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</si>
  <si>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</si>
  <si>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</si>
  <si>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</si>
  <si>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</si>
  <si>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</si>
  <si>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</si>
  <si>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</si>
  <si>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</si>
  <si>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</si>
  <si>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</si>
  <si>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</si>
  <si>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</si>
  <si>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</si>
  <si>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</si>
  <si>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</si>
  <si>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</si>
  <si>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</si>
  <si>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</si>
  <si>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</si>
  <si>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</si>
  <si>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</si>
  <si>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</si>
  <si>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</si>
  <si>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</si>
  <si>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</si>
  <si>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</si>
  <si>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</si>
  <si>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</si>
  <si>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</si>
  <si>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</si>
  <si>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</si>
  <si>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</si>
  <si>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</si>
  <si>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</si>
  <si>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</si>
  <si>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</si>
  <si>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</si>
  <si>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</si>
  <si>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</si>
  <si>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</si>
  <si>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</si>
  <si>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</si>
  <si>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</si>
  <si>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</si>
  <si>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</si>
  <si>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</si>
  <si>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</si>
  <si>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</si>
  <si>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</si>
  <si>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</si>
  <si>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</si>
  <si>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</si>
  <si>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</si>
  <si>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</si>
  <si>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</si>
  <si>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</si>
  <si>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</si>
  <si>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</si>
  <si>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</si>
  <si>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</si>
  <si>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</si>
  <si>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</si>
  <si>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</si>
  <si>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</si>
  <si>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</si>
  <si>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</si>
  <si>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</si>
  <si>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</si>
  <si>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</si>
  <si>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</si>
  <si>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</si>
  <si>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</si>
  <si>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</si>
  <si>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</si>
  <si>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</si>
  <si>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</si>
  <si>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</si>
  <si>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</si>
  <si>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</si>
  <si>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</si>
  <si>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</si>
  <si>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</si>
  <si>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</si>
  <si>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</si>
  <si>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</si>
  <si>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</si>
  <si>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</si>
  <si>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</si>
  <si>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</si>
  <si>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</si>
  <si>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</si>
  <si>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</si>
  <si>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</si>
  <si>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</si>
  <si>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</si>
  <si>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</si>
  <si>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</si>
  <si>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</si>
  <si>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</si>
  <si>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</si>
  <si>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</si>
  <si>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</si>
  <si>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</si>
  <si>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</si>
  <si>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</si>
  <si>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</si>
  <si>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</si>
  <si>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</si>
  <si>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</si>
  <si>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</si>
  <si>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</si>
  <si>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</si>
  <si>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</si>
  <si>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</si>
  <si>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</si>
  <si>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</si>
  <si>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</si>
  <si>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</si>
  <si>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</si>
  <si>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</si>
  <si>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</si>
  <si>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</si>
  <si>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</si>
  <si>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</si>
  <si>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</si>
  <si>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</si>
  <si>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</si>
  <si>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</si>
  <si>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</si>
  <si>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</si>
  <si>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</si>
  <si>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</si>
  <si>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</si>
  <si>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</si>
  <si>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</si>
  <si>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</si>
  <si>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</si>
  <si>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</si>
  <si>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</si>
  <si>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</si>
  <si>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</si>
  <si>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</si>
  <si>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</si>
  <si>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</si>
  <si>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</si>
  <si>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</si>
  <si>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</si>
  <si>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</si>
  <si>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</si>
  <si>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</si>
  <si>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</si>
  <si>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</si>
  <si>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</si>
  <si>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</si>
  <si>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</si>
  <si>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</si>
  <si>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</si>
  <si>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</si>
  <si>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</si>
  <si>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</si>
  <si>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</si>
  <si>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</si>
  <si>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</si>
  <si>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</si>
  <si>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</si>
  <si>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</si>
  <si>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</si>
  <si>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</si>
  <si>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</si>
  <si>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</si>
  <si>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</si>
  <si>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</si>
  <si>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</si>
  <si>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</si>
  <si>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</si>
  <si>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</si>
  <si>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</si>
  <si>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</si>
  <si>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</si>
  <si>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</si>
  <si>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</si>
  <si>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</si>
  <si>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</si>
  <si>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</si>
  <si>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</si>
  <si>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</si>
  <si>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</si>
  <si>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</si>
  <si>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</si>
  <si>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</si>
  <si>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</si>
  <si>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</si>
  <si>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</si>
  <si>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</si>
  <si>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</si>
  <si>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</si>
  <si>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</si>
  <si>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</si>
  <si>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</si>
  <si>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</si>
  <si>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</si>
  <si>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</si>
  <si>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</si>
  <si>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</si>
  <si>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</si>
  <si>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</si>
  <si>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</si>
  <si>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</si>
  <si>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</si>
  <si>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</si>
  <si>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</si>
  <si>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</si>
  <si>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</si>
  <si>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</si>
  <si>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</si>
  <si>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</si>
  <si>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</si>
  <si>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</si>
  <si>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</si>
  <si>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</si>
  <si>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</si>
  <si>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</si>
  <si>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</si>
  <si>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</si>
  <si>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</si>
  <si>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</si>
  <si>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</si>
  <si>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</si>
  <si>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</si>
  <si>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</si>
  <si>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</si>
  <si>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</si>
  <si>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</si>
  <si>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</si>
  <si>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</si>
  <si>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</si>
  <si>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</si>
  <si>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</si>
  <si>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</si>
  <si>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</si>
  <si>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</si>
  <si>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</si>
  <si>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</si>
  <si>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</si>
  <si>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</si>
  <si>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</si>
  <si>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</si>
  <si>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</si>
  <si>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</si>
  <si>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</si>
  <si>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</si>
  <si>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</si>
  <si>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</si>
  <si>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</si>
  <si>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</si>
  <si>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</si>
  <si>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</si>
  <si>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</si>
  <si>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</si>
  <si>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</si>
  <si>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</si>
  <si>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</si>
  <si>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</si>
  <si>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</si>
  <si>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</si>
  <si>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</si>
  <si>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</si>
  <si>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</si>
  <si>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</si>
  <si>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</si>
  <si>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</si>
  <si>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</si>
  <si>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</si>
  <si>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</si>
  <si>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</si>
  <si>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</si>
  <si>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</si>
  <si>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</si>
  <si>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</si>
  <si>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</si>
  <si>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</si>
  <si>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</si>
  <si>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</si>
  <si>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</si>
  <si>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</si>
  <si>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</si>
  <si>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</si>
  <si>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</si>
  <si>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</si>
  <si>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</si>
  <si>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</si>
  <si>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</si>
  <si>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</si>
  <si>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</si>
  <si>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</si>
  <si>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</si>
  <si>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</si>
  <si>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</si>
  <si>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</si>
  <si>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</si>
  <si>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</si>
  <si>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</si>
  <si>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</si>
  <si>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</si>
  <si>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</si>
  <si>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</si>
  <si>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</si>
  <si>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</si>
  <si>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</si>
  <si>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</si>
  <si>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</si>
  <si>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</si>
  <si>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</si>
  <si>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</si>
  <si>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</si>
  <si>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</si>
  <si>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</si>
  <si>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</si>
  <si>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</si>
  <si>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</si>
  <si>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</si>
  <si>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</si>
  <si>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</si>
  <si>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</si>
  <si>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</si>
  <si>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</si>
  <si>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</si>
  <si>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</si>
  <si>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</si>
  <si>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</si>
  <si>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</si>
  <si>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</si>
  <si>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</si>
  <si>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</si>
  <si>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</si>
  <si>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</si>
  <si>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</si>
  <si>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</si>
  <si>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</si>
  <si>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</si>
  <si>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</si>
  <si>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</si>
  <si>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</si>
  <si>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</si>
  <si>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</si>
  <si>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</si>
  <si>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</si>
  <si>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</si>
  <si>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</si>
  <si>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</si>
  <si>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</si>
  <si>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</si>
  <si>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</si>
  <si>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</si>
  <si>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</si>
  <si>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</si>
  <si>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</si>
  <si>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</si>
  <si>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</si>
  <si>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</si>
  <si>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</si>
  <si>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</si>
  <si>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</si>
  <si>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</si>
  <si>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</si>
  <si>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</si>
  <si>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</si>
  <si>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</si>
  <si>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</si>
  <si>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</si>
  <si>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</si>
  <si>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</si>
  <si>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</si>
  <si>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</si>
  <si>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</si>
  <si>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</si>
  <si>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</si>
  <si>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</si>
  <si>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</si>
  <si>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</si>
  <si>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</si>
  <si>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</si>
  <si>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</si>
  <si>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</si>
  <si>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</si>
  <si>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</si>
  <si>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</si>
  <si>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</si>
  <si>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</si>
  <si>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</si>
  <si>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</si>
  <si>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</si>
  <si>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</si>
  <si>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</si>
  <si>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</si>
  <si>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</si>
  <si>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</si>
  <si>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</si>
  <si>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</si>
  <si>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</si>
  <si>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</si>
  <si>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</si>
  <si>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</si>
  <si>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</si>
  <si>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</si>
  <si>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</si>
  <si>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</si>
  <si>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</si>
  <si>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</si>
  <si>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</si>
  <si>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</si>
  <si>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</si>
  <si>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</si>
  <si>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</si>
  <si>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</si>
  <si>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</si>
  <si>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</si>
  <si>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</si>
  <si>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</si>
  <si>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</si>
  <si>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</si>
  <si>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</si>
  <si>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</si>
  <si>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</si>
  <si>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</si>
  <si>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</si>
  <si>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</si>
  <si>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</si>
  <si>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</si>
  <si>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</si>
  <si>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</si>
  <si>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</si>
  <si>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</si>
  <si>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</si>
  <si>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</si>
  <si>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</si>
  <si>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</si>
  <si>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</si>
  <si>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</si>
  <si>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</si>
  <si>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</si>
  <si>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</si>
  <si>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</si>
  <si>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</si>
  <si>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</si>
  <si>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</si>
  <si>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</si>
  <si>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</si>
  <si>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</si>
  <si>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</si>
  <si>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</si>
  <si>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</si>
  <si>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</si>
  <si>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</si>
  <si>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</si>
  <si>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</si>
  <si>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</si>
  <si>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</si>
  <si>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</si>
  <si>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</si>
  <si>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</si>
  <si>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</si>
  <si>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</si>
  <si>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</si>
  <si>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</si>
  <si>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</si>
  <si>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</si>
  <si>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</si>
  <si>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</si>
  <si>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</si>
  <si>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</si>
  <si>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</si>
  <si>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</si>
  <si>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</si>
  <si>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</si>
  <si>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</si>
  <si>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</si>
  <si>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</si>
  <si>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</si>
  <si>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</si>
  <si>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</si>
  <si>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</si>
  <si>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</si>
  <si>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</si>
  <si>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</si>
  <si>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</si>
  <si>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</si>
  <si>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</si>
  <si>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</si>
  <si>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</si>
  <si>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</si>
  <si>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</si>
  <si>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</si>
  <si>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</si>
  <si>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</si>
  <si>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</si>
  <si>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</si>
  <si>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</si>
  <si>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</si>
  <si>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</si>
  <si>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</si>
  <si>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</si>
  <si>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</si>
  <si>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</si>
  <si>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</si>
  <si>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</si>
  <si>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</si>
  <si>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</si>
  <si>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</si>
  <si>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</si>
  <si>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</si>
  <si>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</si>
  <si>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</si>
  <si>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</si>
  <si>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</si>
  <si>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</si>
  <si>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</si>
  <si>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</si>
  <si>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</si>
  <si>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</si>
  <si>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</si>
  <si>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</si>
  <si>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</si>
  <si>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</si>
  <si>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</si>
  <si>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</si>
  <si>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</si>
  <si>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</si>
  <si>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</si>
  <si>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</si>
  <si>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</si>
  <si>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</si>
  <si>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</si>
  <si>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</si>
  <si>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</si>
  <si>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</si>
  <si>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</si>
  <si>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</si>
  <si>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</si>
  <si>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</si>
  <si>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</si>
  <si>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</si>
  <si>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</si>
  <si>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</si>
  <si>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</si>
  <si>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</si>
  <si>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</si>
  <si>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</si>
  <si>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</si>
  <si>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</si>
  <si>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</si>
  <si>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</si>
  <si>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</si>
  <si>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</si>
  <si>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</si>
  <si>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</si>
  <si>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</si>
  <si>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</si>
  <si>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</si>
  <si>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</si>
  <si>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</si>
  <si>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</si>
  <si>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</si>
  <si>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</si>
  <si>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</si>
  <si>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</si>
  <si>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</si>
  <si>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</si>
  <si>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</si>
  <si>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</si>
  <si>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</si>
  <si>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</si>
  <si>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</si>
  <si>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</si>
  <si>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</si>
  <si>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</si>
  <si>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</si>
  <si>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</si>
  <si>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</si>
  <si>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</si>
  <si>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</si>
  <si>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</si>
  <si>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</si>
  <si>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</si>
  <si>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</si>
  <si>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</si>
  <si>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</si>
  <si>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</si>
  <si>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</si>
  <si>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</si>
  <si>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</si>
  <si>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</si>
  <si>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</si>
  <si>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</si>
  <si>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</si>
  <si>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</si>
  <si>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</si>
  <si>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</si>
  <si>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</si>
  <si>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</si>
  <si>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</si>
  <si>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</si>
  <si>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</si>
  <si>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</si>
  <si>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</si>
  <si>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</si>
  <si>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</si>
  <si>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</si>
  <si>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</si>
  <si>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</si>
  <si>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</si>
  <si>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</si>
  <si>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</si>
  <si>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</si>
  <si>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</si>
  <si>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</si>
  <si>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</si>
  <si>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</si>
  <si>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</si>
  <si>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</si>
  <si>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</si>
  <si>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</si>
  <si>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</si>
  <si>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</si>
  <si>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</si>
  <si>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</si>
  <si>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</si>
  <si>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</si>
  <si>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</si>
  <si>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</si>
  <si>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</si>
  <si>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</si>
  <si>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</si>
  <si>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</si>
  <si>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</si>
  <si>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</si>
  <si>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</si>
  <si>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</si>
  <si>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</si>
  <si>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</si>
  <si>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</si>
  <si>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</si>
  <si>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</si>
  <si>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</si>
  <si>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</si>
  <si>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</si>
  <si>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</si>
  <si>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</si>
  <si>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</si>
  <si>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</si>
  <si>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</si>
  <si>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</si>
  <si>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</si>
  <si>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</si>
  <si>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</si>
  <si>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</si>
  <si>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</si>
  <si>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</si>
  <si>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</si>
  <si>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</si>
  <si>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</si>
  <si>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</si>
  <si>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</si>
  <si>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</si>
  <si>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</si>
  <si>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</si>
  <si>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</si>
  <si>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</si>
  <si>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</si>
  <si>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</si>
  <si>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</si>
  <si>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</si>
  <si>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</si>
  <si>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</si>
  <si>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</si>
  <si>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</si>
  <si>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</si>
  <si>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</si>
  <si>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</si>
  <si>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</si>
  <si>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</si>
  <si>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</si>
  <si>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</si>
  <si>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</si>
  <si>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</si>
  <si>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</si>
  <si>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</si>
  <si>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</si>
  <si>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</si>
  <si>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</si>
  <si>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</si>
  <si>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</si>
  <si>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</si>
  <si>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</si>
  <si>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</si>
  <si>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</si>
  <si>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</si>
  <si>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</si>
  <si>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</si>
  <si>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</si>
  <si>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</si>
  <si>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</si>
  <si>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</si>
  <si>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</si>
  <si>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</si>
  <si>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</si>
  <si>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</si>
  <si>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</si>
  <si>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</si>
  <si>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</si>
  <si>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</si>
  <si>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</si>
  <si>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</si>
  <si>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</si>
  <si>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</si>
  <si>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</si>
  <si>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</si>
  <si>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</si>
  <si>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</si>
  <si>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</si>
  <si>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</si>
  <si>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</si>
  <si>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</si>
  <si>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</si>
  <si>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</si>
  <si>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</si>
  <si>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</si>
  <si>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</si>
  <si>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</si>
  <si>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</si>
  <si>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</si>
  <si>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</si>
  <si>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</si>
  <si>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</si>
  <si>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</si>
  <si>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</si>
  <si>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</si>
  <si>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</si>
  <si>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</si>
  <si>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</si>
  <si>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</si>
  <si>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</si>
  <si>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</si>
  <si>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</si>
  <si>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</si>
  <si>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</si>
  <si>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</si>
  <si>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</si>
  <si>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</si>
  <si>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</si>
  <si>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</si>
  <si>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</si>
  <si>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</si>
  <si>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</si>
  <si>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</si>
  <si>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</si>
  <si>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</si>
  <si>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</si>
  <si>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</si>
  <si>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</si>
  <si>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</si>
  <si>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</si>
  <si>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</si>
  <si>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</si>
  <si>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</si>
  <si>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</si>
  <si>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</si>
  <si>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</si>
  <si>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</si>
  <si>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</si>
  <si>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</si>
  <si>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</si>
  <si>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</si>
  <si>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</si>
  <si>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</si>
  <si>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</si>
  <si>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</si>
  <si>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</si>
  <si>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</si>
  <si>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</si>
  <si>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</si>
  <si>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</si>
  <si>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</si>
  <si>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</si>
  <si>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</si>
  <si>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</si>
  <si>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</si>
  <si>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</si>
  <si>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</si>
  <si>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</si>
  <si>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</si>
  <si>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</si>
  <si>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</si>
  <si>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</si>
  <si>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</si>
  <si>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</si>
  <si>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</si>
  <si>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</si>
  <si>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</si>
  <si>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</si>
  <si>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</si>
  <si>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</si>
  <si>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</si>
  <si>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</si>
  <si>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</si>
  <si>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</si>
  <si>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</si>
  <si>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</si>
  <si>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</si>
  <si>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</si>
  <si>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</si>
  <si>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</si>
  <si>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</si>
  <si>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</si>
  <si>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</si>
  <si>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</si>
  <si>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</si>
  <si>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</si>
  <si>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</si>
  <si>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</si>
  <si>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</si>
  <si>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</si>
  <si>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</si>
  <si>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</si>
  <si>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</si>
  <si>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</si>
  <si>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</si>
  <si>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</si>
  <si>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</si>
  <si>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</si>
  <si>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</si>
  <si>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</si>
  <si>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</si>
  <si>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</si>
  <si>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</si>
  <si>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</si>
  <si>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</si>
  <si>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</si>
  <si>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</si>
  <si>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</si>
  <si>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</si>
  <si>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</si>
  <si>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</si>
  <si>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</si>
  <si>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</si>
  <si>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</si>
  <si>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</si>
  <si>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</si>
  <si>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</si>
  <si>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</si>
  <si>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</si>
  <si>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</si>
  <si>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</si>
  <si>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</si>
  <si>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</si>
  <si>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</si>
  <si>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</si>
  <si>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</si>
  <si>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</si>
  <si>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</si>
  <si>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</si>
  <si>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</si>
  <si>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</si>
  <si>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</si>
  <si>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</si>
  <si>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</si>
  <si>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</si>
  <si>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</si>
  <si>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</si>
  <si>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</si>
  <si>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</si>
  <si>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</si>
  <si>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</si>
  <si>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</si>
  <si>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</si>
  <si>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</si>
  <si>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</si>
  <si>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</si>
  <si>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</si>
  <si>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</si>
  <si>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</si>
  <si>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</si>
  <si>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</si>
  <si>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</si>
  <si>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</si>
  <si>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</si>
  <si>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</si>
  <si>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</si>
  <si>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</si>
  <si>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</si>
  <si>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</si>
  <si>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</si>
  <si>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</si>
  <si>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</si>
  <si>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</si>
  <si>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</si>
  <si>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</si>
  <si>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</si>
  <si>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</si>
  <si>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</si>
  <si>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</si>
  <si>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</si>
  <si>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</si>
  <si>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</si>
  <si>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</si>
  <si>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</si>
  <si>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</si>
  <si>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</si>
  <si>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</si>
  <si>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</si>
  <si>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</si>
  <si>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</si>
  <si>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</si>
  <si>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</si>
  <si>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</si>
  <si>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</si>
  <si>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</si>
  <si>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</si>
  <si>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</si>
  <si>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</si>
  <si>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</si>
  <si>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</si>
  <si>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</si>
  <si>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</si>
  <si>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</si>
  <si>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</si>
  <si>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</si>
  <si>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</si>
  <si>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</si>
  <si>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</si>
  <si>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</si>
  <si>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</si>
  <si>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</si>
  <si>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</si>
  <si>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</si>
  <si>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</si>
  <si>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</si>
  <si>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</si>
  <si>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</si>
  <si>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</si>
  <si>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</si>
  <si>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</si>
  <si>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</si>
  <si>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</si>
  <si>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</si>
  <si>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</si>
  <si>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</si>
  <si>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</si>
  <si>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</si>
  <si>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</si>
  <si>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</si>
  <si>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</si>
  <si>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</si>
  <si>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</si>
  <si>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</si>
  <si>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</si>
  <si>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</si>
  <si>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</si>
  <si>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</si>
  <si>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</si>
  <si>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</si>
  <si>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</si>
  <si>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</si>
  <si>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</si>
  <si>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</si>
  <si>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</si>
  <si>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</si>
  <si>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</si>
  <si>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</si>
  <si>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</si>
  <si>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</si>
  <si>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</si>
  <si>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</si>
  <si>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</si>
  <si>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</si>
  <si>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</si>
  <si>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</si>
  <si>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</si>
  <si>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</si>
  <si>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</si>
  <si>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</si>
  <si>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</si>
  <si>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</si>
  <si>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</si>
  <si>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</si>
  <si>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</si>
  <si>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</si>
  <si>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</si>
  <si>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</si>
  <si>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</si>
  <si>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</si>
  <si>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</si>
  <si>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</si>
  <si>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</si>
  <si>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</si>
  <si>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</si>
  <si>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</si>
  <si>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</si>
  <si>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</si>
  <si>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</si>
  <si>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</si>
  <si>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</si>
  <si>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</si>
  <si>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</si>
  <si>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</si>
  <si>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</si>
  <si>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</si>
  <si>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</si>
  <si>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</si>
  <si>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</si>
  <si>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</si>
  <si>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</si>
  <si>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</si>
  <si>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</si>
  <si>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</si>
  <si>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</si>
  <si>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</si>
  <si>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</si>
  <si>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</si>
  <si>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</si>
  <si>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</si>
  <si>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</si>
  <si>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</si>
  <si>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</si>
  <si>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</si>
  <si>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</si>
  <si>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</si>
  <si>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</si>
  <si>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</si>
  <si>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</si>
  <si>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</si>
  <si>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</si>
  <si>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</si>
  <si>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</si>
  <si>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</si>
  <si>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</si>
  <si>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</si>
  <si>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</si>
  <si>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</si>
  <si>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</si>
  <si>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</si>
  <si>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</si>
  <si>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</si>
  <si>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</si>
  <si>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</si>
  <si>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</si>
  <si>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</si>
  <si>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</si>
  <si>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</si>
  <si>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</si>
  <si>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</si>
  <si>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</si>
  <si>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</si>
  <si>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</si>
  <si>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</si>
  <si>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</si>
  <si>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</si>
  <si>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</si>
  <si>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</si>
  <si>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</si>
  <si>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</si>
  <si>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</si>
  <si>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</si>
  <si>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</si>
  <si>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</si>
  <si>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</si>
  <si>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</si>
  <si>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</si>
  <si>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</si>
  <si>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</si>
  <si>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</si>
  <si>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</si>
  <si>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</si>
  <si>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</si>
  <si>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</si>
  <si>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</si>
  <si>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</si>
  <si>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</si>
  <si>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</si>
  <si>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</si>
  <si>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</si>
  <si>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</si>
  <si>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</si>
  <si>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</si>
  <si>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</si>
  <si>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</si>
  <si>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</si>
  <si>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</si>
  <si>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</si>
  <si>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</si>
  <si>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</si>
  <si>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</si>
  <si>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</si>
  <si>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</si>
  <si>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</si>
  <si>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</si>
  <si>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</si>
  <si>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</si>
  <si>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</si>
  <si>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</si>
  <si>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</si>
  <si>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</si>
  <si>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</si>
  <si>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</si>
  <si>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</si>
  <si>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</si>
  <si>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</si>
  <si>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</si>
  <si>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</si>
  <si>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</si>
  <si>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</si>
  <si>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</si>
  <si>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</si>
  <si>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</si>
  <si>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</si>
  <si>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</si>
  <si>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</si>
  <si>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</si>
  <si>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</si>
  <si>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</si>
  <si>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</si>
  <si>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</si>
  <si>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</si>
  <si>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</si>
  <si>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</si>
  <si>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</si>
  <si>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</si>
  <si>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</si>
  <si>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</si>
  <si>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</si>
  <si>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</si>
  <si>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</si>
  <si>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</si>
  <si>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</si>
  <si>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</si>
  <si>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</si>
  <si>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</si>
  <si>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</si>
  <si>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</si>
  <si>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</si>
  <si>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</si>
  <si>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</si>
  <si>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</si>
  <si>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</si>
  <si>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</si>
  <si>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</si>
  <si>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</si>
  <si>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</si>
  <si>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</si>
  <si>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</si>
  <si>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</si>
  <si>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</si>
  <si>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</si>
  <si>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</si>
  <si>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</si>
  <si>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</si>
  <si>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</si>
  <si>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</si>
  <si>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</si>
  <si>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</si>
  <si>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</si>
  <si>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</si>
  <si>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</si>
  <si>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</si>
  <si>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</si>
  <si>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</si>
  <si>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</si>
  <si>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</si>
  <si>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</si>
  <si>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</si>
  <si>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</si>
  <si>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</si>
  <si>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</si>
  <si>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</si>
  <si>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</si>
  <si>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</si>
  <si>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</si>
  <si>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</si>
  <si>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</si>
  <si>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</si>
  <si>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</si>
  <si>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</si>
  <si>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欧红伟</t>
  </si>
  <si>
    <t>中信信托</t>
    <phoneticPr fontId="6" type="noConversion"/>
  </si>
  <si>
    <t>贵阳恒大凯源旅游开发有限公司</t>
    <phoneticPr fontId="6" type="noConversion"/>
  </si>
  <si>
    <t>抵押</t>
  </si>
  <si>
    <t>抵押价格</t>
  </si>
  <si>
    <t>其他：</t>
  </si>
  <si>
    <t>贵州省</t>
    <phoneticPr fontId="6" type="noConversion"/>
  </si>
  <si>
    <t>花溪区贵筑社区尖山村贵阳恒大凯源旅游开发有限公司</t>
    <phoneticPr fontId="6" type="noConversion"/>
  </si>
  <si>
    <t>城镇住宅用地</t>
    <phoneticPr fontId="6" type="noConversion"/>
  </si>
  <si>
    <t>《不动产权利证书》</t>
  </si>
  <si>
    <t>《不动产权利证书》</t>
    <phoneticPr fontId="6" type="noConversion"/>
  </si>
  <si>
    <t>住宅</t>
    <phoneticPr fontId="6" type="noConversion"/>
  </si>
  <si>
    <t>一致</t>
  </si>
  <si>
    <t>符合</t>
  </si>
  <si>
    <t>出让</t>
  </si>
  <si>
    <t>商业</t>
  </si>
  <si>
    <t>《出让合同》[]</t>
    <phoneticPr fontId="3" type="noConversion"/>
  </si>
  <si>
    <t>否</t>
  </si>
  <si>
    <t>居住项目</t>
  </si>
  <si>
    <t>无</t>
  </si>
  <si>
    <t>场地平整</t>
  </si>
  <si>
    <t>平整</t>
  </si>
  <si>
    <t>通路</t>
  </si>
  <si>
    <t>通电</t>
  </si>
  <si>
    <t>通上水</t>
  </si>
  <si>
    <t>0001685</t>
    <phoneticPr fontId="3" type="noConversion"/>
  </si>
  <si>
    <t>0002163</t>
    <phoneticPr fontId="3" type="noConversion"/>
  </si>
  <si>
    <t>0001688</t>
    <phoneticPr fontId="3" type="noConversion"/>
  </si>
  <si>
    <t>0001683</t>
    <phoneticPr fontId="3" type="noConversion"/>
  </si>
  <si>
    <t>0002162</t>
    <phoneticPr fontId="3" type="noConversion"/>
  </si>
  <si>
    <t>0002167</t>
    <phoneticPr fontId="3" type="noConversion"/>
  </si>
  <si>
    <t>0001499</t>
    <phoneticPr fontId="3" type="noConversion"/>
  </si>
  <si>
    <t>地上</t>
  </si>
  <si>
    <t>普通住宅</t>
  </si>
  <si>
    <t>底商</t>
  </si>
  <si>
    <t>普通住宅</t>
    <phoneticPr fontId="7" type="noConversion"/>
  </si>
  <si>
    <t>配套商业</t>
  </si>
  <si>
    <t>配套商业</t>
    <phoneticPr fontId="7" type="noConversion"/>
  </si>
  <si>
    <t>不动产收益法</t>
  </si>
  <si>
    <t>一般</t>
  </si>
  <si>
    <t>一般</t>
    <phoneticPr fontId="3" type="noConversion"/>
  </si>
  <si>
    <t>一般</t>
    <phoneticPr fontId="3" type="noConversion"/>
  </si>
  <si>
    <t>六通</t>
  </si>
  <si>
    <t>六通</t>
    <phoneticPr fontId="3" type="noConversion"/>
  </si>
  <si>
    <t>较好</t>
  </si>
  <si>
    <t>较好</t>
    <phoneticPr fontId="21" type="noConversion"/>
  </si>
  <si>
    <t>住宅</t>
    <phoneticPr fontId="26" type="noConversion"/>
  </si>
  <si>
    <t>有</t>
    <phoneticPr fontId="26" type="noConversion"/>
  </si>
  <si>
    <t>无</t>
    <phoneticPr fontId="26" type="noConversion"/>
  </si>
  <si>
    <t>支路</t>
  </si>
  <si>
    <t>支路</t>
    <phoneticPr fontId="26" type="noConversion"/>
  </si>
  <si>
    <t>较规则</t>
  </si>
  <si>
    <t>较规则</t>
    <phoneticPr fontId="26" type="noConversion"/>
  </si>
  <si>
    <t>规则</t>
    <phoneticPr fontId="26" type="noConversion"/>
  </si>
  <si>
    <t>一般</t>
    <phoneticPr fontId="26" type="noConversion"/>
  </si>
  <si>
    <t>较不规则</t>
  </si>
  <si>
    <t>较不规则</t>
    <phoneticPr fontId="26" type="noConversion"/>
  </si>
  <si>
    <t>不规则</t>
  </si>
  <si>
    <t>不规则</t>
    <phoneticPr fontId="26" type="noConversion"/>
  </si>
  <si>
    <t>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</si>
  <si>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</si>
  <si>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</si>
  <si>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</si>
  <si>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</si>
  <si>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</si>
  <si>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</si>
  <si>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</si>
  <si>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70</t>
    <phoneticPr fontId="26" type="noConversion"/>
  </si>
  <si>
    <r>
      <rPr>
        <sz val="11"/>
        <rFont val="宋体"/>
        <family val="3"/>
        <charset val="134"/>
      </rPr>
      <t>支路</t>
    </r>
    <r>
      <rPr>
        <sz val="11"/>
        <rFont val="Arial"/>
        <family val="2"/>
      </rPr>
      <t xml:space="preserve"> </t>
    </r>
    <phoneticPr fontId="26" type="noConversion"/>
  </si>
  <si>
    <t>临街宽度及深度</t>
  </si>
  <si>
    <t>楼面地价</t>
  </si>
  <si>
    <t>贵安新区党武镇HC-08-02</t>
    <phoneticPr fontId="3" type="noConversion"/>
  </si>
  <si>
    <t>贵安新区党武镇HC-07-06</t>
    <phoneticPr fontId="3" type="noConversion"/>
  </si>
  <si>
    <t>贵安新区党武镇HC-06-02</t>
    <phoneticPr fontId="3" type="noConversion"/>
  </si>
  <si>
    <t>剩余法-待开发</t>
  </si>
  <si>
    <t>押一</t>
  </si>
  <si>
    <t>钢混</t>
  </si>
  <si>
    <t>容积率</t>
    <phoneticPr fontId="3" type="noConversion"/>
  </si>
  <si>
    <t>土地面积</t>
    <phoneticPr fontId="3" type="noConversion"/>
  </si>
  <si>
    <t>宗地形状</t>
    <phoneticPr fontId="3" type="noConversion"/>
  </si>
  <si>
    <t>2-3</t>
  </si>
  <si>
    <t>1-2</t>
  </si>
  <si>
    <t>1-2</t>
    <phoneticPr fontId="21" type="noConversion"/>
  </si>
  <si>
    <t>2-3</t>
    <phoneticPr fontId="21" type="noConversion"/>
  </si>
  <si>
    <t>0-1</t>
    <phoneticPr fontId="21" type="noConversion"/>
  </si>
  <si>
    <t>1-2</t>
    <phoneticPr fontId="21" type="noConversion"/>
  </si>
  <si>
    <t>2-5</t>
  </si>
  <si>
    <t>2-5</t>
    <phoneticPr fontId="21" type="noConversion"/>
  </si>
  <si>
    <t>5-10</t>
  </si>
  <si>
    <t>5-10</t>
    <phoneticPr fontId="21" type="noConversion"/>
  </si>
  <si>
    <t>10-50</t>
  </si>
  <si>
    <t>10-50</t>
    <phoneticPr fontId="21" type="noConversion"/>
  </si>
  <si>
    <t>50-100</t>
    <phoneticPr fontId="21" type="noConversion"/>
  </si>
  <si>
    <t>土地面积</t>
    <phoneticPr fontId="21" type="noConversion"/>
  </si>
  <si>
    <t>容积率</t>
    <phoneticPr fontId="21" type="noConversion"/>
  </si>
  <si>
    <t>每亩</t>
    <phoneticPr fontId="21" type="noConversion"/>
  </si>
  <si>
    <r>
      <rPr>
        <sz val="11"/>
        <color theme="1"/>
        <rFont val="宋体"/>
        <family val="3"/>
        <charset val="134"/>
      </rPr>
      <t>比较法</t>
    </r>
    <r>
      <rPr>
        <sz val="11"/>
        <color theme="1"/>
        <rFont val="Arial"/>
        <family val="2"/>
      </rPr>
      <t>-</t>
    </r>
    <r>
      <rPr>
        <sz val="11"/>
        <color theme="1"/>
        <rFont val="宋体"/>
        <family val="3"/>
        <charset val="134"/>
      </rPr>
      <t>住宅、综合（楼面高）</t>
    </r>
    <phoneticPr fontId="14"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</si>
  <si>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楼面低</t>
    </r>
    <r>
      <rPr>
        <sz val="11"/>
        <color theme="1"/>
        <rFont val="Arial"/>
        <family val="2"/>
      </rPr>
      <t>)</t>
    </r>
    <phoneticPr fontId="14" type="noConversion"/>
  </si>
  <si>
    <t>比较法-住宅、综合（楼面高）</t>
  </si>
  <si>
    <t>观山湖区林城西路与宾阳大道交叉口西南侧</t>
    <phoneticPr fontId="3" type="noConversion"/>
  </si>
  <si>
    <t>云岩区三马片区</t>
    <phoneticPr fontId="3" type="noConversion"/>
  </si>
  <si>
    <t>花溪区贵筑社区云上村</t>
    <phoneticPr fontId="3" type="noConversion"/>
  </si>
  <si>
    <t>周边有绿洲湾等居住社区，居住社区成熟度一般</t>
    <phoneticPr fontId="26" type="noConversion"/>
  </si>
  <si>
    <t>周边无大型商业体，商业繁华度较差</t>
    <phoneticPr fontId="26" type="noConversion"/>
  </si>
  <si>
    <t>较差</t>
  </si>
  <si>
    <r>
      <rPr>
        <sz val="11"/>
        <rFont val="宋体"/>
        <family val="3"/>
        <charset val="134"/>
      </rPr>
      <t>周边有</t>
    </r>
    <r>
      <rPr>
        <sz val="11"/>
        <rFont val="Arial"/>
        <family val="2"/>
      </rPr>
      <t>225</t>
    </r>
    <r>
      <rPr>
        <sz val="11"/>
        <rFont val="宋体"/>
        <family val="3"/>
        <charset val="134"/>
      </rPr>
      <t>、关山</t>
    </r>
    <r>
      <rPr>
        <sz val="11"/>
        <rFont val="Arial"/>
        <family val="2"/>
      </rPr>
      <t>6</t>
    </r>
    <r>
      <rPr>
        <sz val="11"/>
        <rFont val="宋体"/>
        <family val="3"/>
        <charset val="134"/>
      </rPr>
      <t>号等公交线路，交通便捷度一般</t>
    </r>
    <phoneticPr fontId="26" type="noConversion"/>
  </si>
  <si>
    <t>较好</t>
    <phoneticPr fontId="26" type="noConversion"/>
  </si>
  <si>
    <t>周边有悦湖湿地公园、将军山、水口寺等，自然及人文环境状况较好</t>
    <phoneticPr fontId="26" type="noConversion"/>
  </si>
  <si>
    <t>周边有爱尚超市、童心幼儿园、福悦山庄等，公共配套设施一般</t>
    <phoneticPr fontId="26" type="noConversion"/>
  </si>
  <si>
    <t>六通</t>
    <phoneticPr fontId="26" type="noConversion"/>
  </si>
  <si>
    <t>周边有茶园幸福小区、龙吉苑、世纪城龙慈苑等，居住社区成熟度较好</t>
    <phoneticPr fontId="26" type="noConversion"/>
  </si>
  <si>
    <t>周边有世纪金源购物中心、居然之家等，商业繁华度较好</t>
    <phoneticPr fontId="26" type="noConversion"/>
  </si>
  <si>
    <r>
      <rPr>
        <sz val="11"/>
        <rFont val="宋体"/>
        <family val="3"/>
        <charset val="134"/>
      </rPr>
      <t>周边有</t>
    </r>
    <r>
      <rPr>
        <sz val="11"/>
        <rFont val="Arial"/>
        <family val="2"/>
      </rPr>
      <t>237</t>
    </r>
    <r>
      <rPr>
        <sz val="11"/>
        <rFont val="宋体"/>
        <family val="3"/>
        <charset val="134"/>
      </rPr>
      <t>、</t>
    </r>
    <r>
      <rPr>
        <sz val="11"/>
        <rFont val="Arial"/>
        <family val="2"/>
      </rPr>
      <t>291</t>
    </r>
    <r>
      <rPr>
        <sz val="11"/>
        <rFont val="宋体"/>
        <family val="3"/>
        <charset val="134"/>
      </rPr>
      <t>、</t>
    </r>
    <r>
      <rPr>
        <sz val="11"/>
        <rFont val="Arial"/>
        <family val="2"/>
      </rPr>
      <t>311</t>
    </r>
    <r>
      <rPr>
        <sz val="11"/>
        <rFont val="宋体"/>
        <family val="3"/>
        <charset val="134"/>
      </rPr>
      <t>、观山</t>
    </r>
    <r>
      <rPr>
        <sz val="11"/>
        <rFont val="Arial"/>
        <family val="2"/>
      </rPr>
      <t>4</t>
    </r>
    <r>
      <rPr>
        <sz val="11"/>
        <rFont val="宋体"/>
        <family val="3"/>
        <charset val="134"/>
      </rPr>
      <t>路等，交通便捷度较好</t>
    </r>
    <phoneticPr fontId="26" type="noConversion"/>
  </si>
  <si>
    <t>周边有锦绣公园、贵阳回龙禅寺等，自然及人文环境状况较好</t>
    <phoneticPr fontId="26" type="noConversion"/>
  </si>
  <si>
    <t>周边有育童实验幼儿园、观山湖区第一高级中学、西诚医院、中国农业银行等，公共配套设施较好</t>
    <phoneticPr fontId="26" type="noConversion"/>
  </si>
  <si>
    <t>次干道</t>
    <phoneticPr fontId="26" type="noConversion"/>
  </si>
  <si>
    <t>支路</t>
    <phoneticPr fontId="26" type="noConversion"/>
  </si>
  <si>
    <r>
      <rPr>
        <sz val="11"/>
        <rFont val="宋体"/>
        <family val="3"/>
        <charset val="134"/>
      </rPr>
      <t>周边有</t>
    </r>
    <r>
      <rPr>
        <sz val="11"/>
        <rFont val="Arial"/>
        <family val="2"/>
      </rPr>
      <t>2537</t>
    </r>
    <r>
      <rPr>
        <sz val="11"/>
        <rFont val="宋体"/>
        <family val="3"/>
        <charset val="134"/>
      </rPr>
      <t>厂生活小区、童荫幼苑、险峰苑等，居住社区成熟度较好</t>
    </r>
    <phoneticPr fontId="26" type="noConversion"/>
  </si>
  <si>
    <t>周边有云上村三五三七农贸市场，商业繁华度一般</t>
    <phoneticPr fontId="26" type="noConversion"/>
  </si>
  <si>
    <r>
      <rPr>
        <sz val="11"/>
        <rFont val="宋体"/>
        <family val="3"/>
        <charset val="134"/>
      </rPr>
      <t>周边有</t>
    </r>
    <r>
      <rPr>
        <sz val="11"/>
        <rFont val="Arial"/>
        <family val="2"/>
      </rPr>
      <t>203</t>
    </r>
    <r>
      <rPr>
        <sz val="11"/>
        <rFont val="宋体"/>
        <family val="3"/>
        <charset val="134"/>
      </rPr>
      <t>、</t>
    </r>
    <r>
      <rPr>
        <sz val="11"/>
        <rFont val="Arial"/>
        <family val="2"/>
      </rPr>
      <t>204</t>
    </r>
    <r>
      <rPr>
        <sz val="11"/>
        <rFont val="宋体"/>
        <family val="3"/>
        <charset val="134"/>
      </rPr>
      <t>、</t>
    </r>
    <r>
      <rPr>
        <sz val="11"/>
        <rFont val="Arial"/>
        <family val="2"/>
      </rPr>
      <t>205</t>
    </r>
    <r>
      <rPr>
        <sz val="11"/>
        <rFont val="宋体"/>
        <family val="3"/>
        <charset val="134"/>
      </rPr>
      <t>、花溪</t>
    </r>
    <r>
      <rPr>
        <sz val="11"/>
        <rFont val="Arial"/>
        <family val="2"/>
      </rPr>
      <t>13</t>
    </r>
    <r>
      <rPr>
        <sz val="11"/>
        <rFont val="宋体"/>
        <family val="3"/>
        <charset val="134"/>
      </rPr>
      <t>路等，交通便捷度较好</t>
    </r>
    <phoneticPr fontId="26" type="noConversion"/>
  </si>
  <si>
    <t>周边有贵州大学、白云寺等，自然及人文环境较好</t>
    <phoneticPr fontId="26" type="noConversion"/>
  </si>
  <si>
    <t>周边有中国农业银行、友谊佳便利店、贵阳市花溪区阳光小学、云上之星幼儿园、红阳医院等，公共配套设施较好</t>
    <phoneticPr fontId="26" type="noConversion"/>
  </si>
  <si>
    <t>支路</t>
    <phoneticPr fontId="26" type="noConversion"/>
  </si>
  <si>
    <t>学校</t>
    <phoneticPr fontId="21" type="noConversion"/>
  </si>
  <si>
    <t>绿地</t>
    <phoneticPr fontId="21" type="noConversion"/>
  </si>
  <si>
    <t>图总</t>
    <phoneticPr fontId="21" type="noConversion"/>
  </si>
  <si>
    <t>表总</t>
    <phoneticPr fontId="21" type="noConversion"/>
  </si>
  <si>
    <t>抵押总亩</t>
    <phoneticPr fontId="21" type="noConversion"/>
  </si>
  <si>
    <t>含学校总亩</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</si>
</sst>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49" fontId="11" fillId="0" borderId="2" xfId="0" applyNumberFormat="1" applyFont="1" applyBorder="1" applyAlignment="1" applyProtection="1">
      <alignment horizontal="center" vertical="center" wrapText="1"/>
      <protection locked="0"/>
    </xf>
    <xf numFmtId="49" fontId="71" fillId="0" borderId="21" xfId="0" applyNumberFormat="1" applyFont="1" applyBorder="1" applyAlignment="1" applyProtection="1">
      <alignment horizontal="center" vertical="center" wrapText="1"/>
      <protection locked="0"/>
    </xf>
    <xf numFmtId="49" fontId="163" fillId="0" borderId="2" xfId="1" applyNumberFormat="1" applyFont="1" applyFill="1" applyBorder="1" applyAlignment="1" applyProtection="1">
      <alignment horizontal="center" vertical="center" wrapText="1"/>
      <protection locked="0"/>
    </xf>
    <xf numFmtId="49" fontId="159" fillId="0" borderId="2" xfId="1" applyNumberFormat="1" applyFont="1" applyBorder="1" applyAlignment="1" applyProtection="1">
      <alignment horizontal="center" vertical="center" wrapText="1"/>
      <protection locked="0"/>
    </xf>
    <xf numFmtId="49" fontId="71" fillId="6" borderId="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49" fontId="117" fillId="0" borderId="2" xfId="0" applyNumberFormat="1" applyFont="1" applyFill="1" applyBorder="1" applyAlignment="1" applyProtection="1">
      <alignment horizontal="center" vertical="center"/>
      <protection locked="0"/>
    </xf>
    <xf numFmtId="0" fontId="0" fillId="11" borderId="0" xfId="0" applyFill="1">
      <alignment vertical="center"/>
    </xf>
    <xf numFmtId="0" fontId="0" fillId="11" borderId="0" xfId="0" applyFill="1" applyProtection="1">
      <alignment vertical="center"/>
      <protection locked="0"/>
    </xf>
    <xf numFmtId="0" fontId="76" fillId="9" borderId="2" xfId="0" applyFont="1" applyFill="1" applyBorder="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0" borderId="0" xfId="0" applyFont="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6" borderId="0" xfId="0" applyFont="1" applyFill="1" applyProtection="1">
      <alignment vertical="center"/>
    </xf>
    <xf numFmtId="0" fontId="76" fillId="6" borderId="2" xfId="0" applyFont="1" applyFill="1" applyBorder="1" applyProtection="1">
      <alignment vertical="center"/>
      <protection locked="0"/>
    </xf>
    <xf numFmtId="0" fontId="0" fillId="6" borderId="0" xfId="0" applyFill="1" applyProtection="1">
      <alignment vertical="center"/>
      <protection locked="0"/>
    </xf>
    <xf numFmtId="0" fontId="85" fillId="6" borderId="2" xfId="0" applyFont="1" applyFill="1" applyBorder="1" applyAlignment="1" applyProtection="1">
      <alignment horizontal="center" vertical="center"/>
    </xf>
    <xf numFmtId="0" fontId="76" fillId="16" borderId="0" xfId="0" applyFont="1" applyFill="1" applyProtection="1">
      <alignment vertical="center"/>
      <protection locked="0"/>
    </xf>
    <xf numFmtId="0" fontId="82" fillId="0" borderId="0" xfId="0" applyFo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18</xdr:col>
      <xdr:colOff>313600</xdr:colOff>
      <xdr:row>34</xdr:row>
      <xdr:rowOff>123115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0" y="342900"/>
          <a:ext cx="5800000" cy="5685715"/>
        </a:xfrm>
        <a:prstGeom prst="rect">
          <a:avLst/>
        </a:prstGeom>
      </xdr:spPr>
    </xdr:pic>
    <xdr:clientData/>
  </xdr:twoCellAnchor>
  <xdr:twoCellAnchor editAs="oneCell">
    <xdr:from>
      <xdr:col>0</xdr:col>
      <xdr:colOff>0</xdr:colOff>
      <xdr:row>0</xdr:row>
      <xdr:rowOff>0</xdr:rowOff>
    </xdr:from>
    <xdr:to>
      <xdr:col>8</xdr:col>
      <xdr:colOff>389791</xdr:colOff>
      <xdr:row>35</xdr:row>
      <xdr:rowOff>170669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876191" cy="6247619"/>
        </a:xfrm>
        <a:prstGeom prst="rect">
          <a:avLst/>
        </a:prstGeom>
      </xdr:spPr>
    </xdr:pic>
    <xdr:clientData/>
  </xdr:twoCellAnchor>
  <xdr:twoCellAnchor editAs="oneCell">
    <xdr:from>
      <xdr:col>0</xdr:col>
      <xdr:colOff>0</xdr:colOff>
      <xdr:row>37</xdr:row>
      <xdr:rowOff>0</xdr:rowOff>
    </xdr:from>
    <xdr:to>
      <xdr:col>11</xdr:col>
      <xdr:colOff>75248</xdr:colOff>
      <xdr:row>70</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19850"/>
          <a:ext cx="7619048" cy="5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44">
          <cell r="V44">
            <v>1245683</v>
          </cell>
        </row>
      </sheetData>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2666</v>
      </c>
      <c r="B1" s="2928" t="s">
        <v>2763</v>
      </c>
    </row>
    <row r="2" spans="1:55" s="2932" customFormat="1" ht="15" thickTop="1">
      <c r="A2" s="2930" t="s">
        <v>2670</v>
      </c>
      <c r="B2" s="2931" t="str">
        <f>'预评函-封皮'!B37</f>
        <v>贵州省花溪区贵筑社区尖山村贵阳恒大凯源旅游开发有限公司出让国有建设用地使用权抵押价格预评估</v>
      </c>
      <c r="AX2" s="2933"/>
      <c r="AZ2" s="2933"/>
      <c r="BA2" s="2934"/>
      <c r="BC2" s="2934"/>
    </row>
    <row r="3" spans="1:55" s="2935" customFormat="1">
      <c r="A3" s="2914" t="s">
        <v>2671</v>
      </c>
      <c r="B3" s="2917" t="str">
        <f>'预评函-封皮'!B40</f>
        <v>贵阳恒大凯源旅游开发有限公司</v>
      </c>
    </row>
    <row r="4" spans="1:55" s="2916" customFormat="1">
      <c r="A4" s="2914" t="s">
        <v>2672</v>
      </c>
      <c r="B4" s="2915" t="str">
        <f>'预评函-封皮'!B46</f>
        <v>梁津、欧红伟</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2673</v>
      </c>
      <c r="B5" s="2937" t="str">
        <f>'预评函-封皮'!B49</f>
        <v>康正预评字号</v>
      </c>
    </row>
    <row r="6" spans="1:55" s="2938" customFormat="1" ht="15" thickTop="1">
      <c r="A6" s="2930" t="s">
        <v>2715</v>
      </c>
      <c r="B6" s="2931" t="str">
        <f>'预评函-1'!A4</f>
        <v>受贵公司委托，我公司对贵州省花溪区贵筑社区尖山村贵阳恒大凯源旅游开发有限公司出让国有建设用地使用权抵押价格进行了预评估。</v>
      </c>
      <c r="AM6" s="2939"/>
    </row>
    <row r="7" spans="1:55" s="2913" customFormat="1">
      <c r="A7" s="2914" t="s">
        <v>2667</v>
      </c>
      <c r="B7" s="2915" t="str">
        <f>'预评函-1'!A6</f>
        <v>估价对象为使用的、位于贵州省花溪区贵筑社区尖山村贵阳恒大凯源旅游开发有限公司出让国有建设用地使用权。根据《不动产权利证书》，估价对象（分摊）出让国有建设用地使用权面积为117501平方米。根据《出让合同》[]，估价对象规划建筑面积为258502.2平方米。</v>
      </c>
    </row>
    <row r="8" spans="1:55" s="2913" customFormat="1">
      <c r="A8" s="2914" t="s">
        <v>2668</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2718</v>
      </c>
      <c r="B9" s="2915"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2669</v>
      </c>
      <c r="B10" s="2915" t="str">
        <f>'预评函-1'!A11</f>
        <v>2017年9月19日（评估专业人员勘察现场之日）</v>
      </c>
    </row>
    <row r="11" spans="1:55" s="2913" customFormat="1">
      <c r="A11" s="2914" t="s">
        <v>2675</v>
      </c>
      <c r="B11" s="2915" t="str">
        <f>'预评函-1'!A14</f>
        <v>根据《不动产权利证书》，本次评估估价对象证载（地类）用途为城镇住宅用地。</v>
      </c>
    </row>
    <row r="12" spans="1:55" s="2913" customFormat="1">
      <c r="A12" s="2914" t="s">
        <v>2676</v>
      </c>
      <c r="B12" s="2915" t="str">
        <f>'预评函-1'!A15</f>
        <v>本次评估设定用途即为证载用途住宅。</v>
      </c>
    </row>
    <row r="13" spans="1:55" s="2913" customFormat="1">
      <c r="A13" s="2914" t="s">
        <v>2677</v>
      </c>
      <c r="B13" s="2915" t="str">
        <f>'预评函-1'!A17</f>
        <v>根据委托估价方介绍及评估专业人员现场勘查，本次评估估价对象实际土地开发程度为红线外市政基础设施达“七通”（即通路、通电、通上水、、、、）、宗地红线内场地平整。</v>
      </c>
    </row>
    <row r="14" spans="1:55" s="2913" customFormat="1">
      <c r="A14" s="2914" t="s">
        <v>2678</v>
      </c>
      <c r="B14" s="2915" t="str">
        <f>'预评函-1'!A18</f>
        <v>本次评估设定土地开发程度为红线外市政基础设施达“七通”、宗地红线内场地平整。</v>
      </c>
    </row>
    <row r="15" spans="1:55" s="2913" customFormat="1">
      <c r="A15" s="2914" t="s">
        <v>2674</v>
      </c>
      <c r="B15" s="2915" t="str">
        <f>'预评函-1'!A20</f>
        <v>根据《不动产权利证书》，估价对象（分摊）出让国有建设用地使用权面积为117501平方米。根据《出让合同》[]，估价对象规划建筑面积为258502.2平方米。</v>
      </c>
    </row>
    <row r="16" spans="1:55" s="2913" customFormat="1">
      <c r="A16" s="2914" t="s">
        <v>2679</v>
      </c>
      <c r="B16" s="2915" t="str">
        <f>'预评函-1'!A22</f>
        <v>本次估价对象为出让国有建设用地使用权，《不动产权利证书》证载土地终止日期为住宅2087年5月18日、商业2057年5月18日。截至估价期日，出让国有建设用地使用权剩余土地使用年限为。</v>
      </c>
    </row>
    <row r="17" spans="1:48" s="2913" customFormat="1">
      <c r="A17" s="2914" t="s">
        <v>2680</v>
      </c>
      <c r="B17" s="2915" t="str">
        <f>'预评函-1'!A23</f>
        <v>本次评估设定估价对象剩余土地使用年限为。</v>
      </c>
    </row>
    <row r="18" spans="1:48" s="2913" customFormat="1">
      <c r="A18" s="2914" t="s">
        <v>2681</v>
      </c>
      <c r="B18" s="2915" t="str">
        <f>'预评函-1'!A25</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19" spans="1:48" s="2913" customFormat="1">
      <c r="A19" s="2914" t="s">
        <v>2682</v>
      </c>
      <c r="B19" s="2915" t="str">
        <f>'预评函-1'!A26</f>
        <v>本次估价的“抵押价格”是指估价对象在估价期日的“出让国有建设用地使用权价格”扣减估价师于估价期日所知悉的法定优先受偿款后的余额。</v>
      </c>
    </row>
    <row r="20" spans="1:48" s="2913" customFormat="1">
      <c r="A20" s="2914" t="s">
        <v>2683</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2684</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2685</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2686</v>
      </c>
      <c r="B23" s="2915" t="str">
        <f>'预评函-2'!K2</f>
        <v>估价期日：2017年9月19日</v>
      </c>
    </row>
    <row r="24" spans="1:48">
      <c r="A24" s="2914" t="s">
        <v>2687</v>
      </c>
      <c r="B24" s="2915" t="str">
        <f>'预评函-2'!R2</f>
        <v>估价期日的国有建设用地使用权性质：出让</v>
      </c>
    </row>
    <row r="25" spans="1:48">
      <c r="A25" s="2914" t="s">
        <v>2743</v>
      </c>
      <c r="B25" s="2915" t="str">
        <f>'预评函-2'!A3</f>
        <v>估价期日土地使用者</v>
      </c>
    </row>
    <row r="26" spans="1:48">
      <c r="A26" s="2914" t="s">
        <v>2719</v>
      </c>
      <c r="B26" s="2915" t="str">
        <f>'预评函-2'!A5</f>
        <v>中信开发</v>
      </c>
    </row>
    <row r="27" spans="1:48">
      <c r="A27" s="2914" t="s">
        <v>2744</v>
      </c>
      <c r="B27" s="2915" t="str">
        <f>'预评函-2'!B3</f>
        <v>宗地编号/不动产单元号</v>
      </c>
    </row>
    <row r="28" spans="1:48">
      <c r="A28" s="2914" t="s">
        <v>2720</v>
      </c>
      <c r="B28" s="2915" t="str">
        <f>'预评函-2'!B5</f>
        <v>11111111111</v>
      </c>
    </row>
    <row r="29" spans="1:48">
      <c r="A29" s="2914" t="s">
        <v>2746</v>
      </c>
      <c r="B29" s="2915">
        <f>'预评函-2'!C5</f>
        <v>22</v>
      </c>
    </row>
    <row r="30" spans="1:48">
      <c r="A30" s="2914" t="s">
        <v>2747</v>
      </c>
      <c r="B30" s="2915" t="str">
        <f>'预评函-2'!D3</f>
        <v>土地使用证编号/不动产权证书编号</v>
      </c>
    </row>
    <row r="31" spans="1:48">
      <c r="A31" s="2914" t="s">
        <v>2721</v>
      </c>
      <c r="B31" s="2915" t="str">
        <f>'预评函-2'!D5</f>
        <v>京国土字第111号</v>
      </c>
    </row>
    <row r="32" spans="1:48">
      <c r="A32" s="2914" t="s">
        <v>2722</v>
      </c>
      <c r="B32" s="2915" t="str">
        <f>'预评函-2'!E5</f>
        <v>城镇住宅用地</v>
      </c>
      <c r="AV32" s="2919"/>
    </row>
    <row r="33" spans="1:2">
      <c r="A33" s="2914" t="s">
        <v>2723</v>
      </c>
      <c r="B33" s="2915">
        <f>'预评函-2'!F5</f>
        <v>258</v>
      </c>
    </row>
    <row r="34" spans="1:2">
      <c r="A34" s="2914" t="s">
        <v>2724</v>
      </c>
      <c r="B34" s="2915" t="str">
        <f>'预评函-2'!G5</f>
        <v>住宅</v>
      </c>
    </row>
    <row r="35" spans="1:2">
      <c r="A35" s="2914" t="s">
        <v>2725</v>
      </c>
      <c r="B35" s="2915">
        <f>'预评函-2'!H5</f>
        <v>1.5</v>
      </c>
    </row>
    <row r="36" spans="1:2">
      <c r="A36" s="2914" t="s">
        <v>2726</v>
      </c>
      <c r="B36" s="2915">
        <f>'预评函-2'!I5</f>
        <v>1.5</v>
      </c>
    </row>
    <row r="37" spans="1:2">
      <c r="A37" s="2914" t="s">
        <v>2727</v>
      </c>
      <c r="B37" s="2915">
        <f>'预评函-2'!J5</f>
        <v>1.5</v>
      </c>
    </row>
    <row r="38" spans="1:2">
      <c r="A38" s="2914" t="s">
        <v>2728</v>
      </c>
      <c r="B38" s="2915" t="str">
        <f>'预评函-2'!K5</f>
        <v>红线外七通、宗地红线内场地平整</v>
      </c>
    </row>
    <row r="39" spans="1:2">
      <c r="A39" s="2914" t="s">
        <v>2729</v>
      </c>
      <c r="B39" s="2915" t="str">
        <f>'预评函-2'!L5</f>
        <v>红线外七通、宗地红线内场地平整</v>
      </c>
    </row>
    <row r="40" spans="1:2">
      <c r="A40" s="2914" t="s">
        <v>2748</v>
      </c>
      <c r="B40" s="2915" t="str">
        <f>'预评函-2'!M3</f>
        <v>（剩余）土地使用年限/年</v>
      </c>
    </row>
    <row r="41" spans="1:2">
      <c r="A41" s="2914" t="s">
        <v>2730</v>
      </c>
      <c r="B41" s="2915">
        <f>'预评函-2'!M5</f>
        <v>0</v>
      </c>
    </row>
    <row r="42" spans="1:2">
      <c r="A42" s="2914" t="s">
        <v>2749</v>
      </c>
      <c r="B42" s="2915" t="str">
        <f>'预评函-2'!N3</f>
        <v>（分摊）出让国有建设用地使用权面积/㎡</v>
      </c>
    </row>
    <row r="43" spans="1:2">
      <c r="A43" s="2914" t="s">
        <v>2731</v>
      </c>
      <c r="B43" s="2915">
        <f>'预评函-2'!N5</f>
        <v>117501</v>
      </c>
    </row>
    <row r="44" spans="1:2">
      <c r="A44" s="2914" t="s">
        <v>2750</v>
      </c>
      <c r="B44" s="2915" t="str">
        <f>'预评函-2'!O3</f>
        <v>规划建筑面积/㎡</v>
      </c>
    </row>
    <row r="45" spans="1:2">
      <c r="A45" s="2914" t="s">
        <v>2732</v>
      </c>
      <c r="B45" s="2915">
        <f>'预评函-2'!O5</f>
        <v>258502.2</v>
      </c>
    </row>
    <row r="46" spans="1:2">
      <c r="A46" s="2914" t="s">
        <v>2733</v>
      </c>
      <c r="B46" s="2915">
        <f ca="1">'预评函-2'!P5</f>
        <v>3997</v>
      </c>
    </row>
    <row r="47" spans="1:2">
      <c r="A47" s="2914" t="s">
        <v>2734</v>
      </c>
      <c r="B47" s="2915">
        <f ca="1">'预评函-2'!Q5</f>
        <v>1817</v>
      </c>
    </row>
    <row r="48" spans="1:2">
      <c r="A48" s="2914" t="s">
        <v>2735</v>
      </c>
      <c r="B48" s="2915">
        <f ca="1">'预评函-2'!R5</f>
        <v>46970</v>
      </c>
    </row>
    <row r="49" spans="1:2">
      <c r="A49" s="2914" t="s">
        <v>2751</v>
      </c>
      <c r="B49" s="2915" t="str">
        <f>'预评函-2'!A6</f>
        <v>抵押价格</v>
      </c>
    </row>
    <row r="50" spans="1:2">
      <c r="A50" s="2914" t="s">
        <v>2736</v>
      </c>
      <c r="B50" s="2915">
        <f ca="1">'预评函-2'!R6</f>
        <v>46970</v>
      </c>
    </row>
    <row r="51" spans="1:2">
      <c r="A51" s="2914" t="s">
        <v>2752</v>
      </c>
      <c r="B51" s="2915" t="str">
        <f>'预评函-2'!A7</f>
        <v>——</v>
      </c>
    </row>
    <row r="52" spans="1:2">
      <c r="A52" s="2914" t="s">
        <v>2737</v>
      </c>
      <c r="B52" s="2915" t="str">
        <f>'预评函-2'!R7</f>
        <v>——</v>
      </c>
    </row>
    <row r="53" spans="1:2">
      <c r="A53" s="2914" t="s">
        <v>2753</v>
      </c>
      <c r="B53" s="2915">
        <f>'预评函-2'!A8</f>
        <v>0</v>
      </c>
    </row>
    <row r="54" spans="1:2" s="2929" customFormat="1" ht="15" thickBot="1">
      <c r="A54" s="2936" t="s">
        <v>2738</v>
      </c>
      <c r="B54" s="2937" t="str">
        <f>'预评函-2'!R8</f>
        <v>——</v>
      </c>
    </row>
    <row r="55" spans="1:2" ht="15" thickTop="1">
      <c r="A55" s="2925" t="s">
        <v>2688</v>
      </c>
      <c r="B55" s="2926" t="str">
        <f>'预评函-3'!A2</f>
        <v>1.权利限制：根据估价对象《不动产权证书》复印件、，截至估价期日，估价对象抵押权未见登记。未设定租赁等其他他项权利。</v>
      </c>
    </row>
    <row r="56" spans="1:2">
      <c r="A56" s="2914" t="s">
        <v>2689</v>
      </c>
      <c r="B56" s="2915" t="str">
        <f>'预评函-3'!A3</f>
        <v>2.基础设施条件：估价对象实际开发程度为红线外七通、宗地红线内场地平整；本次评估设定开发程度为红线外七通、宗地红线内场地平整。</v>
      </c>
    </row>
    <row r="57" spans="1:2">
      <c r="A57" s="2914" t="s">
        <v>2690</v>
      </c>
      <c r="B57" s="2915" t="str">
        <f>'预评函-3'!A4</f>
        <v>3.估价规划限制条件：详见《出让合同》[]。</v>
      </c>
    </row>
    <row r="58" spans="1:2" s="2929" customFormat="1" ht="15" thickBot="1">
      <c r="A58" s="2936" t="s">
        <v>2739</v>
      </c>
      <c r="B58" s="2937" t="str">
        <f>'预评函-3'!A5</f>
        <v>4.影响价格的其他限定条件：无。</v>
      </c>
    </row>
    <row r="59" spans="1:2" ht="15" thickTop="1">
      <c r="A59" s="2925" t="s">
        <v>2691</v>
      </c>
      <c r="B59" s="2926" t="str">
        <f>'预评函-3'!A8</f>
        <v>2.本《评估意见函》仅供金融机构进行内部审核使用，不做其他目的之用。</v>
      </c>
    </row>
    <row r="60" spans="1:2">
      <c r="A60" s="2914" t="s">
        <v>2692</v>
      </c>
      <c r="B60" s="2915" t="str">
        <f>'预评函-3'!A9</f>
        <v>3.抵押双方在办理抵押登记手续时，应使用本公司出具的正式《土地估价报告》，特提请报告使用者注意。</v>
      </c>
    </row>
    <row r="61" spans="1:2">
      <c r="A61" s="2914" t="s">
        <v>2694</v>
      </c>
      <c r="B61" s="2915" t="str">
        <f>'预评函-3'!A10</f>
        <v>4.估价师所知悉的法定优先受偿款情况为：</v>
      </c>
    </row>
    <row r="62" spans="1:2">
      <c r="A62" s="2914" t="s">
        <v>2693</v>
      </c>
      <c r="B62" s="2915" t="str">
        <f>'预评函-3'!A11</f>
        <v>（1）根据估价对象《不动产权证书》复印件、，截至估价期日，估价对象抵押权未见登记。</v>
      </c>
    </row>
    <row r="63" spans="1:2">
      <c r="A63" s="2914" t="s">
        <v>2695</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2696</v>
      </c>
      <c r="B64" s="2920" t="str">
        <f>'预评函-3'!A13</f>
        <v>（3）。</v>
      </c>
    </row>
    <row r="65" spans="1:2">
      <c r="A65" s="2914" t="s">
        <v>2697</v>
      </c>
      <c r="B65" s="2921" t="str">
        <f>'预评函-3'!A14</f>
        <v>综上，本次评估不存在估价师知悉的法定优先受偿款</v>
      </c>
    </row>
    <row r="66" spans="1:2">
      <c r="A66" s="2914" t="s">
        <v>2698</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2699</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2702</v>
      </c>
      <c r="B68" s="2940">
        <f>'预评函-3'!D30</f>
        <v>42558</v>
      </c>
    </row>
    <row r="69" spans="1:2" ht="15" thickTop="1">
      <c r="A69" s="2925" t="s">
        <v>2700</v>
      </c>
      <c r="B69" s="2926" t="str">
        <f>'预评函-3'!A20</f>
        <v>梁津</v>
      </c>
    </row>
    <row r="70" spans="1:2">
      <c r="A70" s="2914" t="s">
        <v>2700</v>
      </c>
      <c r="B70" s="2921">
        <f ca="1">'预评函-3'!B20</f>
        <v>96010014</v>
      </c>
    </row>
    <row r="71" spans="1:2">
      <c r="A71" s="2914" t="s">
        <v>2701</v>
      </c>
      <c r="B71" s="2915" t="str">
        <f>'预评函-3'!A21</f>
        <v>欧红伟</v>
      </c>
    </row>
    <row r="72" spans="1:2" s="2929" customFormat="1" ht="15" thickBot="1">
      <c r="A72" s="2936" t="s">
        <v>2701</v>
      </c>
      <c r="B72" s="2942">
        <f ca="1">'预评函-3'!B21</f>
        <v>2000110082</v>
      </c>
    </row>
    <row r="73" spans="1:2" ht="15" thickTop="1">
      <c r="A73" s="2925" t="s">
        <v>2760</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2761</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2762</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2797</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D40" sqref="D40"/>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1944</v>
      </c>
      <c r="B1" s="3233" t="str">
        <f>IF(B10="北京市","北京市",C10)&amp;F10&amp;B16&amp;"国有建设用地使用权"&amp;B9&amp;"预评估"</f>
        <v>贵州省花溪区贵筑社区尖山村贵阳恒大凯源旅游开发有限公司出让国有建设用地使用权抵押价格预评估</v>
      </c>
      <c r="C1" s="3234"/>
      <c r="D1" s="3234"/>
      <c r="E1" s="3234"/>
      <c r="F1" s="3234"/>
      <c r="G1" s="3234"/>
      <c r="H1" s="3234"/>
      <c r="I1" s="3235"/>
      <c r="J1" s="1696"/>
      <c r="K1" s="2487" t="str">
        <f>IF(B10="北京市","北京市",C10)&amp;F10&amp;B16&amp;"国有建设用地使用权"&amp;B9</f>
        <v>贵州省花溪区贵筑社区尖山村贵阳恒大凯源旅游开发有限公司出让国有建设用地使用权抵押价格</v>
      </c>
      <c r="L1" s="1725"/>
      <c r="M1" s="1725"/>
      <c r="N1" s="1696"/>
      <c r="O1" s="1697"/>
      <c r="P1" s="1696"/>
      <c r="Q1" s="1696"/>
      <c r="R1" s="1696"/>
      <c r="S1" s="1696"/>
      <c r="T1" s="1696"/>
      <c r="U1" s="1696"/>
    </row>
    <row r="2" spans="1:21">
      <c r="A2" s="1662" t="s">
        <v>1945</v>
      </c>
      <c r="B2" s="1844"/>
      <c r="D2" s="1696"/>
      <c r="E2" s="1696"/>
      <c r="F2" s="1696"/>
      <c r="G2" s="1696"/>
      <c r="H2" s="1662"/>
      <c r="I2" s="1697"/>
      <c r="J2" s="1696"/>
      <c r="K2" s="2487" t="str">
        <f>IF(B10="北京市","北京市",C10)&amp;F10&amp;B16&amp;"国有建设用地使用权"</f>
        <v>贵州省花溪区贵筑社区尖山村贵阳恒大凯源旅游开发有限公司出让国有建设用地使用权</v>
      </c>
      <c r="L2" s="1725"/>
      <c r="M2" s="1725"/>
      <c r="N2" s="1696"/>
      <c r="O2" s="1697"/>
      <c r="P2" s="1696"/>
      <c r="Q2" s="1696"/>
      <c r="R2" s="1696"/>
      <c r="S2" s="1696"/>
      <c r="T2" s="1696"/>
      <c r="U2" s="1696"/>
    </row>
    <row r="3" spans="1:21">
      <c r="A3" s="1663" t="s">
        <v>1946</v>
      </c>
      <c r="B3" s="1664">
        <v>42997</v>
      </c>
      <c r="C3" s="1665" t="s">
        <v>2000</v>
      </c>
      <c r="D3" s="1664">
        <f>B3</f>
        <v>42997</v>
      </c>
      <c r="E3" s="1696"/>
      <c r="F3" s="1696"/>
      <c r="G3" s="1696"/>
      <c r="H3" s="1662"/>
      <c r="I3" s="1697"/>
      <c r="J3" s="1696"/>
      <c r="K3" s="1776"/>
      <c r="L3" s="1725"/>
      <c r="M3" s="1725"/>
      <c r="N3" s="1696"/>
      <c r="O3" s="1697"/>
      <c r="P3" s="1696"/>
      <c r="Q3" s="1696"/>
      <c r="R3" s="1696"/>
      <c r="S3" s="1696"/>
      <c r="T3" s="1696"/>
      <c r="U3" s="1696"/>
    </row>
    <row r="4" spans="1:21" ht="15" thickBot="1">
      <c r="A4" s="1666" t="s">
        <v>1947</v>
      </c>
      <c r="B4" s="1845" t="s">
        <v>2966</v>
      </c>
      <c r="C4" s="1848">
        <f ca="1">SUMIF(土地估价师,B4,估价师及机构信息!E3:E24)</f>
        <v>96010014</v>
      </c>
      <c r="D4" s="1845" t="s">
        <v>2967</v>
      </c>
      <c r="E4" s="1848">
        <f ca="1">SUMIF(土地估价师,D4,估价师及机构信息!E3:E24)</f>
        <v>2000110082</v>
      </c>
      <c r="F4" s="1845" t="s">
        <v>955</v>
      </c>
      <c r="G4" s="1848">
        <f>SUMIF(土地估价师,F4,估价师及机构信息!E3:E24)</f>
        <v>0</v>
      </c>
      <c r="H4" s="1845" t="s">
        <v>955</v>
      </c>
      <c r="I4" s="1848">
        <f>SUMIF(土地估价师,H4,估价师及机构信息!E3:E24)</f>
        <v>0</v>
      </c>
      <c r="J4" s="1696"/>
      <c r="K4" s="2487" t="str">
        <f>IF(AND(F4="——",H4="——"),B4&amp;"、"&amp;D4,IF(AND(F4&lt;&gt;"——",H4="——"),B4&amp;"、"&amp;D4&amp;"、"&amp;F4,B4&amp;"、"&amp;D4&amp;"、"&amp;F4&amp;"、"&amp;H4))</f>
        <v>梁津、欧红伟</v>
      </c>
      <c r="L4" s="1725"/>
      <c r="M4" s="1725"/>
      <c r="N4" s="1696"/>
      <c r="O4" s="1697"/>
      <c r="P4" s="1696"/>
      <c r="Q4" s="1696"/>
      <c r="R4" s="1696"/>
      <c r="S4" s="1696"/>
      <c r="T4" s="1696"/>
      <c r="U4" s="1696"/>
    </row>
    <row r="5" spans="1:21" ht="15" thickTop="1">
      <c r="A5" s="1667" t="s">
        <v>1948</v>
      </c>
      <c r="B5" s="1791" t="s">
        <v>2969</v>
      </c>
      <c r="C5" s="1668"/>
      <c r="D5" s="1669"/>
      <c r="E5" s="1696"/>
      <c r="F5" s="1696"/>
      <c r="G5" s="1696"/>
      <c r="H5" s="1662"/>
      <c r="I5" s="1697"/>
      <c r="J5" s="1696"/>
      <c r="K5" s="1776"/>
      <c r="L5" s="1725"/>
      <c r="M5" s="1725"/>
      <c r="N5" s="1696"/>
      <c r="O5" s="1697"/>
      <c r="P5" s="1696"/>
      <c r="Q5" s="1696"/>
      <c r="R5" s="1696"/>
      <c r="S5" s="1696"/>
      <c r="T5" s="1696"/>
      <c r="U5" s="1696"/>
    </row>
    <row r="6" spans="1:21" ht="26.25">
      <c r="A6" s="1665" t="s">
        <v>2716</v>
      </c>
      <c r="B6" s="1791" t="s">
        <v>2968</v>
      </c>
      <c r="C6" s="1763"/>
      <c r="D6" s="1670"/>
      <c r="E6" s="1696"/>
      <c r="F6" s="1696"/>
      <c r="G6" s="1696"/>
      <c r="H6" s="1662"/>
      <c r="I6" s="1697"/>
      <c r="J6" s="1696"/>
      <c r="K6" s="3090" t="str">
        <f>IF(COUNTIF(B6,"*上海银行*"),"上海银行","")</f>
        <v/>
      </c>
      <c r="L6" s="1725"/>
      <c r="M6" s="1725"/>
      <c r="N6" s="1696"/>
      <c r="O6" s="1697"/>
      <c r="P6" s="1696"/>
      <c r="Q6" s="1696"/>
      <c r="R6" s="1696"/>
      <c r="S6" s="1696"/>
      <c r="T6" s="1696"/>
      <c r="U6" s="1696"/>
    </row>
    <row r="7" spans="1:21">
      <c r="A7" s="1671" t="s">
        <v>2717</v>
      </c>
      <c r="B7" s="1791" t="str">
        <f>B5</f>
        <v>贵阳恒大凯源旅游开发有限公司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1949</v>
      </c>
      <c r="B8" s="1672" t="s">
        <v>2970</v>
      </c>
      <c r="C8" s="1673"/>
      <c r="D8" s="3239" t="s">
        <v>1951</v>
      </c>
      <c r="E8" s="1846" t="s">
        <v>2971</v>
      </c>
      <c r="F8" s="1674"/>
      <c r="G8" s="1662"/>
      <c r="H8" s="1662"/>
      <c r="I8" s="1709"/>
      <c r="J8" s="1696"/>
      <c r="K8" s="1776"/>
      <c r="L8" s="1725"/>
      <c r="M8" s="1725"/>
      <c r="N8" s="1696"/>
      <c r="O8" s="1697"/>
      <c r="P8" s="1696"/>
      <c r="Q8" s="1696"/>
      <c r="R8" s="1696"/>
      <c r="S8" s="1696"/>
      <c r="T8" s="1696"/>
      <c r="U8" s="1696"/>
    </row>
    <row r="9" spans="1:21" ht="15" thickBot="1">
      <c r="A9" s="1675" t="s">
        <v>1950</v>
      </c>
      <c r="B9" s="1676" t="s">
        <v>2971</v>
      </c>
      <c r="C9" s="1677"/>
      <c r="D9" s="3240"/>
      <c r="E9" s="1676"/>
      <c r="F9" s="1749"/>
      <c r="G9" s="1744"/>
      <c r="H9" s="1744"/>
      <c r="I9" s="1745"/>
      <c r="J9" s="1696"/>
      <c r="K9" s="1776"/>
      <c r="L9" s="1725"/>
      <c r="M9" s="1725"/>
      <c r="N9" s="1696"/>
      <c r="O9" s="1697"/>
      <c r="P9" s="1696"/>
      <c r="Q9" s="1696"/>
      <c r="R9" s="1696"/>
      <c r="S9" s="1696"/>
      <c r="T9" s="1696"/>
      <c r="U9" s="1696"/>
    </row>
    <row r="10" spans="1:21" ht="15" thickTop="1">
      <c r="A10" s="1746" t="s">
        <v>2003</v>
      </c>
      <c r="B10" s="1721" t="s">
        <v>2972</v>
      </c>
      <c r="C10" s="1678" t="s">
        <v>2973</v>
      </c>
      <c r="D10" s="1669"/>
      <c r="E10" s="1679" t="s">
        <v>1953</v>
      </c>
      <c r="F10" s="1680" t="s">
        <v>2974</v>
      </c>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36" t="s">
        <v>2975</v>
      </c>
      <c r="C12" s="3237"/>
      <c r="D12" s="3238"/>
      <c r="E12" s="1701" t="s">
        <v>2065</v>
      </c>
      <c r="F12" s="3254" t="s">
        <v>2977</v>
      </c>
      <c r="G12" s="3255"/>
      <c r="H12" s="3255"/>
      <c r="I12" s="3256"/>
      <c r="J12" s="1696"/>
      <c r="K12" s="1776"/>
      <c r="L12" s="1725"/>
      <c r="M12" s="1725"/>
      <c r="N12" s="1696"/>
      <c r="O12" s="1697"/>
      <c r="P12" s="1696"/>
      <c r="Q12" s="1696"/>
      <c r="R12" s="1696"/>
      <c r="S12" s="1696"/>
      <c r="T12" s="1696"/>
      <c r="U12" s="1696"/>
    </row>
    <row r="13" spans="1:21">
      <c r="A13" s="1689" t="s">
        <v>2063</v>
      </c>
      <c r="B13" s="3236" t="s">
        <v>2978</v>
      </c>
      <c r="C13" s="3237"/>
      <c r="D13" s="3238"/>
      <c r="E13" s="1701" t="s">
        <v>2065</v>
      </c>
      <c r="F13" s="3254" t="str">
        <f>F12</f>
        <v>《不动产权利证书》</v>
      </c>
      <c r="G13" s="3255"/>
      <c r="H13" s="3255"/>
      <c r="I13" s="3256"/>
      <c r="J13" s="1696"/>
      <c r="K13" s="1776"/>
      <c r="L13" s="1725"/>
      <c r="M13" s="1725"/>
      <c r="N13" s="1696"/>
      <c r="O13" s="1697"/>
      <c r="P13" s="1696"/>
      <c r="Q13" s="1696"/>
      <c r="R13" s="1696"/>
      <c r="S13" s="1696"/>
      <c r="T13" s="1696"/>
      <c r="U13" s="1696"/>
    </row>
    <row r="14" spans="1:21">
      <c r="A14" s="1663" t="s">
        <v>2066</v>
      </c>
      <c r="B14" s="1701"/>
      <c r="C14" s="1847" t="s">
        <v>2979</v>
      </c>
      <c r="D14" s="1735" t="str">
        <f>IF(C14="不一致","是否符合证载地类范围","")</f>
        <v/>
      </c>
      <c r="E14" s="1701"/>
      <c r="F14" s="1792" t="s">
        <v>2980</v>
      </c>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28.5">
      <c r="A16" s="1682" t="s">
        <v>1954</v>
      </c>
      <c r="B16" s="1683" t="s">
        <v>2981</v>
      </c>
      <c r="C16" s="1701" t="s">
        <v>1955</v>
      </c>
      <c r="D16" s="2679" t="s">
        <v>1956</v>
      </c>
      <c r="E16" s="1724" t="s">
        <v>2982</v>
      </c>
      <c r="F16" s="1724"/>
      <c r="G16" s="1724"/>
      <c r="H16" s="1724"/>
      <c r="I16" s="1688" t="s">
        <v>1961</v>
      </c>
      <c r="J16" s="1696"/>
      <c r="K16" s="2488" t="str">
        <f>IF(D17="","",D16&amp;TEXT(D17,"yyyy年m月d日;;"))</f>
        <v>住宅2087年5月18日</v>
      </c>
      <c r="L16" s="1701" t="str">
        <f>IF(OR(K16="",M16=""),"","、")</f>
        <v>、</v>
      </c>
      <c r="M16" s="2488" t="str">
        <f>IF(E17="","",E16&amp;TEXT(E17,"yyyy年m月d日;;"))</f>
        <v>商业2057年5月18日</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
      </c>
      <c r="T16" s="1701" t="str">
        <f>IF(OR(S16="",U16=""),"","、")</f>
        <v/>
      </c>
      <c r="U16" s="2488" t="str">
        <f>IF(I17="","",I16&amp;TEXT(I17,"yyyy年m月d日;;"))</f>
        <v/>
      </c>
    </row>
    <row r="17" spans="1:21">
      <c r="A17" s="1765"/>
      <c r="B17" s="1684"/>
      <c r="C17" s="1685" t="s">
        <v>1962</v>
      </c>
      <c r="D17" s="1702">
        <v>68440</v>
      </c>
      <c r="E17" s="1702">
        <v>57483</v>
      </c>
      <c r="F17" s="1702"/>
      <c r="G17" s="1702"/>
      <c r="H17" s="1702"/>
      <c r="I17" s="1702"/>
      <c r="J17" s="1696"/>
      <c r="K17" s="2487" t="str">
        <f>CONCATENATE(K16,L16,M16,N16,O16,P16,Q16,R16,S16,T16,,U16)</f>
        <v>住宅2087年5月18日、商业2057年5月18日</v>
      </c>
      <c r="L17" s="1725"/>
      <c r="M17" s="1725"/>
      <c r="N17" s="1696"/>
      <c r="O17" s="1697"/>
      <c r="P17" s="1696"/>
      <c r="Q17" s="1696"/>
      <c r="R17" s="1696"/>
      <c r="S17" s="1696"/>
      <c r="T17" s="1696"/>
      <c r="U17" s="1696"/>
    </row>
    <row r="18" spans="1:21">
      <c r="A18" s="1765"/>
      <c r="B18" s="1684"/>
      <c r="C18" s="1685" t="s">
        <v>1963</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1964</v>
      </c>
      <c r="D19" s="1760">
        <f>IF(B16="出让",IF(D17="","",ROUNDDOWN(MIN((D17-$D$3)/365,D18),2)),D18)</f>
        <v>69.7</v>
      </c>
      <c r="E19" s="1687">
        <f>IF(B16="出让",IF(E17="","",ROUNDDOWN(MIN((E17-$D$3)/365,E18),2)),E18)</f>
        <v>39.68</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1"/>
      <c r="E20" s="3252"/>
      <c r="F20" s="3252"/>
      <c r="G20" s="3252"/>
      <c r="H20" s="3252"/>
      <c r="I20" s="3253"/>
      <c r="J20" s="1696"/>
      <c r="K20" s="1776"/>
      <c r="L20" s="1725"/>
      <c r="M20" s="1725"/>
      <c r="N20" s="1696"/>
      <c r="O20" s="1697"/>
      <c r="P20" s="1696"/>
      <c r="Q20" s="1696"/>
      <c r="R20" s="1696"/>
      <c r="S20" s="1696"/>
      <c r="T20" s="1696"/>
      <c r="U20" s="1696"/>
    </row>
    <row r="21" spans="1:21">
      <c r="A21" s="1765" t="s">
        <v>1965</v>
      </c>
      <c r="B21" s="1766" t="s">
        <v>1966</v>
      </c>
      <c r="C21" s="1761">
        <f>'数据-汇总表'!E3</f>
        <v>258502.2</v>
      </c>
      <c r="D21" s="1762" t="s">
        <v>1967</v>
      </c>
      <c r="E21" s="3241" t="s">
        <v>2983</v>
      </c>
      <c r="F21" s="3242"/>
      <c r="G21" s="3242"/>
      <c r="H21" s="3242"/>
      <c r="I21" s="3243"/>
      <c r="J21" s="1696"/>
      <c r="K21" s="1776"/>
      <c r="L21" s="1725"/>
      <c r="M21" s="1725"/>
      <c r="N21" s="1696"/>
      <c r="O21" s="1697"/>
      <c r="P21" s="1696"/>
      <c r="Q21" s="1696"/>
      <c r="R21" s="1696"/>
      <c r="S21" s="1696"/>
      <c r="T21" s="1696"/>
      <c r="U21" s="1696"/>
    </row>
    <row r="22" spans="1:21">
      <c r="A22" s="2670" t="s">
        <v>955</v>
      </c>
      <c r="B22" s="1663" t="s">
        <v>1968</v>
      </c>
      <c r="C22" s="1688">
        <f>'数据-汇总表'!D3</f>
        <v>117501</v>
      </c>
      <c r="D22" s="1689" t="s">
        <v>1967</v>
      </c>
      <c r="E22" s="3241" t="s">
        <v>2976</v>
      </c>
      <c r="F22" s="3242"/>
      <c r="G22" s="3242"/>
      <c r="H22" s="3242"/>
      <c r="I22" s="3243"/>
      <c r="J22" s="1696"/>
      <c r="K22" s="1776"/>
      <c r="L22" s="1725"/>
      <c r="M22" s="1725"/>
      <c r="N22" s="1696"/>
      <c r="O22" s="1697"/>
      <c r="P22" s="1696"/>
      <c r="Q22" s="1696"/>
      <c r="R22" s="1696"/>
      <c r="S22" s="1696"/>
      <c r="T22" s="1696"/>
      <c r="U22" s="1696"/>
    </row>
    <row r="23" spans="1:21" ht="43.5" thickBot="1">
      <c r="A23" s="1767" t="s">
        <v>1969</v>
      </c>
      <c r="B23" s="1703" t="s">
        <v>1970</v>
      </c>
      <c r="C23" s="1704" t="s">
        <v>2984</v>
      </c>
      <c r="D23" s="1705" t="s">
        <v>1971</v>
      </c>
      <c r="E23" s="1706" t="s">
        <v>2984</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44" t="s">
        <v>1973</v>
      </c>
      <c r="C24" s="3245"/>
      <c r="D24" s="3246" t="s">
        <v>1974</v>
      </c>
      <c r="E24" s="3247"/>
      <c r="F24" s="1710" t="s">
        <v>1975</v>
      </c>
      <c r="G24" s="1696"/>
      <c r="H24" s="1696"/>
      <c r="I24" s="1709"/>
      <c r="J24" s="1696"/>
      <c r="K24" s="3232" t="s">
        <v>1976</v>
      </c>
      <c r="L24" s="248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2329</v>
      </c>
      <c r="C25" s="1711" t="s">
        <v>2330</v>
      </c>
      <c r="D25" s="1712"/>
      <c r="E25" s="1713" t="s">
        <v>955</v>
      </c>
      <c r="F25" s="1714"/>
      <c r="G25" s="1696"/>
      <c r="H25" s="1696"/>
      <c r="I25" s="1709"/>
      <c r="J25" s="1696"/>
      <c r="K25" s="3232"/>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c r="C26" s="1711"/>
      <c r="D26" s="1662"/>
      <c r="E26" s="1662"/>
      <c r="F26" s="1690"/>
      <c r="G26" s="1696"/>
      <c r="H26" s="1696"/>
      <c r="I26" s="1709"/>
      <c r="J26" s="1696"/>
      <c r="K26" s="3232"/>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1977</v>
      </c>
      <c r="B27" s="1755" t="s">
        <v>1978</v>
      </c>
      <c r="C27" s="1715"/>
      <c r="D27" s="2684" t="s">
        <v>1978</v>
      </c>
      <c r="E27" s="1716"/>
      <c r="F27" s="1690"/>
      <c r="G27" s="1696"/>
      <c r="H27" s="1696"/>
      <c r="I27" s="1709"/>
      <c r="J27" s="1696"/>
      <c r="K27" s="1776"/>
      <c r="L27" s="1725"/>
      <c r="M27" s="1725"/>
      <c r="N27" s="1696"/>
      <c r="O27" s="1697"/>
      <c r="P27" s="1696"/>
      <c r="Q27" s="1696"/>
      <c r="R27" s="1696"/>
      <c r="S27" s="1696"/>
      <c r="T27" s="1696"/>
      <c r="U27" s="1696"/>
    </row>
    <row r="28" spans="1:21">
      <c r="A28" s="1758"/>
      <c r="B28" s="1755" t="s">
        <v>1979</v>
      </c>
      <c r="C28" s="1717"/>
      <c r="D28" s="2685" t="s">
        <v>1979</v>
      </c>
      <c r="E28" s="1718"/>
      <c r="F28" s="1690"/>
      <c r="G28" s="1696"/>
      <c r="H28" s="1696"/>
      <c r="I28" s="1709"/>
      <c r="J28" s="1696"/>
      <c r="K28" s="1776"/>
      <c r="L28" s="1725"/>
      <c r="M28" s="1725"/>
      <c r="N28" s="1696"/>
      <c r="O28" s="1697"/>
      <c r="P28" s="1696"/>
      <c r="Q28" s="1696"/>
      <c r="R28" s="1696"/>
      <c r="S28" s="1696"/>
      <c r="T28" s="1696"/>
      <c r="U28" s="1696"/>
    </row>
    <row r="29" spans="1:21">
      <c r="A29" s="1758"/>
      <c r="B29" s="1755" t="s">
        <v>1980</v>
      </c>
      <c r="C29" s="1717"/>
      <c r="D29" s="2685" t="s">
        <v>1980</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1981</v>
      </c>
      <c r="C30" s="1719"/>
      <c r="D30" s="2686" t="s">
        <v>1981</v>
      </c>
      <c r="E30" s="1720"/>
      <c r="F30" s="1691"/>
      <c r="G30" s="1744"/>
      <c r="H30" s="1744"/>
      <c r="I30" s="1745"/>
      <c r="J30" s="1696"/>
      <c r="K30" s="1776"/>
      <c r="L30" s="1725"/>
      <c r="M30" s="1725"/>
      <c r="N30" s="1696"/>
      <c r="O30" s="1697"/>
      <c r="P30" s="1696"/>
      <c r="Q30" s="1696"/>
      <c r="R30" s="1696"/>
      <c r="S30" s="1696"/>
      <c r="T30" s="1696"/>
      <c r="U30" s="1696"/>
    </row>
    <row r="31" spans="1:21" ht="15" thickTop="1">
      <c r="A31" s="3218" t="s">
        <v>2005</v>
      </c>
      <c r="B31" s="1766" t="s">
        <v>2006</v>
      </c>
      <c r="C31" s="3257" t="s">
        <v>2985</v>
      </c>
      <c r="D31" s="3258"/>
      <c r="E31" s="1696"/>
      <c r="F31" s="1696"/>
      <c r="G31" s="1696"/>
      <c r="H31" s="1696"/>
      <c r="I31" s="1709"/>
      <c r="J31" s="1696"/>
      <c r="K31" s="2490"/>
      <c r="L31" s="1696"/>
      <c r="M31" s="1696"/>
      <c r="N31" s="1696"/>
      <c r="O31" s="1696"/>
      <c r="P31" s="1696"/>
      <c r="Q31" s="1696"/>
      <c r="R31" s="1696"/>
      <c r="S31" s="1696"/>
      <c r="T31" s="1696"/>
      <c r="U31" s="1696"/>
    </row>
    <row r="32" spans="1:21">
      <c r="A32" s="3218"/>
      <c r="B32" s="1663" t="s">
        <v>2007</v>
      </c>
      <c r="C32" s="1721" t="s">
        <v>2986</v>
      </c>
      <c r="D32" s="1722"/>
      <c r="E32" s="1696"/>
      <c r="F32" s="1696"/>
      <c r="G32" s="1696"/>
      <c r="H32" s="1696"/>
      <c r="I32" s="1709"/>
      <c r="J32" s="1696"/>
      <c r="K32" s="2490"/>
      <c r="L32" s="1696"/>
      <c r="M32" s="1696"/>
      <c r="N32" s="1696"/>
      <c r="O32" s="1696"/>
      <c r="P32" s="1696"/>
      <c r="Q32" s="1696"/>
      <c r="R32" s="1696"/>
      <c r="S32" s="1696"/>
      <c r="T32" s="1696"/>
      <c r="U32" s="1696"/>
    </row>
    <row r="33" spans="1:21">
      <c r="A33" s="3218"/>
      <c r="B33" s="1663" t="s">
        <v>2008</v>
      </c>
      <c r="C33" s="1723" t="s">
        <v>2984</v>
      </c>
      <c r="D33" s="1840"/>
      <c r="E33" s="1696"/>
      <c r="F33" s="1696"/>
      <c r="G33" s="1696"/>
      <c r="H33" s="1696"/>
      <c r="I33" s="1709"/>
      <c r="J33" s="1696"/>
      <c r="K33" s="2490"/>
      <c r="L33" s="1696"/>
      <c r="M33" s="1696"/>
      <c r="N33" s="1696"/>
      <c r="O33" s="1696"/>
      <c r="P33" s="1696"/>
      <c r="Q33" s="1696"/>
      <c r="R33" s="1696"/>
      <c r="S33" s="1696"/>
      <c r="T33" s="1696"/>
      <c r="U33" s="1696"/>
    </row>
    <row r="34" spans="1:21">
      <c r="A34" s="3219"/>
      <c r="B34" s="1663" t="s">
        <v>2009</v>
      </c>
      <c r="C34" s="3220"/>
      <c r="D34" s="3221"/>
      <c r="E34" s="1696"/>
      <c r="F34" s="1696"/>
      <c r="G34" s="1696"/>
      <c r="H34" s="1696"/>
      <c r="I34" s="1709"/>
      <c r="J34" s="1696"/>
      <c r="K34" s="2490"/>
      <c r="L34" s="1696"/>
      <c r="M34" s="1696"/>
      <c r="N34" s="1696"/>
      <c r="O34" s="1696"/>
      <c r="P34" s="1696"/>
      <c r="Q34" s="1696"/>
      <c r="R34" s="1696"/>
      <c r="S34" s="1696"/>
      <c r="T34" s="1696"/>
      <c r="U34" s="1696"/>
    </row>
    <row r="35" spans="1:21">
      <c r="A35" s="3222" t="s">
        <v>850</v>
      </c>
      <c r="B35" s="1724" t="s">
        <v>2987</v>
      </c>
      <c r="C35" s="1778" t="str">
        <f>IF(B35="场地平整","——","具体情况：")</f>
        <v>——</v>
      </c>
      <c r="D35" s="3224"/>
      <c r="E35" s="3225"/>
      <c r="F35" s="3225"/>
      <c r="G35" s="3225"/>
      <c r="H35" s="3225"/>
      <c r="I35" s="3226"/>
      <c r="J35" s="1696"/>
      <c r="K35" s="1777"/>
      <c r="L35" s="1725"/>
      <c r="M35" s="1725"/>
      <c r="N35" s="1696"/>
      <c r="O35" s="1697"/>
      <c r="P35" s="1696"/>
      <c r="Q35" s="1696"/>
      <c r="R35" s="1696"/>
      <c r="S35" s="1696"/>
      <c r="T35" s="1696"/>
      <c r="U35" s="1696"/>
    </row>
    <row r="36" spans="1:21">
      <c r="A36" s="3218"/>
      <c r="B36" s="3227" t="s">
        <v>2058</v>
      </c>
      <c r="C36" s="3228"/>
      <c r="D36" s="1794" t="s">
        <v>2988</v>
      </c>
      <c r="E36" s="3229"/>
      <c r="F36" s="3229"/>
      <c r="G36" s="1689" t="str">
        <f>IF(B35="场地未平整","估价结果处理","")</f>
        <v/>
      </c>
      <c r="H36" s="3230"/>
      <c r="I36" s="3230"/>
      <c r="J36" s="1696"/>
      <c r="K36" s="1777"/>
      <c r="L36" s="1725"/>
      <c r="M36" s="1725"/>
      <c r="N36" s="1696"/>
      <c r="O36" s="1697"/>
      <c r="P36" s="1696"/>
      <c r="Q36" s="1696"/>
      <c r="R36" s="1696"/>
      <c r="S36" s="1696"/>
      <c r="T36" s="1696"/>
      <c r="U36" s="1696"/>
    </row>
    <row r="37" spans="1:21" ht="28.5">
      <c r="A37" s="3218"/>
      <c r="B37" s="3248"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18"/>
      <c r="B38" s="3249"/>
      <c r="C38" s="1671"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19"/>
      <c r="B39" s="3250"/>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1982</v>
      </c>
      <c r="B40" s="1692" t="s">
        <v>2989</v>
      </c>
      <c r="C40" s="1692" t="s">
        <v>2990</v>
      </c>
      <c r="D40" s="1692" t="s">
        <v>2991</v>
      </c>
      <c r="E40" s="1692"/>
      <c r="F40" s="1692"/>
      <c r="G40" s="1692"/>
      <c r="H40" s="1692"/>
      <c r="I40" s="1709"/>
      <c r="J40" s="1696"/>
      <c r="K40" s="1732">
        <f>COUNTIF(B40:H40,"——")</f>
        <v>0</v>
      </c>
      <c r="L40" s="1701" t="s">
        <v>1983</v>
      </c>
      <c r="M40" s="1698" t="s">
        <v>1984</v>
      </c>
      <c r="N40" s="1698" t="s">
        <v>1985</v>
      </c>
      <c r="O40" s="1698" t="s">
        <v>1986</v>
      </c>
      <c r="P40" s="1698" t="s">
        <v>1987</v>
      </c>
      <c r="Q40" s="1698" t="s">
        <v>1988</v>
      </c>
      <c r="R40" s="1698" t="s">
        <v>1989</v>
      </c>
      <c r="S40" s="3231" t="s">
        <v>1990</v>
      </c>
      <c r="T40" s="1733" t="str">
        <f>NUMBERSTRING(7-K40,1)&amp;"通"</f>
        <v>七通</v>
      </c>
      <c r="U40" s="1696"/>
    </row>
    <row r="41" spans="1:21">
      <c r="A41" s="1665"/>
      <c r="B41" s="3223" t="s">
        <v>1725</v>
      </c>
      <c r="C41" s="3223"/>
      <c r="D41" s="3223"/>
      <c r="E41" s="3223"/>
      <c r="F41" s="1734" t="str">
        <f>C10</f>
        <v>贵州省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31"/>
      <c r="T41" s="1735" t="str">
        <f>IF(T40="一通",L41,IF(T40="二通",M41,IF(T40="三通",N41,IF(T40="四通",O41,IF(T40="五通",P41,IF(T40="六通",Q41,R41))))))</f>
        <v>通路、通电、通上水、、、、</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7" customFormat="1" ht="21" thickBot="1">
      <c r="A45" s="3108" t="s">
        <v>2899</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7" sqref="K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7" t="s">
        <v>2337</v>
      </c>
      <c r="BA2" s="2368"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A13</f>
        <v>117501</v>
      </c>
      <c r="B3" s="22">
        <f>IF(C3="否",G5-AT5,G5)</f>
        <v>258502.2</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9"/>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258502.2</v>
      </c>
      <c r="H5" s="27">
        <f t="shared" ref="H5:AT5" si="0">SUM(H13:H641)</f>
        <v>258502.2</v>
      </c>
      <c r="I5" s="27">
        <f t="shared" si="0"/>
        <v>245577</v>
      </c>
      <c r="J5" s="27">
        <f t="shared" si="0"/>
        <v>0</v>
      </c>
      <c r="K5" s="27">
        <f t="shared" si="0"/>
        <v>12925.200000000012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258502.2</v>
      </c>
      <c r="BA5" s="29">
        <f t="shared" si="1"/>
        <v>258502.2</v>
      </c>
      <c r="BB5" s="29">
        <f t="shared" si="1"/>
        <v>245577</v>
      </c>
      <c r="BC5" s="29">
        <f t="shared" si="1"/>
        <v>12925.200000000012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117501</v>
      </c>
      <c r="F6" s="27" t="s">
        <v>1</v>
      </c>
      <c r="G6" s="27" t="s">
        <v>2</v>
      </c>
      <c r="H6" s="33">
        <f>SUMIF(I$12:AB$12,"总值",I6:AB6)</f>
        <v>117501</v>
      </c>
      <c r="I6" s="27">
        <f t="shared" ref="I6:AB6" si="2">ROUND($A$3*I5/$B$3,2)</f>
        <v>111625.91</v>
      </c>
      <c r="J6" s="27">
        <f t="shared" si="2"/>
        <v>0</v>
      </c>
      <c r="K6" s="27">
        <f t="shared" si="2"/>
        <v>5875.09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117501</v>
      </c>
      <c r="AZ6" s="27" t="s">
        <v>3</v>
      </c>
      <c r="BA6" s="27">
        <f>ROUND($AY$6*BA5/$AZ$5,2)</f>
        <v>117501</v>
      </c>
      <c r="BB6" s="27">
        <f>ROUND($AY$6*BB5/$AZ$5,2)</f>
        <v>111625.91</v>
      </c>
      <c r="BC6" s="27">
        <f t="shared" ref="BC6:BH6" si="4">ROUND($AY$6*BC5/$AZ$5,2)</f>
        <v>5875.09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4"/>
      <c r="AT8" s="2335"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3" t="s">
        <v>2999</v>
      </c>
      <c r="J9" s="51"/>
      <c r="K9" s="3053" t="s">
        <v>2999</v>
      </c>
      <c r="L9" s="51"/>
      <c r="M9" s="30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6"/>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3" t="s">
        <v>926</v>
      </c>
      <c r="J10" s="51"/>
      <c r="K10" s="3055" t="s">
        <v>2982</v>
      </c>
      <c r="L10" s="51"/>
      <c r="M10" s="3055"/>
      <c r="N10" s="51"/>
      <c r="O10" s="66"/>
      <c r="P10" s="51"/>
      <c r="Q10" s="66"/>
      <c r="R10" s="51"/>
      <c r="S10" s="66"/>
      <c r="T10" s="51"/>
      <c r="U10" s="66"/>
      <c r="V10" s="51"/>
      <c r="W10" s="66"/>
      <c r="X10" s="51"/>
      <c r="Y10" s="66"/>
      <c r="Z10" s="51"/>
      <c r="AA10" s="66"/>
      <c r="AB10" s="51"/>
      <c r="AC10" s="55"/>
      <c r="AD10" s="2321" t="s">
        <v>2321</v>
      </c>
      <c r="AE10" s="2343"/>
      <c r="AF10" s="2321" t="s">
        <v>2321</v>
      </c>
      <c r="AG10" s="2343"/>
      <c r="AH10" s="2321" t="s">
        <v>2322</v>
      </c>
      <c r="AI10" s="2343"/>
      <c r="AJ10" s="26" t="s">
        <v>2335</v>
      </c>
      <c r="AK10" s="2340"/>
      <c r="AL10" s="2321" t="s">
        <v>2323</v>
      </c>
      <c r="AM10" s="2322"/>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4" t="s">
        <v>3000</v>
      </c>
      <c r="J11" s="71"/>
      <c r="K11" s="3054" t="s">
        <v>3001</v>
      </c>
      <c r="L11" s="71"/>
      <c r="M11" s="70"/>
      <c r="N11" s="71"/>
      <c r="O11" s="70"/>
      <c r="P11" s="71"/>
      <c r="Q11" s="70"/>
      <c r="R11" s="71"/>
      <c r="S11" s="70"/>
      <c r="T11" s="71"/>
      <c r="U11" s="70"/>
      <c r="V11" s="71"/>
      <c r="W11" s="70"/>
      <c r="X11" s="71"/>
      <c r="Y11" s="70"/>
      <c r="Z11" s="71"/>
      <c r="AA11" s="70"/>
      <c r="AB11" s="71"/>
      <c r="AC11" s="55"/>
      <c r="AD11" s="2341" t="s">
        <v>2334</v>
      </c>
      <c r="AE11" s="1004"/>
      <c r="AF11" s="2341" t="s">
        <v>2334</v>
      </c>
      <c r="AG11" s="1004"/>
      <c r="AH11" s="2341" t="s">
        <v>2333</v>
      </c>
      <c r="AI11" s="2342"/>
      <c r="AJ11" s="2341" t="s">
        <v>2333</v>
      </c>
      <c r="AK11" s="2340"/>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c r="A13" s="3160">
        <f>21294+56700+39507</f>
        <v>117501</v>
      </c>
      <c r="B13" s="3160" t="s">
        <v>2998</v>
      </c>
      <c r="C13" s="3159">
        <f>A13*2.2</f>
        <v>258502.2</v>
      </c>
      <c r="D13" s="3050" t="s">
        <v>1682</v>
      </c>
      <c r="E13" s="27">
        <f t="shared" ref="E13:E20" si="6">IF($C$3="是",ROUND($A$3*G13/$B$3,2),ROUND($A$3*(G13-AT13)/$B$3,2))</f>
        <v>117501</v>
      </c>
      <c r="F13" s="81"/>
      <c r="G13" s="82">
        <f t="shared" ref="G13:G20" si="7">H13+AC13+AT13</f>
        <v>258502.2</v>
      </c>
      <c r="H13" s="33">
        <f t="shared" ref="H13:H20" si="8">SUMIF(I$12:AB$12,"总值",I13:AB13)</f>
        <v>258502.2</v>
      </c>
      <c r="I13" s="3052">
        <f>ROUND((C13-AD13)*0.95,0)</f>
        <v>245577</v>
      </c>
      <c r="J13" s="3052"/>
      <c r="K13" s="3052">
        <f>C13-I13</f>
        <v>12925.200000000012</v>
      </c>
      <c r="L13" s="3052"/>
      <c r="M13" s="3052"/>
      <c r="N13" s="83"/>
      <c r="O13" s="83"/>
      <c r="P13" s="83"/>
      <c r="Q13" s="83"/>
      <c r="R13" s="83"/>
      <c r="S13" s="83"/>
      <c r="T13" s="83"/>
      <c r="U13" s="83"/>
      <c r="V13" s="83"/>
      <c r="W13" s="83"/>
      <c r="X13" s="83"/>
      <c r="Y13" s="83"/>
      <c r="Z13" s="83"/>
      <c r="AA13" s="83"/>
      <c r="AB13" s="83"/>
      <c r="AC13" s="27">
        <f t="shared" ref="AC13:AC20" si="9">SUMIF(AD$12:AS$12,"总值",AD13:AS13)</f>
        <v>0</v>
      </c>
      <c r="AD13" s="3056">
        <v>0</v>
      </c>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117501</v>
      </c>
      <c r="AW13" s="17" t="str">
        <f t="shared" si="10"/>
        <v>0001499</v>
      </c>
      <c r="AX13" s="17">
        <f t="shared" si="10"/>
        <v>258502.2</v>
      </c>
      <c r="AY13" s="998">
        <f t="shared" ref="AY13:AY20" si="11">ROUND($AY$6*AZ13/$AZ$5,2)</f>
        <v>117501</v>
      </c>
      <c r="AZ13" s="27">
        <f t="shared" ref="AZ13:AZ20" si="12">BA13+BL13</f>
        <v>258502.2</v>
      </c>
      <c r="BA13" s="27">
        <f t="shared" ref="BA13:BA20" si="13">SUM(BB13:BK13)</f>
        <v>258502.2</v>
      </c>
      <c r="BB13" s="27">
        <f t="shared" ref="BB13:BB20" si="14">IF($D13="是",I13-J13,0)</f>
        <v>245577</v>
      </c>
      <c r="BC13" s="27">
        <f t="shared" ref="BC13:BC20" si="15">IF($D13="是",K13-L13,0)</f>
        <v>12925.200000000012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160">
        <f>117826+40858</f>
        <v>158684</v>
      </c>
      <c r="B14" s="3160" t="s">
        <v>2992</v>
      </c>
      <c r="C14" s="3051"/>
      <c r="D14" s="3050" t="s">
        <v>2984</v>
      </c>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158684</v>
      </c>
      <c r="AW14" s="17" t="str">
        <f t="shared" si="10"/>
        <v>0001685</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160">
        <f>84029+54253.1+39095.9</f>
        <v>177378</v>
      </c>
      <c r="B15" s="3160" t="s">
        <v>2993</v>
      </c>
      <c r="C15" s="3051"/>
      <c r="D15" s="3050" t="s">
        <v>2984</v>
      </c>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177378</v>
      </c>
      <c r="AW15" s="17" t="str">
        <f t="shared" si="10"/>
        <v>0002163</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160">
        <f>85895.5+844.5</f>
        <v>86740</v>
      </c>
      <c r="B16" s="3160" t="s">
        <v>2994</v>
      </c>
      <c r="C16" s="3051"/>
      <c r="D16" s="3050" t="s">
        <v>2984</v>
      </c>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86740</v>
      </c>
      <c r="AW16" s="17" t="str">
        <f t="shared" si="10"/>
        <v>0001688</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160">
        <v>76655</v>
      </c>
      <c r="B17" s="3160" t="s">
        <v>2995</v>
      </c>
      <c r="C17" s="3051"/>
      <c r="D17" s="3050" t="s">
        <v>2984</v>
      </c>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76655</v>
      </c>
      <c r="AW17" s="17" t="str">
        <f t="shared" si="10"/>
        <v>0001683</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60">
        <v>163026</v>
      </c>
      <c r="B18" s="3160" t="s">
        <v>2996</v>
      </c>
      <c r="C18" s="85"/>
      <c r="D18" s="3050" t="s">
        <v>2984</v>
      </c>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163026</v>
      </c>
      <c r="AW18" s="994" t="str">
        <f t="shared" si="10"/>
        <v>0002162</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160">
        <v>102374</v>
      </c>
      <c r="B19" s="3160" t="s">
        <v>2997</v>
      </c>
      <c r="C19" s="1398"/>
      <c r="D19" s="3050" t="s">
        <v>2984</v>
      </c>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102374</v>
      </c>
      <c r="AW19" s="994" t="str">
        <f t="shared" si="10"/>
        <v>0002167</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163">
        <f>SUM(A13:A19)</f>
        <v>882358</v>
      </c>
      <c r="B20" s="3161"/>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882358</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162"/>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162"/>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162"/>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0" t="s">
        <v>203</v>
      </c>
      <c r="B2" s="3270"/>
      <c r="C2" s="3270"/>
      <c r="D2" s="1978" t="s">
        <v>204</v>
      </c>
      <c r="E2" s="106" t="s">
        <v>205</v>
      </c>
      <c r="F2" s="1987"/>
      <c r="G2" s="1200"/>
      <c r="H2" s="1201"/>
      <c r="I2" s="1202" t="s">
        <v>860</v>
      </c>
      <c r="J2" s="1987"/>
      <c r="K2" s="1987"/>
      <c r="L2" s="1987"/>
    </row>
    <row r="3" spans="1:16" ht="15.75" thickBot="1">
      <c r="A3" s="3271" t="s">
        <v>206</v>
      </c>
      <c r="B3" s="3271"/>
      <c r="C3" s="3271"/>
      <c r="D3" s="107">
        <f>'数据-基础表'!AY6</f>
        <v>117501</v>
      </c>
      <c r="E3" s="107">
        <f>'数据-基础表'!AZ5</f>
        <v>258502.2</v>
      </c>
      <c r="F3" s="1987"/>
      <c r="G3" s="280" t="s">
        <v>861</v>
      </c>
      <c r="H3" s="275" t="s">
        <v>862</v>
      </c>
      <c r="I3" s="1979">
        <f>ROUND('数据-基础表'!B3/'数据-基础表'!A3,2)</f>
        <v>2.2000000000000002</v>
      </c>
      <c r="J3" s="1987"/>
      <c r="K3" s="1987"/>
      <c r="L3" s="1987"/>
    </row>
    <row r="4" spans="1:16" ht="15">
      <c r="A4" s="3272"/>
      <c r="B4" s="3273"/>
      <c r="C4" s="3274"/>
      <c r="D4" s="108" t="s">
        <v>204</v>
      </c>
      <c r="E4" s="109" t="s">
        <v>205</v>
      </c>
      <c r="F4" s="1987"/>
      <c r="G4" s="1203"/>
      <c r="H4" s="275" t="s">
        <v>863</v>
      </c>
      <c r="I4" s="1979">
        <f>ROUND(SUMIF('数据-基础表'!I9:AS9,"地上",'数据-基础表'!I5:AS5)/'数据-基础表'!A3,2)</f>
        <v>2.2000000000000002</v>
      </c>
      <c r="J4" s="1987"/>
      <c r="K4" s="1987"/>
      <c r="L4" s="1987"/>
    </row>
    <row r="5" spans="1:16">
      <c r="A5" s="110" t="s">
        <v>207</v>
      </c>
      <c r="B5" s="3275" t="s">
        <v>230</v>
      </c>
      <c r="C5" s="3275"/>
      <c r="D5" s="111">
        <f>ROUND($D$3*E5/$E$3,2)</f>
        <v>111625.91</v>
      </c>
      <c r="E5" s="112">
        <f>SUMIF('数据-基础表'!$11:$11,"住宅",'数据-基础表'!$5:$5)</f>
        <v>245577</v>
      </c>
      <c r="F5" s="1987"/>
      <c r="G5" s="280" t="s">
        <v>864</v>
      </c>
      <c r="H5" s="275" t="s">
        <v>862</v>
      </c>
      <c r="I5" s="1979">
        <f>ROUND(E31/D31,2)</f>
        <v>2.2000000000000002</v>
      </c>
      <c r="J5" s="1987"/>
      <c r="K5" s="1987"/>
      <c r="L5" s="1987"/>
    </row>
    <row r="6" spans="1:16" ht="15" thickBot="1">
      <c r="A6" s="113"/>
      <c r="B6" s="3275" t="s">
        <v>208</v>
      </c>
      <c r="C6" s="3275"/>
      <c r="D6" s="111">
        <f>ROUND($D$3*E6/$E$3,2)</f>
        <v>5875.09</v>
      </c>
      <c r="E6" s="112">
        <f>E3-E5</f>
        <v>12925.200000000012</v>
      </c>
      <c r="F6" s="1987"/>
      <c r="G6" s="1203"/>
      <c r="H6" s="275" t="s">
        <v>863</v>
      </c>
      <c r="I6" s="1979">
        <f>ROUND(F31/D31,2)</f>
        <v>2.2000000000000002</v>
      </c>
      <c r="J6" s="1987"/>
      <c r="K6" s="1987"/>
      <c r="L6" s="1987"/>
    </row>
    <row r="7" spans="1:16" ht="15">
      <c r="A7" s="3267"/>
      <c r="B7" s="3268"/>
      <c r="C7" s="3269"/>
      <c r="D7" s="108" t="s">
        <v>204</v>
      </c>
      <c r="E7" s="114" t="s">
        <v>231</v>
      </c>
      <c r="F7" s="1987"/>
      <c r="G7" s="1158" t="s">
        <v>1649</v>
      </c>
      <c r="H7" s="1159"/>
      <c r="I7" s="1849"/>
      <c r="J7" s="1987"/>
      <c r="K7" s="1987"/>
      <c r="L7" s="1987"/>
    </row>
    <row r="8" spans="1:16">
      <c r="A8" s="110" t="s">
        <v>209</v>
      </c>
      <c r="B8" s="115" t="s">
        <v>210</v>
      </c>
      <c r="C8" s="111" t="s">
        <v>211</v>
      </c>
      <c r="D8" s="111">
        <f t="shared" ref="D8:D15" si="0">ROUND($D$3*E8/$E$3,2)</f>
        <v>117501</v>
      </c>
      <c r="E8" s="116">
        <f>SUMIF('数据-基础表'!BB10:BK10,"地上",'数据-基础表'!BB5:BK5)</f>
        <v>258502.2</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117501</v>
      </c>
      <c r="E16" s="120">
        <f>SUM(E8:E15)</f>
        <v>258502.2</v>
      </c>
      <c r="F16" s="1987"/>
      <c r="G16" s="1989"/>
      <c r="H16" s="970" t="s">
        <v>219</v>
      </c>
      <c r="I16" s="971"/>
      <c r="J16" s="1987"/>
      <c r="K16" s="3261" t="s">
        <v>2573</v>
      </c>
      <c r="L16" s="3262"/>
      <c r="M16" s="3262"/>
      <c r="N16" s="3262"/>
      <c r="O16" s="3262"/>
      <c r="P16" s="3263"/>
    </row>
    <row r="17" spans="1:19" ht="15">
      <c r="A17" s="121" t="s">
        <v>216</v>
      </c>
      <c r="B17" s="122" t="s">
        <v>217</v>
      </c>
      <c r="C17" s="2305" t="s">
        <v>2317</v>
      </c>
      <c r="D17" s="108" t="s">
        <v>204</v>
      </c>
      <c r="E17" s="124" t="s">
        <v>205</v>
      </c>
      <c r="F17" s="125"/>
      <c r="G17" s="1369"/>
      <c r="H17" s="972" t="s">
        <v>218</v>
      </c>
      <c r="I17" s="973" t="s">
        <v>2316</v>
      </c>
      <c r="J17" s="1987"/>
      <c r="K17" s="3264" t="s">
        <v>2574</v>
      </c>
      <c r="L17" s="3265"/>
      <c r="M17" s="3266"/>
      <c r="N17" s="3264" t="s">
        <v>2575</v>
      </c>
      <c r="O17" s="3265"/>
      <c r="P17" s="3266"/>
      <c r="R17" s="2306" t="s">
        <v>2315</v>
      </c>
      <c r="S17" s="144"/>
    </row>
    <row r="18" spans="1:19" ht="15">
      <c r="A18" s="117"/>
      <c r="B18" s="128"/>
      <c r="C18" s="129"/>
      <c r="D18" s="2675"/>
      <c r="E18" s="130" t="s">
        <v>220</v>
      </c>
      <c r="F18" s="131" t="s">
        <v>221</v>
      </c>
      <c r="G18" s="1370" t="s">
        <v>222</v>
      </c>
      <c r="H18" s="974" t="s">
        <v>223</v>
      </c>
      <c r="I18" s="975" t="s">
        <v>224</v>
      </c>
      <c r="J18" s="1987"/>
      <c r="K18" s="2637" t="s">
        <v>2576</v>
      </c>
      <c r="L18" s="2638" t="s">
        <v>2577</v>
      </c>
      <c r="M18" s="2639" t="s">
        <v>2578</v>
      </c>
      <c r="N18" s="2637" t="s">
        <v>2576</v>
      </c>
      <c r="O18" s="2638" t="s">
        <v>2577</v>
      </c>
      <c r="P18" s="2639" t="s">
        <v>2578</v>
      </c>
      <c r="R18" s="2307" t="s">
        <v>2313</v>
      </c>
      <c r="S18" s="2307" t="s">
        <v>2314</v>
      </c>
    </row>
    <row r="19" spans="1:19">
      <c r="A19" s="133"/>
      <c r="B19" s="115" t="s">
        <v>225</v>
      </c>
      <c r="C19" s="3059" t="s">
        <v>3002</v>
      </c>
      <c r="D19" s="111">
        <f t="shared" ref="D19:D26" si="1">ROUND($D$3*E19/$E$3,2)</f>
        <v>111625.91</v>
      </c>
      <c r="E19" s="134">
        <f t="shared" ref="E19:E26" si="2">SUM(F19:G19)</f>
        <v>245577</v>
      </c>
      <c r="F19" s="135">
        <f>'数据-基础表'!I5</f>
        <v>245577</v>
      </c>
      <c r="G19" s="1371"/>
      <c r="H19" s="976">
        <f>ROUND($D$3*I19/$E$3,2)</f>
        <v>0</v>
      </c>
      <c r="I19" s="116">
        <f>IF($I$17="自定义",P19,M19)</f>
        <v>0</v>
      </c>
      <c r="J19" s="1987"/>
      <c r="K19" s="2640">
        <f t="shared" ref="K19:K26" si="3">ROUND(E$28*E19/E$27,2)</f>
        <v>0</v>
      </c>
      <c r="L19" s="275">
        <f t="shared" ref="L19:L26" si="4">ROUND(IF(COUNTIF(C19,"*住宅*")&gt;0,E$29*E19/E$32,0),2)</f>
        <v>0</v>
      </c>
      <c r="M19" s="2641">
        <f>K19+L19</f>
        <v>0</v>
      </c>
      <c r="N19" s="2642"/>
      <c r="O19" s="2643"/>
      <c r="P19" s="2644">
        <f>N19+O19</f>
        <v>0</v>
      </c>
      <c r="R19" s="275">
        <f t="shared" ref="R19:S26" si="5">D19+H19</f>
        <v>111625.91</v>
      </c>
      <c r="S19" s="2308">
        <f t="shared" si="5"/>
        <v>245577</v>
      </c>
    </row>
    <row r="20" spans="1:19">
      <c r="A20" s="138"/>
      <c r="B20" s="115" t="s">
        <v>226</v>
      </c>
      <c r="C20" s="3059" t="s">
        <v>3004</v>
      </c>
      <c r="D20" s="111">
        <f t="shared" si="1"/>
        <v>5875.09</v>
      </c>
      <c r="E20" s="134">
        <f t="shared" si="2"/>
        <v>12925.200000000012</v>
      </c>
      <c r="F20" s="135">
        <f>'数据-基础表'!K5</f>
        <v>12925.200000000012</v>
      </c>
      <c r="G20" s="1371"/>
      <c r="H20" s="976">
        <f t="shared" ref="H20:H26" si="6">ROUND($D$3*I20/$E$3,2)</f>
        <v>0</v>
      </c>
      <c r="I20" s="116">
        <f t="shared" ref="I20:I26" si="7">IF($I$17="自定义",P20,M20)</f>
        <v>0</v>
      </c>
      <c r="J20" s="1987"/>
      <c r="K20" s="2640">
        <f t="shared" si="3"/>
        <v>0</v>
      </c>
      <c r="L20" s="275">
        <f t="shared" si="4"/>
        <v>0</v>
      </c>
      <c r="M20" s="2641">
        <f t="shared" ref="M20:M26" si="8">K20+L20</f>
        <v>0</v>
      </c>
      <c r="N20" s="2642"/>
      <c r="O20" s="2643"/>
      <c r="P20" s="2644">
        <f t="shared" ref="P20:P26" si="9">N20+O20</f>
        <v>0</v>
      </c>
      <c r="R20" s="275">
        <f t="shared" si="5"/>
        <v>5875.09</v>
      </c>
      <c r="S20" s="2308">
        <f t="shared" si="5"/>
        <v>12925.200000000012</v>
      </c>
    </row>
    <row r="21" spans="1:19">
      <c r="A21" s="138"/>
      <c r="B21" s="115" t="s">
        <v>226</v>
      </c>
      <c r="C21" s="3059"/>
      <c r="D21" s="111">
        <f t="shared" si="1"/>
        <v>0</v>
      </c>
      <c r="E21" s="134">
        <f t="shared" si="2"/>
        <v>0</v>
      </c>
      <c r="F21" s="135"/>
      <c r="G21" s="1371"/>
      <c r="H21" s="976">
        <f t="shared" si="6"/>
        <v>0</v>
      </c>
      <c r="I21" s="116">
        <f t="shared" si="7"/>
        <v>0</v>
      </c>
      <c r="J21" s="1987"/>
      <c r="K21" s="2640">
        <f t="shared" si="3"/>
        <v>0</v>
      </c>
      <c r="L21" s="275">
        <f t="shared" si="4"/>
        <v>0</v>
      </c>
      <c r="M21" s="2641">
        <f t="shared" si="8"/>
        <v>0</v>
      </c>
      <c r="N21" s="2642"/>
      <c r="O21" s="2643"/>
      <c r="P21" s="2644">
        <f t="shared" si="9"/>
        <v>0</v>
      </c>
      <c r="R21" s="275">
        <f t="shared" si="5"/>
        <v>0</v>
      </c>
      <c r="S21" s="2308">
        <f t="shared" si="5"/>
        <v>0</v>
      </c>
    </row>
    <row r="22" spans="1:19">
      <c r="A22" s="138"/>
      <c r="B22" s="115" t="s">
        <v>226</v>
      </c>
      <c r="C22" s="1368"/>
      <c r="D22" s="111">
        <f t="shared" si="1"/>
        <v>0</v>
      </c>
      <c r="E22" s="134">
        <f t="shared" si="2"/>
        <v>0</v>
      </c>
      <c r="F22" s="140"/>
      <c r="G22" s="1372"/>
      <c r="H22" s="976">
        <f t="shared" si="6"/>
        <v>0</v>
      </c>
      <c r="I22" s="116">
        <f t="shared" si="7"/>
        <v>0</v>
      </c>
      <c r="J22" s="1987"/>
      <c r="K22" s="2640">
        <f t="shared" si="3"/>
        <v>0</v>
      </c>
      <c r="L22" s="275">
        <f t="shared" si="4"/>
        <v>0</v>
      </c>
      <c r="M22" s="2641">
        <f t="shared" si="8"/>
        <v>0</v>
      </c>
      <c r="N22" s="2642"/>
      <c r="O22" s="2643"/>
      <c r="P22" s="2644">
        <f t="shared" si="9"/>
        <v>0</v>
      </c>
      <c r="R22" s="275">
        <f t="shared" si="5"/>
        <v>0</v>
      </c>
      <c r="S22" s="2308">
        <f t="shared" si="5"/>
        <v>0</v>
      </c>
    </row>
    <row r="23" spans="1:19">
      <c r="A23" s="138"/>
      <c r="B23" s="115" t="s">
        <v>226</v>
      </c>
      <c r="C23" s="139"/>
      <c r="D23" s="111">
        <f>ROUND($D$3*E23/$E$3,2)</f>
        <v>0</v>
      </c>
      <c r="E23" s="134">
        <f>SUM(F23:G23)</f>
        <v>0</v>
      </c>
      <c r="F23" s="140"/>
      <c r="G23" s="1372"/>
      <c r="H23" s="976">
        <f>ROUND($D$3*I23/$E$3,2)</f>
        <v>0</v>
      </c>
      <c r="I23" s="116">
        <f t="shared" si="7"/>
        <v>0</v>
      </c>
      <c r="J23" s="1987"/>
      <c r="K23" s="2640">
        <f t="shared" si="3"/>
        <v>0</v>
      </c>
      <c r="L23" s="275">
        <f t="shared" si="4"/>
        <v>0</v>
      </c>
      <c r="M23" s="2641">
        <f t="shared" si="8"/>
        <v>0</v>
      </c>
      <c r="N23" s="2642"/>
      <c r="O23" s="2643"/>
      <c r="P23" s="2644">
        <f t="shared" si="9"/>
        <v>0</v>
      </c>
      <c r="R23" s="275">
        <f t="shared" si="5"/>
        <v>0</v>
      </c>
      <c r="S23" s="2308">
        <f t="shared" si="5"/>
        <v>0</v>
      </c>
    </row>
    <row r="24" spans="1:19">
      <c r="A24" s="138"/>
      <c r="B24" s="115" t="s">
        <v>226</v>
      </c>
      <c r="C24" s="139"/>
      <c r="D24" s="111">
        <f>ROUND($D$3*E24/$E$3,2)</f>
        <v>0</v>
      </c>
      <c r="E24" s="134">
        <f>SUM(F24:G24)</f>
        <v>0</v>
      </c>
      <c r="F24" s="140"/>
      <c r="G24" s="1372"/>
      <c r="H24" s="976">
        <f>ROUND($D$3*I24/$E$3,2)</f>
        <v>0</v>
      </c>
      <c r="I24" s="116">
        <f t="shared" si="7"/>
        <v>0</v>
      </c>
      <c r="J24" s="1987"/>
      <c r="K24" s="2640">
        <f t="shared" si="3"/>
        <v>0</v>
      </c>
      <c r="L24" s="275">
        <f t="shared" si="4"/>
        <v>0</v>
      </c>
      <c r="M24" s="2641">
        <f t="shared" si="8"/>
        <v>0</v>
      </c>
      <c r="N24" s="2642"/>
      <c r="O24" s="2643"/>
      <c r="P24" s="2644">
        <f t="shared" si="9"/>
        <v>0</v>
      </c>
      <c r="R24" s="275">
        <f t="shared" si="5"/>
        <v>0</v>
      </c>
      <c r="S24" s="2308">
        <f t="shared" si="5"/>
        <v>0</v>
      </c>
    </row>
    <row r="25" spans="1:19">
      <c r="A25" s="138"/>
      <c r="B25" s="115" t="s">
        <v>226</v>
      </c>
      <c r="C25" s="139"/>
      <c r="D25" s="111">
        <f t="shared" si="1"/>
        <v>0</v>
      </c>
      <c r="E25" s="134">
        <f t="shared" si="2"/>
        <v>0</v>
      </c>
      <c r="F25" s="140"/>
      <c r="G25" s="1372"/>
      <c r="H25" s="110">
        <f t="shared" si="6"/>
        <v>0</v>
      </c>
      <c r="I25" s="116">
        <f t="shared" si="7"/>
        <v>0</v>
      </c>
      <c r="J25" s="1987"/>
      <c r="K25" s="2640">
        <f t="shared" si="3"/>
        <v>0</v>
      </c>
      <c r="L25" s="275">
        <f t="shared" si="4"/>
        <v>0</v>
      </c>
      <c r="M25" s="2641">
        <f t="shared" si="8"/>
        <v>0</v>
      </c>
      <c r="N25" s="2642"/>
      <c r="O25" s="2643"/>
      <c r="P25" s="2644">
        <f t="shared" si="9"/>
        <v>0</v>
      </c>
      <c r="R25" s="275">
        <f t="shared" si="5"/>
        <v>0</v>
      </c>
      <c r="S25" s="2308">
        <f t="shared" si="5"/>
        <v>0</v>
      </c>
    </row>
    <row r="26" spans="1:19">
      <c r="A26" s="138"/>
      <c r="B26" s="115" t="s">
        <v>226</v>
      </c>
      <c r="C26" s="142"/>
      <c r="D26" s="111">
        <f t="shared" si="1"/>
        <v>0</v>
      </c>
      <c r="E26" s="134">
        <f t="shared" si="2"/>
        <v>0</v>
      </c>
      <c r="F26" s="140"/>
      <c r="G26" s="1372"/>
      <c r="H26" s="110">
        <f t="shared" si="6"/>
        <v>0</v>
      </c>
      <c r="I26" s="116">
        <f t="shared" si="7"/>
        <v>0</v>
      </c>
      <c r="J26" s="1987"/>
      <c r="K26" s="2645">
        <f t="shared" si="3"/>
        <v>0</v>
      </c>
      <c r="L26" s="280">
        <f t="shared" si="4"/>
        <v>0</v>
      </c>
      <c r="M26" s="146">
        <f t="shared" si="8"/>
        <v>0</v>
      </c>
      <c r="N26" s="2646"/>
      <c r="O26" s="2647"/>
      <c r="P26" s="2648">
        <f t="shared" si="9"/>
        <v>0</v>
      </c>
      <c r="R26" s="275">
        <f t="shared" si="5"/>
        <v>0</v>
      </c>
      <c r="S26" s="2308">
        <f t="shared" si="5"/>
        <v>0</v>
      </c>
    </row>
    <row r="27" spans="1:19" ht="15.75" thickBot="1">
      <c r="A27" s="138"/>
      <c r="B27" s="111"/>
      <c r="C27" s="127" t="s">
        <v>215</v>
      </c>
      <c r="D27" s="134">
        <f>SUM(D19:D26)</f>
        <v>117501</v>
      </c>
      <c r="E27" s="143">
        <f>IF(SUM(E19:E26)='数据-基础表'!BA5,SUM(E19:E26),IF(F27="地上面积有误","面积有误","地下面积有误"))</f>
        <v>258502.2</v>
      </c>
      <c r="F27" s="134">
        <f>IF(SUM(F19:F26)=E8,SUM(F19:F26),"地上面积有误")</f>
        <v>258502.2</v>
      </c>
      <c r="G27" s="112">
        <f>SUM(G19:G26)</f>
        <v>0</v>
      </c>
      <c r="H27" s="977">
        <f>SUM(H19:H26)</f>
        <v>0</v>
      </c>
      <c r="I27" s="978">
        <f>SUM(I19:I26)</f>
        <v>0</v>
      </c>
      <c r="J27" s="1987"/>
      <c r="K27" s="2649">
        <f>SUM(K19:K26)</f>
        <v>0</v>
      </c>
      <c r="L27" s="2650">
        <f>SUM(L19:L26)</f>
        <v>0</v>
      </c>
      <c r="M27" s="2651">
        <f>SUM(M19:M26)</f>
        <v>0</v>
      </c>
      <c r="N27" s="2649">
        <f t="shared" ref="N27:O27" si="10">SUM(N19:N26)</f>
        <v>0</v>
      </c>
      <c r="O27" s="2650">
        <f t="shared" si="10"/>
        <v>0</v>
      </c>
      <c r="P27" s="2652">
        <f>SUM(P19:P26)</f>
        <v>0</v>
      </c>
      <c r="R27" s="2312">
        <f>IF(SUM(R19:R26)=$D$3,SUM(R19:R26),SUM(R19:R26)&amp;"误差"&amp;ROUND(SUM(R19:R26)-$D$3,2))</f>
        <v>117501</v>
      </c>
      <c r="S27" s="275">
        <f>IF(SUM(S19:S26)=$E$3,SUM(S19:S26),SUM(S19:S26)&amp;"误差"&amp;ROUND(SUM(S19:S26)-E3,2))</f>
        <v>258502.2</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7" t="s">
        <v>2326</v>
      </c>
      <c r="D31" s="1375">
        <f>D27+D30</f>
        <v>117501</v>
      </c>
      <c r="E31" s="1375">
        <f>E27+E30</f>
        <v>258502.2</v>
      </c>
      <c r="F31" s="1376">
        <f>F27+F30</f>
        <v>258502.2</v>
      </c>
      <c r="G31" s="1377">
        <f>G27+G30</f>
        <v>0</v>
      </c>
      <c r="H31" s="1987"/>
      <c r="I31" s="1987"/>
      <c r="J31" s="1987"/>
      <c r="K31" s="1987"/>
      <c r="L31" s="1987"/>
    </row>
    <row r="32" spans="1:19">
      <c r="A32" s="1987"/>
      <c r="B32" s="2370" t="s">
        <v>2325</v>
      </c>
      <c r="C32" s="2680"/>
      <c r="D32" s="1203"/>
      <c r="E32" s="1203">
        <f>SUMIF(C19:C26,"*住宅*",E19:E26)</f>
        <v>245577</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18" sqref="U1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5">
        <f>项目基本情况!D3</f>
        <v>42997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1"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2838</v>
      </c>
      <c r="O5" s="163" t="s">
        <v>246</v>
      </c>
      <c r="P5" s="165" t="s">
        <v>247</v>
      </c>
      <c r="Q5" s="166" t="s">
        <v>248</v>
      </c>
      <c r="R5" s="167" t="s">
        <v>249</v>
      </c>
      <c r="S5" s="2653" t="s">
        <v>2579</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2327</v>
      </c>
      <c r="AI5" s="171" t="s">
        <v>2296</v>
      </c>
      <c r="AJ5" s="171" t="s">
        <v>258</v>
      </c>
      <c r="AK5" s="159" t="s">
        <v>259</v>
      </c>
      <c r="AL5" s="159" t="s">
        <v>260</v>
      </c>
      <c r="AM5" s="172" t="s">
        <v>261</v>
      </c>
      <c r="AN5" s="2423"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9" t="str">
        <f>'数据-汇总表'!C19</f>
        <v>普通住宅</v>
      </c>
      <c r="B6" s="2344" t="str">
        <f>IF(A6=0,"","经营性")</f>
        <v>经营性</v>
      </c>
      <c r="C6" s="173" t="s">
        <v>926</v>
      </c>
      <c r="D6" s="2315">
        <f>SUMIF(项目基本情况!D$15:I$15,C6,项目基本情况!D$18:I$18)</f>
        <v>70</v>
      </c>
      <c r="E6" s="2316">
        <f>IF(B6="","",SUMIF(项目基本情况!D$15:I$15,C6,项目基本情况!D$17:I$17))</f>
        <v>68440</v>
      </c>
      <c r="F6" s="174">
        <f>SUMIF(项目基本情况!D$15:I$15,C6,项目基本情况!D$19:I$19)</f>
        <v>69.7</v>
      </c>
      <c r="G6" s="175">
        <f>IF(ISERROR(ROUND(POWER(1+H6,D6-F6)*(POWER(1+H6,F6)-1)/(POWER(1+H6,D6)-1),3)),0,ROUND(POWER(1+H6,D6-F6)*(POWER(1+H6,F6)-1)/(POWER(1+H6,D6)-1),3))</f>
        <v>0.999</v>
      </c>
      <c r="H6" s="3060">
        <v>4.4999999999999998E-2</v>
      </c>
      <c r="I6" s="3060">
        <v>0.05</v>
      </c>
      <c r="J6" s="176"/>
      <c r="K6" s="179">
        <f>SUMIF('数据-汇总表'!C$19:C$33,'数据-取费表'!A6,'数据-汇总表'!E$19:E$33)</f>
        <v>245577</v>
      </c>
      <c r="L6" s="3061">
        <v>1500</v>
      </c>
      <c r="M6" s="177">
        <f t="shared" ref="M6:M14" si="0">ROUND(K6*L6/10000,0)</f>
        <v>36837</v>
      </c>
      <c r="N6" s="3062">
        <v>0</v>
      </c>
      <c r="O6" s="177">
        <f>IF($N$5="成新度","——",ROUND(M6*N6,0))</f>
        <v>0</v>
      </c>
      <c r="P6" s="178">
        <f>IF($N$5="成新度","——",M6-O6)</f>
        <v>36837</v>
      </c>
      <c r="Q6" s="3063">
        <v>0.1</v>
      </c>
      <c r="R6" s="179">
        <f>SUMIF('数据-汇总表'!C$19:C$33,A6,'数据-汇总表'!R$19:R$33)</f>
        <v>111625.91</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4">
        <f ca="1">IF(AN6="",0,SUMIF(INDIRECT("'"&amp;AN6&amp;"'"&amp;"!E:E"),$AE$5,INDIRECT("'"&amp;AN6&amp;"'"&amp;"!F:F")))</f>
        <v>0</v>
      </c>
      <c r="AF6" s="141"/>
      <c r="AG6" s="1215">
        <f>IF(AF6="",0,AE6-AF6)</f>
        <v>0</v>
      </c>
      <c r="AH6" s="141"/>
      <c r="AI6" s="187"/>
      <c r="AJ6" s="188"/>
      <c r="AK6" s="189"/>
      <c r="AL6" s="190"/>
      <c r="AM6" s="3074"/>
      <c r="AN6" s="2424"/>
      <c r="AO6" s="2003"/>
      <c r="AP6" s="1206">
        <f>ROUND(1-1/(1+H6)^F6,3)</f>
        <v>0.95299999999999996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9" t="str">
        <f>'数据-汇总表'!C20</f>
        <v>配套商业</v>
      </c>
      <c r="B7" s="2344" t="str">
        <f t="shared" ref="B7:B13" si="1">IF(A7=0,"","经营性")</f>
        <v>经营性</v>
      </c>
      <c r="C7" s="173" t="s">
        <v>2982</v>
      </c>
      <c r="D7" s="2315">
        <f>SUMIF(项目基本情况!D$15:I$15,C7,项目基本情况!D$18:I$18)</f>
        <v>40</v>
      </c>
      <c r="E7" s="2316">
        <f>IF(B7="","",SUMIF(项目基本情况!D$15:I$15,C7,项目基本情况!D$17:I$17))</f>
        <v>57483</v>
      </c>
      <c r="F7" s="174">
        <f>SUMIF(项目基本情况!D$15:I$15,C7,项目基本情况!D$19:I$19)</f>
        <v>39.68</v>
      </c>
      <c r="G7" s="175">
        <f t="shared" ref="G7:G11" si="2">IF(ISERROR(ROUND(POWER(1+H7,D7-F7)*(POWER(1+H7,F7)-1)/(POWER(1+H7,D7)-1),3)),0,ROUND(POWER(1+H7,D7-F7)*(POWER(1+H7,F7)-1)/(POWER(1+H7,D7)-1),3))</f>
        <v>0.997</v>
      </c>
      <c r="H7" s="3060">
        <f>H6</f>
        <v>4.4999999999999998E-2</v>
      </c>
      <c r="I7" s="3060">
        <v>5.5E-2</v>
      </c>
      <c r="J7" s="176"/>
      <c r="K7" s="179">
        <f>SUMIF('数据-汇总表'!C$19:C$33,'数据-取费表'!A7,'数据-汇总表'!E$19:E$33)</f>
        <v>12925.200000000012</v>
      </c>
      <c r="L7" s="3061">
        <v>2000</v>
      </c>
      <c r="M7" s="177">
        <f t="shared" si="0"/>
        <v>2585</v>
      </c>
      <c r="N7" s="3062">
        <f>N6</f>
        <v>0</v>
      </c>
      <c r="O7" s="177">
        <f t="shared" ref="O7:O14" si="3">IF($N$5="成新度","——",ROUND(M7*N7,0))</f>
        <v>0</v>
      </c>
      <c r="P7" s="178">
        <f t="shared" ref="P7:P14" si="4">IF($N$5="成新度","——",M7-O7)</f>
        <v>2585</v>
      </c>
      <c r="Q7" s="3063">
        <v>0.15</v>
      </c>
      <c r="R7" s="179">
        <f>SUMIF('数据-汇总表'!C$19:C$33,A7,'数据-汇总表'!R$19:R$33)</f>
        <v>5875.09</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v>1.5</v>
      </c>
      <c r="V7" s="181">
        <v>0.02</v>
      </c>
      <c r="W7" s="181">
        <v>0.15</v>
      </c>
      <c r="X7" s="2328"/>
      <c r="Y7" s="182">
        <v>1</v>
      </c>
      <c r="Z7" s="183"/>
      <c r="AA7" s="176"/>
      <c r="AB7" s="176"/>
      <c r="AC7" s="2331"/>
      <c r="AD7" s="184"/>
      <c r="AE7" s="974">
        <f t="shared" ref="AE7:AE13" ca="1" si="6">IF(AN7="",0,SUMIF(INDIRECT("'"&amp;AN7&amp;"'"&amp;"!E:E"),$AE$5,INDIRECT("'"&amp;AN7&amp;"'"&amp;"!F:F")))</f>
        <v>39.68</v>
      </c>
      <c r="AF7" s="141"/>
      <c r="AG7" s="1215">
        <f t="shared" ref="AG7:AG13" si="7">IF(AF7="",0,AE7-AF7)</f>
        <v>0</v>
      </c>
      <c r="AH7" s="141"/>
      <c r="AI7" s="187">
        <v>365</v>
      </c>
      <c r="AJ7" s="188"/>
      <c r="AK7" s="189">
        <v>1.4999999999999999E-2</v>
      </c>
      <c r="AL7" s="190">
        <v>1.5E-3</v>
      </c>
      <c r="AM7" s="2422">
        <v>0.01</v>
      </c>
      <c r="AN7" s="2424" t="s">
        <v>3005</v>
      </c>
      <c r="AO7" s="2003"/>
      <c r="AP7" s="1206">
        <f t="shared" ref="AP7:AP13" si="8">ROUND(1-1/(1+H7)^F7,3)</f>
        <v>0.82599999999999996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9">
        <f>'数据-汇总表'!C21</f>
        <v>0</v>
      </c>
      <c r="B8" s="2344" t="str">
        <f t="shared" si="1"/>
        <v/>
      </c>
      <c r="C8" s="173"/>
      <c r="D8" s="2315">
        <f>SUMIF(项目基本情况!D$15:I$15,C8,项目基本情况!D$18:I$18)</f>
        <v>0</v>
      </c>
      <c r="E8" s="2316" t="str">
        <f>IF(B8="","",SUMIF(项目基本情况!D$15:I$15,C8,项目基本情况!D$17:I$17))</f>
        <v/>
      </c>
      <c r="F8" s="174">
        <f>SUMIF(项目基本情况!D$15:I$15,C8,项目基本情况!D$19:I$19)</f>
        <v>0</v>
      </c>
      <c r="G8" s="175">
        <f t="shared" si="2"/>
        <v>0</v>
      </c>
      <c r="H8" s="3060"/>
      <c r="I8" s="3060"/>
      <c r="J8" s="176"/>
      <c r="K8" s="179">
        <f>SUMIF('数据-汇总表'!C$19:C$33,'数据-取费表'!A8,'数据-汇总表'!E$19:E$33)</f>
        <v>0</v>
      </c>
      <c r="L8" s="3061"/>
      <c r="M8" s="177">
        <f>ROUND(K8*L8/10000,0)</f>
        <v>0</v>
      </c>
      <c r="N8" s="3062"/>
      <c r="O8" s="177">
        <f t="shared" si="3"/>
        <v>0</v>
      </c>
      <c r="P8" s="178">
        <f t="shared" si="4"/>
        <v>0</v>
      </c>
      <c r="Q8" s="3063"/>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4">
        <f t="shared" ca="1" si="6"/>
        <v>0</v>
      </c>
      <c r="AF8" s="141"/>
      <c r="AG8" s="1215">
        <f t="shared" si="7"/>
        <v>0</v>
      </c>
      <c r="AH8" s="141"/>
      <c r="AI8" s="187"/>
      <c r="AJ8" s="188"/>
      <c r="AK8" s="189"/>
      <c r="AL8" s="190"/>
      <c r="AM8" s="2422"/>
      <c r="AN8" s="2424"/>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4">
        <f t="shared" ca="1" si="6"/>
        <v>0</v>
      </c>
      <c r="AF9" s="141"/>
      <c r="AG9" s="1215">
        <f t="shared" si="7"/>
        <v>0</v>
      </c>
      <c r="AH9" s="141"/>
      <c r="AI9" s="187"/>
      <c r="AJ9" s="188"/>
      <c r="AK9" s="189"/>
      <c r="AL9" s="190"/>
      <c r="AM9" s="2422"/>
      <c r="AN9" s="2424"/>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4">
        <f t="shared" ca="1" si="6"/>
        <v>0</v>
      </c>
      <c r="AF10" s="141"/>
      <c r="AG10" s="1215">
        <f t="shared" si="7"/>
        <v>0</v>
      </c>
      <c r="AH10" s="141"/>
      <c r="AI10" s="187"/>
      <c r="AJ10" s="188"/>
      <c r="AK10" s="189"/>
      <c r="AL10" s="190"/>
      <c r="AM10" s="2422"/>
      <c r="AN10" s="2424"/>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4">
        <f t="shared" ca="1" si="6"/>
        <v>0</v>
      </c>
      <c r="AF11" s="141"/>
      <c r="AG11" s="1215">
        <f t="shared" si="7"/>
        <v>0</v>
      </c>
      <c r="AH11" s="141"/>
      <c r="AI11" s="187"/>
      <c r="AJ11" s="188"/>
      <c r="AK11" s="196"/>
      <c r="AL11" s="197"/>
      <c r="AM11" s="1820"/>
      <c r="AN11" s="2424"/>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4">
        <f t="shared" ca="1" si="6"/>
        <v>0</v>
      </c>
      <c r="AF12" s="141"/>
      <c r="AG12" s="1215">
        <f t="shared" si="7"/>
        <v>0</v>
      </c>
      <c r="AH12" s="141"/>
      <c r="AI12" s="187"/>
      <c r="AJ12" s="188"/>
      <c r="AK12" s="196"/>
      <c r="AL12" s="197"/>
      <c r="AM12" s="1820"/>
      <c r="AN12" s="2424"/>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4">
        <f t="shared" ca="1" si="6"/>
        <v>0</v>
      </c>
      <c r="AF13" s="141"/>
      <c r="AG13" s="1215">
        <f t="shared" si="7"/>
        <v>0</v>
      </c>
      <c r="AH13" s="141"/>
      <c r="AI13" s="187"/>
      <c r="AJ13" s="188"/>
      <c r="AK13" s="189"/>
      <c r="AL13" s="190"/>
      <c r="AM13" s="2422"/>
      <c r="AN13" s="2424"/>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10" t="s">
        <v>2318</v>
      </c>
      <c r="B14" s="2313" t="s">
        <v>1683</v>
      </c>
      <c r="C14" s="2314" t="s">
        <v>2318</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6"/>
      <c r="V14" s="2327"/>
      <c r="W14" s="2327"/>
      <c r="X14" s="2328"/>
      <c r="Y14" s="2329"/>
      <c r="Z14" s="136"/>
      <c r="AA14" s="2330"/>
      <c r="AB14" s="2330"/>
      <c r="AC14" s="2331"/>
      <c r="AD14" s="2328"/>
      <c r="AE14" s="974"/>
      <c r="AF14" s="2303"/>
      <c r="AG14" s="1215"/>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9" t="s">
        <v>2320</v>
      </c>
      <c r="B15" s="2313" t="s">
        <v>1683</v>
      </c>
      <c r="C15" s="2314" t="s">
        <v>2319</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6"/>
      <c r="V15" s="2327"/>
      <c r="W15" s="2327"/>
      <c r="X15" s="2328"/>
      <c r="Y15" s="2329"/>
      <c r="Z15" s="136"/>
      <c r="AA15" s="2330"/>
      <c r="AB15" s="2330"/>
      <c r="AC15" s="2331"/>
      <c r="AD15" s="2328"/>
      <c r="AE15" s="974"/>
      <c r="AF15" s="2303"/>
      <c r="AG15" s="1215"/>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258502.2</v>
      </c>
      <c r="L16" s="206">
        <f>ROUND(M16*10000/SUM(K6:K14),0)</f>
        <v>1525</v>
      </c>
      <c r="M16" s="206">
        <f>SUM(M6:M14)</f>
        <v>39422</v>
      </c>
      <c r="N16" s="207">
        <f>ROUND(SUMPRODUCT(M6:M14,N6:N14)/M16,3)</f>
        <v>0</v>
      </c>
      <c r="O16" s="206">
        <f>SUM(O6:O14)</f>
        <v>0</v>
      </c>
      <c r="P16" s="206">
        <f>SUM(P6:P14)</f>
        <v>39422</v>
      </c>
      <c r="Q16" s="208">
        <f>ROUND(SUMPRODUCT(Q6:Q13,K6:K13)/SUMPRODUCT((Q6:Q13&gt;0)*(K6:K13)),2)</f>
        <v>0.1</v>
      </c>
      <c r="R16" s="2318">
        <f>SUM(R6:R13)</f>
        <v>117501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0.94699999999999995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71"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2342</v>
      </c>
      <c r="B27" s="227">
        <v>50</v>
      </c>
      <c r="C27" s="2374"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2343</v>
      </c>
      <c r="B28" s="229">
        <f>B27</f>
        <v>50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2341</v>
      </c>
      <c r="B29" s="232"/>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1">
        <v>200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2">
        <v>0.05</v>
      </c>
      <c r="C33" s="2372"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2" t="s">
        <v>2901</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2903</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2"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2462</v>
      </c>
      <c r="B39" s="803">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2463</v>
      </c>
      <c r="B40" s="2513">
        <f ca="1">存贷款利率!E2</f>
        <v>4.7500000000000001E-2</v>
      </c>
      <c r="C40" s="2372"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3">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72"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9"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10"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10"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1411</v>
      </c>
      <c r="C53" s="3111" t="s">
        <v>2911</v>
      </c>
      <c r="D53" s="3112"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4" t="s">
        <v>2913</v>
      </c>
      <c r="B54" s="186"/>
      <c r="C54" s="1997">
        <v>30</v>
      </c>
      <c r="D54" s="3113"/>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4" t="s">
        <v>2914</v>
      </c>
      <c r="B55" s="186"/>
      <c r="C55" s="1997">
        <v>24</v>
      </c>
      <c r="D55" s="3113"/>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4" t="s">
        <v>2915</v>
      </c>
      <c r="B56" s="186"/>
      <c r="C56" s="1997">
        <v>18</v>
      </c>
      <c r="D56" s="3113"/>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4" t="s">
        <v>2916</v>
      </c>
      <c r="B57" s="186"/>
      <c r="C57" s="1997">
        <v>12</v>
      </c>
      <c r="D57" s="3113"/>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4" t="s">
        <v>2917</v>
      </c>
      <c r="B58" s="186">
        <v>3</v>
      </c>
      <c r="C58" s="1997">
        <v>3</v>
      </c>
      <c r="D58" s="3113"/>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4" t="s">
        <v>2918</v>
      </c>
      <c r="B59" s="186"/>
      <c r="C59" s="1997">
        <v>1.5</v>
      </c>
      <c r="D59" s="3113"/>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4"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4"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4"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5"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6" t="s">
        <v>1667</v>
      </c>
      <c r="B1" s="3277"/>
      <c r="C1" s="3277"/>
      <c r="D1" s="3277"/>
      <c r="E1" s="3277"/>
      <c r="F1" s="3277"/>
      <c r="G1" s="3277"/>
      <c r="H1" s="2005"/>
      <c r="I1" s="2006"/>
      <c r="J1" s="2007"/>
      <c r="K1" s="2005"/>
      <c r="L1" s="2006"/>
      <c r="M1" s="2007"/>
      <c r="N1" s="2005"/>
      <c r="O1" s="2006"/>
      <c r="P1" s="2007"/>
      <c r="Q1" s="2008"/>
      <c r="R1" s="2009"/>
    </row>
    <row r="2" spans="1:18" ht="14.25" thickBot="1">
      <c r="A2" s="1223"/>
      <c r="B2" s="1224"/>
      <c r="C2" s="1225" t="s">
        <v>1668</v>
      </c>
      <c r="D2" s="1226"/>
      <c r="E2" s="1227"/>
      <c r="F2" s="1228"/>
      <c r="G2" s="1225" t="s">
        <v>1669</v>
      </c>
      <c r="H2" s="2011"/>
      <c r="I2" s="2011"/>
      <c r="J2" s="2011"/>
      <c r="K2" s="2011"/>
      <c r="L2" s="2011"/>
      <c r="M2" s="2011"/>
      <c r="N2" s="2011"/>
      <c r="O2" s="2011"/>
      <c r="P2" s="2011"/>
      <c r="Q2" s="2011"/>
      <c r="R2" s="2011"/>
    </row>
    <row r="3" spans="1:18" ht="42.75">
      <c r="A3" s="1229" t="s">
        <v>1670</v>
      </c>
      <c r="B3" s="1230" t="s">
        <v>1657</v>
      </c>
      <c r="C3" s="3164" t="s">
        <v>3007</v>
      </c>
      <c r="D3" s="2012"/>
      <c r="E3" s="1231" t="s">
        <v>1670</v>
      </c>
      <c r="F3" s="1232" t="s">
        <v>1658</v>
      </c>
      <c r="G3" s="3119" t="s">
        <v>2927</v>
      </c>
      <c r="H3" s="2011"/>
      <c r="I3" s="2011"/>
      <c r="J3" s="2011"/>
      <c r="K3" s="2011"/>
      <c r="L3" s="2011"/>
      <c r="M3" s="2011"/>
      <c r="N3" s="2011"/>
      <c r="O3" s="2011"/>
      <c r="P3" s="2011"/>
      <c r="Q3" s="2011"/>
      <c r="R3" s="2011"/>
    </row>
    <row r="4" spans="1:18" ht="40.5">
      <c r="A4" s="1231"/>
      <c r="B4" s="1233" t="s">
        <v>1671</v>
      </c>
      <c r="C4" s="3165" t="s">
        <v>3008</v>
      </c>
      <c r="D4" s="2012"/>
      <c r="E4" s="1234"/>
      <c r="F4" s="1235" t="s">
        <v>1672</v>
      </c>
      <c r="G4" s="3117" t="s">
        <v>2924</v>
      </c>
      <c r="H4" s="2011"/>
      <c r="I4" s="2011"/>
      <c r="J4" s="2011"/>
      <c r="K4" s="2011"/>
      <c r="L4" s="2011"/>
      <c r="M4" s="2011"/>
      <c r="N4" s="2011"/>
      <c r="O4" s="2011"/>
      <c r="P4" s="2011"/>
      <c r="Q4" s="2011"/>
      <c r="R4" s="2011"/>
    </row>
    <row r="5" spans="1:18" ht="27">
      <c r="A5" s="1231"/>
      <c r="B5" s="1233" t="s">
        <v>1673</v>
      </c>
      <c r="C5" s="3116"/>
      <c r="D5" s="2012"/>
      <c r="E5" s="1234"/>
      <c r="F5" s="1233" t="s">
        <v>2553</v>
      </c>
      <c r="G5" s="3117" t="s">
        <v>2925</v>
      </c>
      <c r="H5" s="2011"/>
      <c r="I5" s="2011"/>
      <c r="J5" s="2011"/>
      <c r="K5" s="2011"/>
      <c r="L5" s="2011"/>
      <c r="M5" s="2011"/>
      <c r="N5" s="2011"/>
      <c r="O5" s="2011"/>
      <c r="P5" s="2011"/>
      <c r="Q5" s="2011"/>
      <c r="R5" s="2011"/>
    </row>
    <row r="6" spans="1:18" ht="27">
      <c r="A6" s="1231"/>
      <c r="B6" s="1233" t="s">
        <v>1659</v>
      </c>
      <c r="C6" s="3166" t="s">
        <v>3008</v>
      </c>
      <c r="D6" s="2012"/>
      <c r="E6" s="1234"/>
      <c r="F6" s="1233" t="s">
        <v>2554</v>
      </c>
      <c r="G6" s="3117" t="s">
        <v>2923</v>
      </c>
      <c r="H6" s="2011"/>
      <c r="I6" s="2011"/>
      <c r="J6" s="2011"/>
      <c r="K6" s="2011"/>
      <c r="L6" s="2011"/>
      <c r="M6" s="2011"/>
      <c r="N6" s="2011"/>
      <c r="O6" s="2011"/>
      <c r="P6" s="2011"/>
      <c r="Q6" s="2011"/>
      <c r="R6" s="2011"/>
    </row>
    <row r="7" spans="1:18" ht="41.25" thickBot="1">
      <c r="A7" s="1231"/>
      <c r="B7" s="1233" t="s">
        <v>2553</v>
      </c>
      <c r="C7" s="3166" t="s">
        <v>3008</v>
      </c>
      <c r="D7" s="2013"/>
      <c r="E7" s="1236"/>
      <c r="F7" s="1237" t="s">
        <v>1674</v>
      </c>
      <c r="G7" s="3120" t="s">
        <v>2926</v>
      </c>
      <c r="H7" s="2011"/>
      <c r="I7" s="2011"/>
      <c r="J7" s="2011"/>
      <c r="K7" s="2011"/>
      <c r="L7" s="2011"/>
      <c r="M7" s="2011"/>
      <c r="N7" s="2011"/>
      <c r="O7" s="2011"/>
      <c r="P7" s="2011"/>
      <c r="Q7" s="2011"/>
      <c r="R7" s="2011"/>
    </row>
    <row r="8" spans="1:18">
      <c r="A8" s="1231"/>
      <c r="B8" s="1233" t="s">
        <v>2554</v>
      </c>
      <c r="C8" s="3166" t="s">
        <v>3010</v>
      </c>
      <c r="D8" s="2013"/>
      <c r="E8" s="2013"/>
      <c r="F8" s="1556"/>
      <c r="G8" s="1556"/>
      <c r="H8" s="2011"/>
      <c r="I8" s="2011"/>
      <c r="J8" s="2011"/>
      <c r="K8" s="2011"/>
      <c r="L8" s="2011"/>
      <c r="M8" s="2011"/>
      <c r="N8" s="2011"/>
      <c r="O8" s="2011"/>
      <c r="P8" s="2011"/>
      <c r="Q8" s="2011"/>
      <c r="R8" s="2011"/>
    </row>
    <row r="9" spans="1:18">
      <c r="A9" s="1231"/>
      <c r="B9" s="1233" t="s">
        <v>1660</v>
      </c>
      <c r="C9" s="3165" t="s">
        <v>3008</v>
      </c>
      <c r="D9" s="2012"/>
      <c r="E9" s="2013"/>
      <c r="F9" s="1556"/>
      <c r="G9" s="1556"/>
      <c r="H9" s="2011"/>
      <c r="I9" s="2011"/>
      <c r="J9" s="2011"/>
      <c r="K9" s="2011"/>
      <c r="L9" s="2011"/>
      <c r="M9" s="2011"/>
      <c r="N9" s="2011"/>
      <c r="O9" s="2011"/>
      <c r="P9" s="2011"/>
      <c r="Q9" s="2011"/>
      <c r="R9" s="2011"/>
    </row>
    <row r="10" spans="1:18" s="2019" customFormat="1" ht="15" thickBot="1">
      <c r="A10" s="1238"/>
      <c r="B10" s="1239" t="s">
        <v>1675</v>
      </c>
      <c r="C10" s="3118"/>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1676</v>
      </c>
      <c r="B13" s="2610"/>
      <c r="C13" s="2610"/>
      <c r="D13" s="1226"/>
      <c r="E13" s="2610"/>
      <c r="F13" s="2610"/>
      <c r="G13" s="2610"/>
    </row>
    <row r="14" spans="1:18" ht="14.25" thickBot="1">
      <c r="A14" s="1240"/>
      <c r="B14" s="1241"/>
      <c r="C14" s="1242" t="s">
        <v>1668</v>
      </c>
      <c r="D14" s="2012"/>
      <c r="E14" s="1243"/>
      <c r="F14" s="1243"/>
      <c r="G14" s="1225" t="s">
        <v>1669</v>
      </c>
    </row>
    <row r="15" spans="1:18" ht="40.5">
      <c r="A15" s="2620" t="s">
        <v>1661</v>
      </c>
      <c r="B15" s="1244" t="s">
        <v>1657</v>
      </c>
      <c r="C15" s="1245" t="str">
        <f>C3</f>
        <v>一般</v>
      </c>
      <c r="D15" s="2012"/>
      <c r="E15" s="2617" t="s">
        <v>1662</v>
      </c>
      <c r="F15" s="1244" t="s">
        <v>1677</v>
      </c>
      <c r="G15" s="1246" t="str">
        <f>G3</f>
        <v>估价对象位于XX开发区，园区建设成熟度XX，产业集聚程度XX</v>
      </c>
    </row>
    <row r="16" spans="1:18" ht="40.5">
      <c r="A16" s="2621"/>
      <c r="B16" s="1247" t="s">
        <v>1671</v>
      </c>
      <c r="C16" s="1248" t="str">
        <f>C4</f>
        <v>一般</v>
      </c>
      <c r="D16" s="2012"/>
      <c r="E16" s="2618"/>
      <c r="F16" s="1249" t="s">
        <v>1672</v>
      </c>
      <c r="G16" s="1007" t="str">
        <f>G4</f>
        <v>估价对象周边道路状况、公共交通通达情况、停车便捷程度，综合评价交通便捷度较好</v>
      </c>
    </row>
    <row r="17" spans="1:7" ht="14.25">
      <c r="A17" s="2621"/>
      <c r="B17" s="1247" t="s">
        <v>1673</v>
      </c>
      <c r="C17" s="1248">
        <f>C5</f>
        <v>0</v>
      </c>
      <c r="D17" s="2013"/>
      <c r="E17" s="2618"/>
      <c r="F17" s="1249" t="s">
        <v>1678</v>
      </c>
      <c r="G17" s="2830"/>
    </row>
    <row r="18" spans="1:7" ht="40.5">
      <c r="A18" s="2621"/>
      <c r="B18" s="1249" t="s">
        <v>1659</v>
      </c>
      <c r="C18" s="1007" t="str">
        <f>C6</f>
        <v>一般</v>
      </c>
      <c r="D18" s="2013"/>
      <c r="E18" s="2618"/>
      <c r="F18" s="1249" t="s">
        <v>1674</v>
      </c>
      <c r="G18" s="1007" t="str">
        <f>G7</f>
        <v>该园区内是否有污染型企业，绿化情况，卫生条件，整体环境状况判断</v>
      </c>
    </row>
    <row r="19" spans="1:7" ht="27">
      <c r="A19" s="2621"/>
      <c r="B19" s="1249" t="s">
        <v>1663</v>
      </c>
      <c r="C19" s="3167" t="s">
        <v>3012</v>
      </c>
      <c r="D19" s="2012"/>
      <c r="E19" s="2618"/>
      <c r="F19" s="1233" t="s">
        <v>2553</v>
      </c>
      <c r="G19" s="1007" t="str">
        <f>G5</f>
        <v>估价对象所在区域公共配套设施齐备情况</v>
      </c>
    </row>
    <row r="20" spans="1:7" ht="27">
      <c r="A20" s="2621"/>
      <c r="B20" s="1249" t="s">
        <v>1664</v>
      </c>
      <c r="C20" s="1248" t="str">
        <f>C9</f>
        <v>一般</v>
      </c>
      <c r="D20" s="2013"/>
      <c r="E20" s="2618"/>
      <c r="F20" s="1233" t="s">
        <v>2554</v>
      </c>
      <c r="G20" s="1007" t="str">
        <f>G6</f>
        <v>估价对象所在区域基础设施水平</v>
      </c>
    </row>
    <row r="21" spans="1:7" ht="14.25">
      <c r="A21" s="2621"/>
      <c r="B21" s="1233" t="s">
        <v>2553</v>
      </c>
      <c r="C21" s="1007" t="str">
        <f>C7</f>
        <v>一般</v>
      </c>
      <c r="D21" s="2012"/>
      <c r="E21" s="2618"/>
      <c r="F21" s="1249" t="s">
        <v>1665</v>
      </c>
      <c r="G21" s="3121"/>
    </row>
    <row r="22" spans="1:7" ht="14.25">
      <c r="A22" s="2621"/>
      <c r="B22" s="1233" t="s">
        <v>2554</v>
      </c>
      <c r="C22" s="1007" t="str">
        <f>C8</f>
        <v>六通</v>
      </c>
      <c r="D22" s="2012"/>
      <c r="E22" s="2618"/>
      <c r="F22" s="1249" t="s">
        <v>1675</v>
      </c>
      <c r="G22" s="2830"/>
    </row>
    <row r="23" spans="1:7" ht="15" thickBot="1">
      <c r="A23" s="2621"/>
      <c r="B23" s="1249" t="s">
        <v>1665</v>
      </c>
      <c r="C23" s="3121" t="s">
        <v>1665</v>
      </c>
      <c r="E23" s="2619"/>
      <c r="F23" s="1250" t="s">
        <v>1679</v>
      </c>
      <c r="G23" s="3122"/>
    </row>
    <row r="24" spans="1:7" ht="14.25" thickBot="1">
      <c r="A24" s="2622"/>
      <c r="B24" s="1250" t="s">
        <v>1666</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0" t="s">
        <v>2854</v>
      </c>
      <c r="B1" s="3080">
        <f>SUM(B14:B23)</f>
        <v>258502.2</v>
      </c>
      <c r="C1" s="3081"/>
      <c r="D1" s="3081"/>
      <c r="E1" s="3081"/>
      <c r="F1" s="3081"/>
    </row>
    <row r="2" spans="1:9" ht="16.5">
      <c r="A2" s="3080" t="s">
        <v>2855</v>
      </c>
      <c r="B2" s="3080">
        <f>SUM(C14:C23)</f>
        <v>117501</v>
      </c>
      <c r="C2" s="3081"/>
      <c r="D2" s="3081"/>
      <c r="E2" s="3081"/>
      <c r="F2" s="3081"/>
    </row>
    <row r="3" spans="1:9" ht="16.5">
      <c r="A3" s="3080" t="s">
        <v>2856</v>
      </c>
      <c r="B3" s="3082">
        <f>项目基本情况!D3</f>
        <v>42997</v>
      </c>
      <c r="C3" s="3081"/>
      <c r="D3" s="3081"/>
      <c r="E3" s="3081"/>
      <c r="F3" s="3081"/>
    </row>
    <row r="4" spans="1:9" ht="33">
      <c r="A4" s="3080" t="s">
        <v>2857</v>
      </c>
      <c r="B4" s="3080" t="s">
        <v>2858</v>
      </c>
      <c r="C4" s="3080" t="s">
        <v>2859</v>
      </c>
      <c r="D4" s="3080" t="s">
        <v>2860</v>
      </c>
      <c r="E4" s="3081"/>
      <c r="F4" s="3081"/>
    </row>
    <row r="5" spans="1:9" ht="16.5">
      <c r="A5" s="3080" t="s">
        <v>2861</v>
      </c>
      <c r="B5" s="3080">
        <f ca="1">SUM(D14:D23)</f>
        <v>46970</v>
      </c>
      <c r="C5" s="3080">
        <f ca="1">ROUND(B5*10000/$B$1,0)</f>
        <v>1817</v>
      </c>
      <c r="D5" s="3080">
        <f ca="1">ROUND(B5*10000/$B$2,0)</f>
        <v>3997</v>
      </c>
      <c r="E5" s="3081"/>
      <c r="F5" s="3081"/>
    </row>
    <row r="6" spans="1:9" ht="16.5">
      <c r="A6" s="3080" t="s">
        <v>2862</v>
      </c>
      <c r="B6" s="3080">
        <f ca="1">SUM(G14:G23)</f>
        <v>46970</v>
      </c>
      <c r="C6" s="3080">
        <f t="shared" ref="C6:C8" ca="1" si="0">ROUND(B6*10000/$B$1,0)</f>
        <v>1817</v>
      </c>
      <c r="D6" s="3080">
        <f t="shared" ref="D6:D8" ca="1" si="1">ROUND(B6*10000/$B$2,0)</f>
        <v>3997</v>
      </c>
      <c r="E6" s="3081"/>
      <c r="F6" s="3081"/>
    </row>
    <row r="7" spans="1:9" ht="16.5">
      <c r="A7" s="3080" t="s">
        <v>2863</v>
      </c>
      <c r="B7" s="3080">
        <f>SUM(H14:H23)</f>
        <v>0</v>
      </c>
      <c r="C7" s="3080">
        <f t="shared" si="0"/>
        <v>0</v>
      </c>
      <c r="D7" s="3080">
        <f t="shared" si="1"/>
        <v>0</v>
      </c>
      <c r="E7" s="3081"/>
      <c r="F7" s="3081"/>
    </row>
    <row r="8" spans="1:9" ht="16.5">
      <c r="A8" s="3080" t="s">
        <v>2864</v>
      </c>
      <c r="B8" s="3080">
        <f>SUM(I14:I23)</f>
        <v>0</v>
      </c>
      <c r="C8" s="3080">
        <f t="shared" si="0"/>
        <v>0</v>
      </c>
      <c r="D8" s="3080">
        <f t="shared" si="1"/>
        <v>0</v>
      </c>
      <c r="E8" s="3081"/>
      <c r="F8" s="3081"/>
    </row>
    <row r="9" spans="1:9" ht="16.5">
      <c r="A9" s="3080" t="s">
        <v>2865</v>
      </c>
      <c r="B9" s="3083"/>
      <c r="C9" s="3081"/>
      <c r="D9" s="3081"/>
      <c r="E9" s="3081"/>
      <c r="F9" s="3081"/>
    </row>
    <row r="10" spans="1:9" ht="16.5">
      <c r="A10" s="3080" t="s">
        <v>2866</v>
      </c>
      <c r="B10" s="3083"/>
      <c r="C10" s="3081"/>
      <c r="D10" s="3081"/>
      <c r="E10" s="3081"/>
      <c r="F10" s="3081"/>
    </row>
    <row r="11" spans="1:9" ht="16.5">
      <c r="A11" s="3080" t="s">
        <v>2883</v>
      </c>
      <c r="B11" s="3083"/>
      <c r="C11" s="3081"/>
      <c r="D11" s="3081"/>
      <c r="E11" s="3081"/>
      <c r="F11" s="3081"/>
    </row>
    <row r="12" spans="1:9" ht="16.5">
      <c r="A12" s="3081"/>
      <c r="B12" s="3081"/>
      <c r="C12" s="3081"/>
      <c r="D12" s="3081"/>
      <c r="E12" s="3081"/>
      <c r="F12" s="3081"/>
    </row>
    <row r="13" spans="1:9" ht="33">
      <c r="A13" s="3086" t="s">
        <v>2882</v>
      </c>
      <c r="B13" s="3084" t="s">
        <v>2854</v>
      </c>
      <c r="C13" s="3084" t="s">
        <v>2855</v>
      </c>
      <c r="D13" s="3084" t="s">
        <v>2867</v>
      </c>
      <c r="E13" s="3080" t="s">
        <v>2881</v>
      </c>
      <c r="F13" s="3080" t="s">
        <v>2860</v>
      </c>
      <c r="G13" s="3084" t="s">
        <v>2868</v>
      </c>
      <c r="H13" s="3084" t="s">
        <v>2869</v>
      </c>
      <c r="I13" s="3084" t="s">
        <v>2870</v>
      </c>
    </row>
    <row r="14" spans="1:9" ht="16.5">
      <c r="A14" s="3087" t="s">
        <v>2880</v>
      </c>
      <c r="B14" s="3084">
        <f>'数据-汇总表'!E3</f>
        <v>258502.2</v>
      </c>
      <c r="C14" s="3084">
        <f>'数据-汇总表'!D3</f>
        <v>117501</v>
      </c>
      <c r="D14" s="3084">
        <f ca="1">结果表!C42</f>
        <v>46970</v>
      </c>
      <c r="E14" s="3084">
        <f ca="1">ROUND(D14*10000/B14,0)</f>
        <v>1817</v>
      </c>
      <c r="F14" s="3084">
        <f ca="1">ROUND(D14*10000/C14,0)</f>
        <v>3997</v>
      </c>
      <c r="G14" s="3084">
        <f ca="1">结果表!C44</f>
        <v>46970</v>
      </c>
      <c r="H14" s="3084" t="str">
        <f>结果表!C45</f>
        <v>——</v>
      </c>
      <c r="I14" s="3084" t="str">
        <f>结果表!C46</f>
        <v>——</v>
      </c>
    </row>
    <row r="15" spans="1:9" ht="16.5">
      <c r="A15" s="3087" t="s">
        <v>2871</v>
      </c>
      <c r="B15" s="3088"/>
      <c r="C15" s="3088"/>
      <c r="D15" s="3088"/>
      <c r="E15" s="3084" t="e">
        <f t="shared" ref="E15:E23" si="2">ROUND(D15*10000/B15,0)</f>
        <v>#DIV/0!</v>
      </c>
      <c r="F15" s="3084" t="e">
        <f t="shared" ref="F15:F23" si="3">ROUND(D15*10000/C15,0)</f>
        <v>#DIV/0!</v>
      </c>
      <c r="G15" s="3085"/>
      <c r="H15" s="3085"/>
      <c r="I15" s="3088"/>
    </row>
    <row r="16" spans="1:9" ht="16.5">
      <c r="A16" s="3087" t="s">
        <v>2872</v>
      </c>
      <c r="B16" s="3088"/>
      <c r="C16" s="3088"/>
      <c r="D16" s="3088"/>
      <c r="E16" s="3084" t="e">
        <f t="shared" si="2"/>
        <v>#DIV/0!</v>
      </c>
      <c r="F16" s="3084" t="e">
        <f t="shared" si="3"/>
        <v>#DIV/0!</v>
      </c>
      <c r="G16" s="3085"/>
      <c r="H16" s="3085"/>
      <c r="I16" s="3088"/>
    </row>
    <row r="17" spans="1:9" ht="16.5">
      <c r="A17" s="3087" t="s">
        <v>2873</v>
      </c>
      <c r="B17" s="3088"/>
      <c r="C17" s="3088"/>
      <c r="D17" s="3088"/>
      <c r="E17" s="3084" t="e">
        <f t="shared" si="2"/>
        <v>#DIV/0!</v>
      </c>
      <c r="F17" s="3084" t="e">
        <f t="shared" si="3"/>
        <v>#DIV/0!</v>
      </c>
      <c r="G17" s="3085"/>
      <c r="H17" s="3085"/>
      <c r="I17" s="3088"/>
    </row>
    <row r="18" spans="1:9" ht="16.5">
      <c r="A18" s="3087" t="s">
        <v>2874</v>
      </c>
      <c r="B18" s="3088"/>
      <c r="C18" s="3088"/>
      <c r="D18" s="3088"/>
      <c r="E18" s="3084" t="e">
        <f t="shared" si="2"/>
        <v>#DIV/0!</v>
      </c>
      <c r="F18" s="3084" t="e">
        <f t="shared" si="3"/>
        <v>#DIV/0!</v>
      </c>
      <c r="G18" s="3088"/>
      <c r="H18" s="3088"/>
      <c r="I18" s="3088"/>
    </row>
    <row r="19" spans="1:9" ht="16.5">
      <c r="A19" s="3087" t="s">
        <v>2875</v>
      </c>
      <c r="B19" s="3088"/>
      <c r="C19" s="3088"/>
      <c r="D19" s="3088"/>
      <c r="E19" s="3084" t="e">
        <f t="shared" si="2"/>
        <v>#DIV/0!</v>
      </c>
      <c r="F19" s="3084" t="e">
        <f t="shared" si="3"/>
        <v>#DIV/0!</v>
      </c>
      <c r="G19" s="3088"/>
      <c r="H19" s="3088"/>
      <c r="I19" s="3088"/>
    </row>
    <row r="20" spans="1:9" ht="16.5">
      <c r="A20" s="3087" t="s">
        <v>2876</v>
      </c>
      <c r="B20" s="3088"/>
      <c r="C20" s="3088"/>
      <c r="D20" s="3088"/>
      <c r="E20" s="3084" t="e">
        <f t="shared" si="2"/>
        <v>#DIV/0!</v>
      </c>
      <c r="F20" s="3084" t="e">
        <f t="shared" si="3"/>
        <v>#DIV/0!</v>
      </c>
      <c r="G20" s="3088"/>
      <c r="H20" s="3088"/>
      <c r="I20" s="3088"/>
    </row>
    <row r="21" spans="1:9" ht="16.5">
      <c r="A21" s="3087" t="s">
        <v>2877</v>
      </c>
      <c r="B21" s="3088"/>
      <c r="C21" s="3088"/>
      <c r="D21" s="3088"/>
      <c r="E21" s="3084" t="e">
        <f t="shared" si="2"/>
        <v>#DIV/0!</v>
      </c>
      <c r="F21" s="3084" t="e">
        <f t="shared" si="3"/>
        <v>#DIV/0!</v>
      </c>
      <c r="G21" s="3088"/>
      <c r="H21" s="3088"/>
      <c r="I21" s="3088"/>
    </row>
    <row r="22" spans="1:9" ht="16.5">
      <c r="A22" s="3087" t="s">
        <v>2878</v>
      </c>
      <c r="B22" s="3088"/>
      <c r="C22" s="3088"/>
      <c r="D22" s="3088"/>
      <c r="E22" s="3084" t="e">
        <f t="shared" si="2"/>
        <v>#DIV/0!</v>
      </c>
      <c r="F22" s="3084" t="e">
        <f t="shared" si="3"/>
        <v>#DIV/0!</v>
      </c>
      <c r="G22" s="3088"/>
      <c r="H22" s="3088"/>
      <c r="I22" s="3088"/>
    </row>
    <row r="23" spans="1:9" ht="16.5">
      <c r="A23" s="3087" t="s">
        <v>2879</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9" t="s">
        <v>2059</v>
      </c>
      <c r="B1" s="1780"/>
      <c r="C1" s="1808" t="s">
        <v>2060</v>
      </c>
      <c r="D1" s="1809"/>
      <c r="E1" s="1808" t="s">
        <v>2061</v>
      </c>
      <c r="F1" s="1810"/>
      <c r="G1" s="314"/>
      <c r="H1" s="314"/>
      <c r="I1" s="314"/>
      <c r="J1" s="2032"/>
      <c r="K1" s="2032"/>
      <c r="L1" s="2032"/>
      <c r="M1" s="2032"/>
      <c r="N1" s="2032"/>
      <c r="O1" s="2032"/>
      <c r="P1" s="2032"/>
      <c r="Q1" s="2032"/>
      <c r="R1" s="2032"/>
      <c r="S1" s="2032"/>
      <c r="T1" s="2032"/>
      <c r="U1" s="2032"/>
      <c r="V1" s="2032"/>
    </row>
    <row r="2" spans="1:22" ht="21.75" customHeight="1" thickBot="1">
      <c r="A2" s="3314" t="str">
        <f>项目基本情况!K2</f>
        <v>贵州省花溪区贵筑社区尖山村贵阳恒大凯源旅游开发有限公司出让国有建设用地使用权</v>
      </c>
      <c r="B2" s="3315"/>
      <c r="C2" s="3316"/>
      <c r="D2" s="3316"/>
      <c r="E2" s="3316"/>
      <c r="F2" s="3316"/>
      <c r="G2" s="3315"/>
      <c r="H2" s="3315"/>
      <c r="I2" s="3317"/>
      <c r="J2" s="2033"/>
      <c r="K2" s="2032"/>
      <c r="L2" s="2032"/>
      <c r="M2" s="2032"/>
      <c r="N2" s="2032"/>
      <c r="O2" s="2032"/>
      <c r="P2" s="2032"/>
      <c r="Q2" s="2032"/>
      <c r="R2" s="2032"/>
      <c r="S2" s="2032"/>
      <c r="T2" s="2032"/>
      <c r="U2" s="2032"/>
      <c r="V2" s="2032"/>
    </row>
    <row r="3" spans="1:22" ht="14.25">
      <c r="A3" s="3307" t="s">
        <v>298</v>
      </c>
      <c r="B3" s="3308"/>
      <c r="C3" s="3308"/>
      <c r="D3" s="3308"/>
      <c r="E3" s="3308"/>
      <c r="F3" s="3308"/>
      <c r="G3" s="3308"/>
      <c r="H3" s="3308"/>
      <c r="I3" s="3308"/>
      <c r="J3" s="2033"/>
      <c r="K3" s="2032"/>
      <c r="L3" s="2032"/>
      <c r="M3" s="2032"/>
      <c r="N3" s="2032"/>
      <c r="O3" s="2032"/>
      <c r="P3" s="2032"/>
      <c r="Q3" s="2032"/>
      <c r="R3" s="2032"/>
      <c r="S3" s="2032"/>
      <c r="T3" s="2032"/>
      <c r="U3" s="2032"/>
      <c r="V3" s="2032"/>
    </row>
    <row r="4" spans="1:22" ht="14.25">
      <c r="A4" s="258" t="s">
        <v>299</v>
      </c>
      <c r="B4" s="259" t="s">
        <v>300</v>
      </c>
      <c r="C4" s="260" t="s">
        <v>3065</v>
      </c>
      <c r="D4" s="260" t="s">
        <v>3041</v>
      </c>
      <c r="E4" s="3279" t="s">
        <v>301</v>
      </c>
      <c r="F4" s="3280"/>
      <c r="G4" s="3280"/>
      <c r="H4" s="3280"/>
      <c r="I4" s="3309"/>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78" t="s">
        <v>302</v>
      </c>
      <c r="B5" s="3304">
        <v>25</v>
      </c>
      <c r="C5" s="3302"/>
      <c r="D5" s="3306"/>
      <c r="E5" s="261" t="s">
        <v>303</v>
      </c>
      <c r="F5" s="262"/>
      <c r="G5" s="262"/>
      <c r="H5" s="262"/>
      <c r="I5" s="263"/>
      <c r="J5" s="2033"/>
      <c r="K5" s="2032"/>
      <c r="L5" s="2032"/>
      <c r="M5" s="2032"/>
      <c r="N5" s="2032"/>
      <c r="O5" s="2032"/>
      <c r="P5" s="2032"/>
      <c r="Q5" s="2032"/>
      <c r="R5" s="2032"/>
      <c r="S5" s="2032"/>
      <c r="T5" s="2032"/>
      <c r="U5" s="2032"/>
      <c r="V5" s="2032"/>
    </row>
    <row r="6" spans="1:22" ht="14.25">
      <c r="A6" s="3278"/>
      <c r="B6" s="3304"/>
      <c r="C6" s="3305"/>
      <c r="D6" s="3306"/>
      <c r="E6" s="261" t="s">
        <v>304</v>
      </c>
      <c r="F6" s="262"/>
      <c r="G6" s="262"/>
      <c r="H6" s="262"/>
      <c r="I6" s="263"/>
      <c r="J6" s="2033"/>
      <c r="K6" s="2032"/>
      <c r="L6" s="2032"/>
      <c r="M6" s="2032"/>
      <c r="N6" s="2032"/>
      <c r="O6" s="2032"/>
      <c r="P6" s="2032"/>
      <c r="Q6" s="2032"/>
      <c r="R6" s="2032"/>
      <c r="S6" s="2032"/>
      <c r="T6" s="2032"/>
      <c r="U6" s="2032"/>
      <c r="V6" s="2032"/>
    </row>
    <row r="7" spans="1:22" ht="14.25">
      <c r="A7" s="3278"/>
      <c r="B7" s="3304"/>
      <c r="C7" s="3303"/>
      <c r="D7" s="3306"/>
      <c r="E7" s="261" t="s">
        <v>305</v>
      </c>
      <c r="F7" s="262"/>
      <c r="G7" s="262"/>
      <c r="H7" s="262"/>
      <c r="I7" s="263"/>
      <c r="J7" s="2033"/>
      <c r="K7" s="2032"/>
      <c r="L7" s="2032"/>
      <c r="M7" s="2032"/>
      <c r="N7" s="2032"/>
      <c r="O7" s="2032"/>
      <c r="P7" s="2032"/>
      <c r="Q7" s="2032"/>
      <c r="R7" s="2032"/>
      <c r="S7" s="2032"/>
      <c r="T7" s="2032"/>
      <c r="U7" s="2032"/>
      <c r="V7" s="2032"/>
    </row>
    <row r="8" spans="1:22" ht="14.25">
      <c r="A8" s="3278" t="s">
        <v>306</v>
      </c>
      <c r="B8" s="3304">
        <v>15</v>
      </c>
      <c r="C8" s="3302"/>
      <c r="D8" s="3306"/>
      <c r="E8" s="261" t="s">
        <v>307</v>
      </c>
      <c r="F8" s="262"/>
      <c r="G8" s="262"/>
      <c r="H8" s="262"/>
      <c r="I8" s="263"/>
      <c r="J8" s="2033"/>
      <c r="K8" s="2032"/>
      <c r="L8" s="2032"/>
      <c r="M8" s="2032"/>
      <c r="N8" s="2032"/>
      <c r="O8" s="2032"/>
      <c r="P8" s="2032"/>
      <c r="Q8" s="2032"/>
      <c r="R8" s="2032"/>
      <c r="S8" s="2032"/>
      <c r="T8" s="2032"/>
      <c r="U8" s="2032"/>
      <c r="V8" s="2032"/>
    </row>
    <row r="9" spans="1:22" ht="14.25">
      <c r="A9" s="3278"/>
      <c r="B9" s="3304"/>
      <c r="C9" s="3303"/>
      <c r="D9" s="3306"/>
      <c r="E9" s="261" t="s">
        <v>308</v>
      </c>
      <c r="F9" s="262"/>
      <c r="G9" s="262"/>
      <c r="H9" s="262"/>
      <c r="I9" s="263"/>
      <c r="J9" s="2033"/>
      <c r="K9" s="2032"/>
      <c r="L9" s="2032"/>
      <c r="M9" s="2032"/>
      <c r="N9" s="2032"/>
      <c r="O9" s="2032"/>
      <c r="P9" s="2032"/>
      <c r="Q9" s="2032"/>
      <c r="R9" s="2032"/>
      <c r="S9" s="2032"/>
      <c r="T9" s="2032"/>
      <c r="U9" s="2032"/>
      <c r="V9" s="2032"/>
    </row>
    <row r="10" spans="1:22" ht="14.25">
      <c r="A10" s="3278" t="s">
        <v>309</v>
      </c>
      <c r="B10" s="3304">
        <v>15</v>
      </c>
      <c r="C10" s="3302"/>
      <c r="D10" s="3306"/>
      <c r="E10" s="261" t="s">
        <v>310</v>
      </c>
      <c r="F10" s="262"/>
      <c r="G10" s="262"/>
      <c r="H10" s="262"/>
      <c r="I10" s="263"/>
      <c r="J10" s="2033"/>
      <c r="K10" s="2032"/>
      <c r="L10" s="2032"/>
      <c r="M10" s="2032"/>
      <c r="N10" s="2032"/>
      <c r="O10" s="2032"/>
      <c r="P10" s="2032"/>
      <c r="Q10" s="2032"/>
      <c r="R10" s="2032"/>
      <c r="S10" s="2032"/>
      <c r="T10" s="2032"/>
      <c r="U10" s="2032"/>
      <c r="V10" s="2032"/>
    </row>
    <row r="11" spans="1:22" ht="14.25">
      <c r="A11" s="3278"/>
      <c r="B11" s="3304"/>
      <c r="C11" s="3303"/>
      <c r="D11" s="3306"/>
      <c r="E11" s="261" t="s">
        <v>311</v>
      </c>
      <c r="F11" s="262"/>
      <c r="G11" s="262"/>
      <c r="H11" s="262"/>
      <c r="I11" s="263"/>
      <c r="J11" s="2033"/>
      <c r="K11" s="2032"/>
      <c r="L11" s="2032"/>
      <c r="M11" s="2032"/>
      <c r="N11" s="2032"/>
      <c r="O11" s="2032"/>
      <c r="P11" s="2032"/>
      <c r="Q11" s="2032"/>
      <c r="R11" s="2032"/>
      <c r="S11" s="2032"/>
      <c r="T11" s="2032"/>
      <c r="U11" s="2032"/>
      <c r="V11" s="2032"/>
    </row>
    <row r="12" spans="1:22" ht="14.25">
      <c r="A12" s="3278" t="s">
        <v>312</v>
      </c>
      <c r="B12" s="3304">
        <v>15</v>
      </c>
      <c r="C12" s="3302"/>
      <c r="D12" s="3306"/>
      <c r="E12" s="261" t="s">
        <v>313</v>
      </c>
      <c r="F12" s="262"/>
      <c r="G12" s="262"/>
      <c r="H12" s="262"/>
      <c r="I12" s="263"/>
      <c r="J12" s="2033"/>
      <c r="K12" s="2032"/>
      <c r="L12" s="2032"/>
      <c r="M12" s="2032"/>
      <c r="N12" s="2032"/>
      <c r="O12" s="2032"/>
      <c r="P12" s="2032"/>
      <c r="Q12" s="2032"/>
      <c r="R12" s="2032"/>
      <c r="S12" s="2032"/>
      <c r="T12" s="2032"/>
      <c r="U12" s="2032"/>
      <c r="V12" s="2032"/>
    </row>
    <row r="13" spans="1:22" ht="14.25">
      <c r="A13" s="3278"/>
      <c r="B13" s="3304"/>
      <c r="C13" s="3303"/>
      <c r="D13" s="3306"/>
      <c r="E13" s="261" t="s">
        <v>314</v>
      </c>
      <c r="F13" s="262"/>
      <c r="G13" s="262"/>
      <c r="H13" s="262"/>
      <c r="I13" s="263"/>
      <c r="J13" s="2033"/>
      <c r="K13" s="2032"/>
      <c r="L13" s="2032"/>
      <c r="M13" s="2032"/>
      <c r="N13" s="2032"/>
      <c r="O13" s="2032"/>
      <c r="P13" s="2032"/>
      <c r="Q13" s="2032"/>
      <c r="R13" s="2032"/>
      <c r="S13" s="2032"/>
      <c r="T13" s="2032"/>
      <c r="U13" s="2032"/>
      <c r="V13" s="2032"/>
    </row>
    <row r="14" spans="1:22" ht="14.25">
      <c r="A14" s="3278" t="s">
        <v>315</v>
      </c>
      <c r="B14" s="3304">
        <v>30</v>
      </c>
      <c r="C14" s="3302">
        <v>6</v>
      </c>
      <c r="D14" s="3306">
        <v>4</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278"/>
      <c r="B15" s="3304"/>
      <c r="C15" s="3305"/>
      <c r="D15" s="3306"/>
      <c r="E15" s="261" t="s">
        <v>317</v>
      </c>
      <c r="F15" s="262"/>
      <c r="G15" s="262"/>
      <c r="H15" s="262"/>
      <c r="I15" s="263"/>
      <c r="J15" s="2033"/>
      <c r="K15" s="2032"/>
      <c r="L15" s="2032"/>
      <c r="M15" s="2032"/>
      <c r="N15" s="2032"/>
      <c r="O15" s="2032"/>
      <c r="P15" s="2032"/>
      <c r="Q15" s="2032"/>
      <c r="R15" s="2032"/>
      <c r="S15" s="2032"/>
      <c r="T15" s="2032"/>
      <c r="U15" s="2032"/>
      <c r="V15" s="2032"/>
    </row>
    <row r="16" spans="1:22" ht="14.25">
      <c r="A16" s="3278"/>
      <c r="B16" s="3304"/>
      <c r="C16" s="3303"/>
      <c r="D16" s="3306"/>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6</v>
      </c>
      <c r="D17" s="265">
        <f>SUM(D5:D16)</f>
        <v>4</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0.6</v>
      </c>
      <c r="D18" s="267">
        <f>1-C18</f>
        <v>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36604</v>
      </c>
      <c r="D19" s="271">
        <f ca="1">SUMIF(INDIRECT("'"&amp;D4&amp;"'"&amp;"!A:A"),结果表!B19,INDIRECT("'"&amp;D4&amp;"'"&amp;"!B:B"))</f>
        <v>62519</v>
      </c>
      <c r="E19" s="268" t="s">
        <v>323</v>
      </c>
      <c r="F19" s="269" t="s">
        <v>322</v>
      </c>
      <c r="G19" s="272">
        <f ca="1">ROUND(C19*$C$18+D19*$D$18,0)</f>
        <v>46970</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1416</v>
      </c>
      <c r="D20" s="277">
        <f ca="1">SUMIF(INDIRECT("'"&amp;D4&amp;"'"&amp;"!A:A"),结果表!B20,INDIRECT("'"&amp;D4&amp;"'"&amp;"!B:B"))</f>
        <v>2419</v>
      </c>
      <c r="E20" s="274"/>
      <c r="F20" s="275" t="s">
        <v>325</v>
      </c>
      <c r="G20" s="278">
        <f ca="1">ROUND(C20*$C$18+D20*$D$18,0)</f>
        <v>1817</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3115</v>
      </c>
      <c r="D21" s="151">
        <f ca="1">SUMIF(INDIRECT("'"&amp;D4&amp;"'"&amp;"!A:A"),结果表!B21,INDIRECT("'"&amp;D4&amp;"'"&amp;"!B:B"))</f>
        <v>5321</v>
      </c>
      <c r="E21" s="274"/>
      <c r="F21" s="280" t="s">
        <v>327</v>
      </c>
      <c r="G21" s="282">
        <f ca="1">ROUND(C21*$C$18+D21*$D$18,0)</f>
        <v>3997</v>
      </c>
      <c r="H21" s="1253" t="s">
        <v>326</v>
      </c>
      <c r="I21" s="314"/>
      <c r="J21" s="2032"/>
      <c r="K21" s="2032"/>
      <c r="L21" s="2032"/>
      <c r="M21" s="2032"/>
      <c r="N21" s="2032"/>
      <c r="O21" s="2032"/>
      <c r="P21" s="2032"/>
      <c r="Q21" s="2032"/>
      <c r="R21" s="2032"/>
      <c r="S21" s="2032"/>
      <c r="T21" s="2032"/>
      <c r="U21" s="2032"/>
      <c r="V21" s="2032"/>
    </row>
    <row r="22" spans="1:26" ht="15.75" thickBot="1">
      <c r="A22" s="126" t="s">
        <v>328</v>
      </c>
      <c r="B22" s="1254"/>
      <c r="C22" s="1255"/>
      <c r="D22" s="283">
        <f ca="1">IF(C19&lt;D19,D19/C19-1,C19/D19-1)</f>
        <v>0.70798273412741786</v>
      </c>
      <c r="E22" s="284"/>
      <c r="F22" s="285"/>
      <c r="G22" s="286">
        <f ca="1">ROUND(G19/('数据-汇总表'!D3/666.67),0)</f>
        <v>266</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84"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285"/>
      <c r="B25" s="1323" t="s">
        <v>331</v>
      </c>
      <c r="C25" s="290">
        <f>IF(B30=0,0,C30)</f>
        <v>0</v>
      </c>
      <c r="D25" s="291"/>
      <c r="E25" s="314"/>
      <c r="F25" s="314"/>
      <c r="G25" s="314"/>
      <c r="H25" s="314"/>
      <c r="I25" s="314"/>
      <c r="J25" s="2032"/>
      <c r="K25" s="1257" t="str">
        <f ca="1">项目基本情况!B16&amp;"国有建设用地使用权价格："&amp;O38&amp;"万元"</f>
        <v>出让国有建设用地使用权价格：46970万元</v>
      </c>
      <c r="L25" s="1258"/>
      <c r="M25" s="1258"/>
      <c r="N25" s="1258"/>
      <c r="O25" s="1259"/>
      <c r="P25" s="2032"/>
      <c r="Q25" s="2032"/>
      <c r="R25" s="2032"/>
      <c r="S25" s="2032"/>
      <c r="T25" s="2032"/>
      <c r="U25" s="2032"/>
      <c r="V25" s="2032"/>
    </row>
    <row r="26" spans="1:26" s="1256" customFormat="1" ht="18">
      <c r="A26" s="293" t="s">
        <v>332</v>
      </c>
      <c r="B26" s="294" t="s">
        <v>333</v>
      </c>
      <c r="C26" s="294" t="s">
        <v>334</v>
      </c>
      <c r="D26" s="295" t="s">
        <v>335</v>
      </c>
      <c r="E26" s="314"/>
      <c r="F26" s="314"/>
      <c r="G26" s="314"/>
      <c r="H26" s="314"/>
      <c r="I26" s="314"/>
      <c r="J26" s="2032"/>
      <c r="K26" s="1260" t="str">
        <f ca="1">"大写金额：人民币"&amp;NUMBERSTRING(INT(O38*10000),2)&amp;"元整"</f>
        <v>大写金额：人民币肆亿陆仟玖佰柒拾万元整</v>
      </c>
      <c r="L26" s="1254"/>
      <c r="M26" s="1254"/>
      <c r="N26" s="1254"/>
      <c r="O26" s="1253"/>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0" t="str">
        <f ca="1">"单位面积地价："&amp;M38&amp;"元/平方米"</f>
        <v>单位面积地价：3997元/平方米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楼面地价：1817元/平方米</v>
      </c>
      <c r="L28" s="1254"/>
      <c r="M28" s="1254"/>
      <c r="N28" s="1254"/>
      <c r="O28" s="1253"/>
      <c r="P28" s="2032"/>
      <c r="V28" s="2032"/>
    </row>
    <row r="29" spans="1:26" ht="18">
      <c r="A29" s="293"/>
      <c r="B29" s="294"/>
      <c r="C29" s="294"/>
      <c r="D29" s="295"/>
      <c r="E29" s="314"/>
      <c r="F29" s="314"/>
      <c r="G29" s="314"/>
      <c r="H29" s="314"/>
      <c r="I29" s="314"/>
      <c r="J29" s="2032"/>
      <c r="K29" s="1260" t="str">
        <f ca="1">IF(OR(项目基本情况!E8="抵押价格",项目基本情况!E8="已注销及未注销"),"抵押价格："&amp;O39&amp;"万元","——")</f>
        <v>抵押价格：46970万元</v>
      </c>
      <c r="L29" s="1254"/>
      <c r="M29" s="1254"/>
      <c r="N29" s="1254"/>
      <c r="O29" s="1253"/>
      <c r="P29" s="2032"/>
      <c r="V29" s="2032"/>
    </row>
    <row r="30" spans="1:26" ht="18.75" thickBot="1">
      <c r="A30" s="296" t="s">
        <v>336</v>
      </c>
      <c r="B30" s="297">
        <f>SUM(B27:B29)</f>
        <v>0</v>
      </c>
      <c r="C30" s="297" t="e">
        <f>ROUND(D30*10000/B30,0)</f>
        <v>#DIV/0!</v>
      </c>
      <c r="D30" s="298">
        <f>SUM(D27:D29)</f>
        <v>0</v>
      </c>
      <c r="E30" s="314"/>
      <c r="F30" s="314"/>
      <c r="G30" s="314"/>
      <c r="H30" s="314"/>
      <c r="I30" s="314"/>
      <c r="J30" s="2032"/>
      <c r="K30" s="1260" t="str">
        <f ca="1">IF(K29="——","——","大写金额：人民币"&amp;NUMBERSTRING(INT(O39*10000),2)&amp;"元整")</f>
        <v>大写金额：人民币肆亿陆仟玖佰柒拾万元整</v>
      </c>
      <c r="L30" s="1254"/>
      <c r="M30" s="1254"/>
      <c r="N30" s="1254"/>
      <c r="O30" s="1253"/>
      <c r="P30" s="2032"/>
      <c r="V30" s="2032"/>
    </row>
    <row r="31" spans="1:26" ht="24" customHeight="1" thickBot="1">
      <c r="A31" s="314"/>
      <c r="B31" s="314"/>
      <c r="C31" s="314"/>
      <c r="D31" s="314"/>
      <c r="E31" s="314"/>
      <c r="F31" s="314"/>
      <c r="G31" s="314"/>
      <c r="H31" s="314"/>
      <c r="I31" s="314"/>
      <c r="J31" s="2032"/>
      <c r="K31" s="2501" t="str">
        <f>IF(项目基本情况!E8="抵押价格","——","抵押担保权已注销时的抵押价格："&amp;O40&amp;"万元")</f>
        <v>——</v>
      </c>
      <c r="L31" s="2497"/>
      <c r="M31" s="2497"/>
      <c r="N31" s="2497"/>
      <c r="O31" s="2498"/>
      <c r="P31" s="2032"/>
      <c r="V31" s="2032"/>
    </row>
    <row r="32" spans="1:26" ht="18.75" thickBot="1">
      <c r="A32" s="268" t="s">
        <v>337</v>
      </c>
      <c r="B32" s="1385" t="s">
        <v>1692</v>
      </c>
      <c r="C32" s="1386">
        <f ca="1">G19-C24</f>
        <v>46970</v>
      </c>
      <c r="D32" s="1387" t="s">
        <v>1693</v>
      </c>
      <c r="E32" s="314"/>
      <c r="F32" s="314"/>
      <c r="G32" s="314"/>
      <c r="H32" s="314"/>
      <c r="I32" s="314"/>
      <c r="J32" s="2032"/>
      <c r="K32" s="2496" t="str">
        <f>IF(K31="——","——","大写金额：人民币"&amp;NUMBERSTRING(INT(O40*10000),2)&amp;"元整")</f>
        <v>——</v>
      </c>
      <c r="L32" s="2499"/>
      <c r="M32" s="2499"/>
      <c r="N32" s="2499"/>
      <c r="O32" s="2500"/>
      <c r="P32" s="2032"/>
      <c r="V32" s="2032"/>
    </row>
    <row r="33" spans="1:26" ht="18.75" thickBot="1">
      <c r="A33" s="301" t="s">
        <v>340</v>
      </c>
      <c r="B33" s="1388" t="s">
        <v>1694</v>
      </c>
      <c r="C33" s="264">
        <f ca="1">ROUND(C32*10000/'数据-汇总表'!E3,0)</f>
        <v>1817</v>
      </c>
      <c r="D33" s="1389" t="s">
        <v>1695</v>
      </c>
      <c r="E33" s="3284" t="s">
        <v>338</v>
      </c>
      <c r="F33" s="299" t="s">
        <v>339</v>
      </c>
      <c r="G33" s="300"/>
      <c r="H33" s="982"/>
      <c r="I33" s="1261"/>
      <c r="J33" s="2032"/>
      <c r="K33" s="1260" t="str">
        <f>IF(项目基本情况!E9="——","——","抵押净值："&amp;C46&amp;"万元")</f>
        <v>抵押净值：——万元</v>
      </c>
      <c r="L33" s="1254"/>
      <c r="M33" s="1254"/>
      <c r="N33" s="1254"/>
      <c r="O33" s="1253"/>
      <c r="P33" s="2032"/>
      <c r="V33" s="2032"/>
    </row>
    <row r="34" spans="1:26" s="1256" customFormat="1" ht="18.75" thickBot="1">
      <c r="A34" s="303"/>
      <c r="B34" s="1390" t="s">
        <v>1696</v>
      </c>
      <c r="C34" s="264">
        <f ca="1">ROUND(C32*10000/'数据-汇总表'!D3,0)</f>
        <v>3997</v>
      </c>
      <c r="D34" s="1391" t="s">
        <v>1695</v>
      </c>
      <c r="E34" s="3325"/>
      <c r="F34" s="127" t="s">
        <v>341</v>
      </c>
      <c r="G34" s="302"/>
      <c r="H34" s="105"/>
      <c r="I34" s="314"/>
      <c r="J34" s="2032"/>
      <c r="K34" s="1263" t="e">
        <f>IF(K33="——","——","大写金额：人民币"&amp;NUMBERSTRING(INT(O41*10000),2)&amp;"元整")</f>
        <v>#VALUE!</v>
      </c>
      <c r="L34" s="1264"/>
      <c r="M34" s="1264"/>
      <c r="N34" s="1264"/>
      <c r="O34" s="1265"/>
      <c r="P34" s="2032"/>
      <c r="Q34" s="292"/>
      <c r="R34" s="292"/>
      <c r="S34" s="292"/>
      <c r="T34" s="292"/>
      <c r="U34" s="292"/>
      <c r="V34" s="2032"/>
      <c r="W34" s="292"/>
      <c r="X34" s="292"/>
      <c r="Y34" s="292"/>
      <c r="Z34" s="292"/>
    </row>
    <row r="35" spans="1:26" ht="15.75" thickBot="1">
      <c r="A35" s="284"/>
      <c r="B35" s="1392"/>
      <c r="C35" s="1393">
        <f ca="1">ROUND(C32/('数据-汇总表'!D3/666.67),0)</f>
        <v>266</v>
      </c>
      <c r="D35" s="1394" t="s">
        <v>1697</v>
      </c>
      <c r="E35" s="3326"/>
      <c r="F35" s="304" t="s">
        <v>342</v>
      </c>
      <c r="G35" s="984"/>
      <c r="H35" s="983" t="s">
        <v>343</v>
      </c>
      <c r="I35" s="314"/>
      <c r="J35" s="2032"/>
      <c r="K35" s="3299" t="s">
        <v>350</v>
      </c>
      <c r="L35" s="3299" t="s">
        <v>351</v>
      </c>
      <c r="M35" s="1266" t="s">
        <v>352</v>
      </c>
      <c r="N35" s="3299" t="s">
        <v>353</v>
      </c>
      <c r="O35" s="3299" t="s">
        <v>354</v>
      </c>
      <c r="P35" s="2032"/>
      <c r="V35" s="2032"/>
    </row>
    <row r="36" spans="1:26" ht="16.5" customHeight="1">
      <c r="A36" s="306" t="s">
        <v>344</v>
      </c>
      <c r="B36" s="307" t="s">
        <v>333</v>
      </c>
      <c r="C36" s="308" t="s">
        <v>345</v>
      </c>
      <c r="D36" s="308" t="s">
        <v>346</v>
      </c>
      <c r="E36" s="309" t="s">
        <v>347</v>
      </c>
      <c r="F36" s="314"/>
      <c r="G36" s="314"/>
      <c r="H36" s="314"/>
      <c r="I36" s="314"/>
      <c r="J36" s="2034"/>
      <c r="K36" s="3300"/>
      <c r="L36" s="3300"/>
      <c r="M36" s="1268" t="s">
        <v>355</v>
      </c>
      <c r="N36" s="3300"/>
      <c r="O36" s="3300"/>
      <c r="P36" s="2032"/>
      <c r="V36" s="2032"/>
    </row>
    <row r="37" spans="1:26" ht="16.5" customHeight="1" thickBot="1">
      <c r="A37" s="1262" t="s">
        <v>348</v>
      </c>
      <c r="B37" s="310"/>
      <c r="C37" s="294"/>
      <c r="D37" s="294"/>
      <c r="E37" s="295"/>
      <c r="F37" s="314"/>
      <c r="G37" s="314"/>
      <c r="H37" s="314"/>
      <c r="I37" s="314"/>
      <c r="J37" s="2034"/>
      <c r="K37" s="3301"/>
      <c r="L37" s="3301"/>
      <c r="M37" s="1269"/>
      <c r="N37" s="3301"/>
      <c r="O37" s="3301"/>
      <c r="P37" s="2032"/>
      <c r="V37" s="2032"/>
    </row>
    <row r="38" spans="1:26" ht="16.5" customHeight="1" thickBot="1">
      <c r="A38" s="1262" t="s">
        <v>349</v>
      </c>
      <c r="B38" s="310"/>
      <c r="C38" s="294"/>
      <c r="D38" s="294"/>
      <c r="E38" s="295"/>
      <c r="F38" s="314"/>
      <c r="G38" s="314"/>
      <c r="H38" s="314"/>
      <c r="I38" s="314"/>
      <c r="J38" s="2034"/>
      <c r="K38" s="1270">
        <f>'数据-汇总表'!D3</f>
        <v>117501</v>
      </c>
      <c r="L38" s="1271">
        <f>'数据-汇总表'!E3</f>
        <v>258502.2</v>
      </c>
      <c r="M38" s="1271">
        <f ca="1">C34</f>
        <v>3997</v>
      </c>
      <c r="N38" s="1271">
        <f ca="1">C33</f>
        <v>1817</v>
      </c>
      <c r="O38" s="1272">
        <f ca="1">C32</f>
        <v>46970</v>
      </c>
      <c r="P38" s="2032"/>
      <c r="V38" s="2032"/>
    </row>
    <row r="39" spans="1:26" ht="16.5" customHeight="1" thickBot="1">
      <c r="A39" s="1267"/>
      <c r="B39" s="311"/>
      <c r="C39" s="312"/>
      <c r="D39" s="312"/>
      <c r="E39" s="313"/>
      <c r="F39" s="314"/>
      <c r="G39" s="314"/>
      <c r="H39" s="314"/>
      <c r="I39" s="314"/>
      <c r="J39" s="2034"/>
      <c r="K39" s="3344" t="str">
        <f>MID(A44,3,LEN(A44)-2)</f>
        <v>抵押价格</v>
      </c>
      <c r="L39" s="3345"/>
      <c r="M39" s="3345"/>
      <c r="N39" s="3346"/>
      <c r="O39" s="1396">
        <f ca="1">C44</f>
        <v>46970</v>
      </c>
      <c r="P39" s="2032"/>
      <c r="V39" s="2032"/>
    </row>
    <row r="40" spans="1:26" ht="19.5" thickBot="1">
      <c r="A40" s="104" t="s">
        <v>876</v>
      </c>
      <c r="B40" s="314"/>
      <c r="C40" s="314"/>
      <c r="D40" s="314"/>
      <c r="E40" s="314"/>
      <c r="F40" s="314"/>
      <c r="G40" s="314"/>
      <c r="H40" s="314"/>
      <c r="I40" s="314"/>
      <c r="J40" s="2034"/>
      <c r="K40" s="3344" t="str">
        <f t="shared" ref="K40:K41" si="0">MID(A45,3,LEN(A45)-2)</f>
        <v/>
      </c>
      <c r="L40" s="3345"/>
      <c r="M40" s="3345"/>
      <c r="N40" s="3346"/>
      <c r="O40" s="1396" t="str">
        <f>C45</f>
        <v>——</v>
      </c>
      <c r="P40" s="2032"/>
      <c r="V40" s="2032"/>
    </row>
    <row r="41" spans="1:26" ht="16.5" thickBot="1">
      <c r="A41" s="315" t="s">
        <v>356</v>
      </c>
      <c r="B41" s="316"/>
      <c r="C41" s="317" t="s">
        <v>357</v>
      </c>
      <c r="D41" s="318" t="s">
        <v>358</v>
      </c>
      <c r="E41" s="318" t="s">
        <v>359</v>
      </c>
      <c r="F41" s="319" t="s">
        <v>360</v>
      </c>
      <c r="G41" s="314"/>
      <c r="H41" s="314"/>
      <c r="I41" s="314"/>
      <c r="J41" s="2034"/>
      <c r="K41" s="3344" t="str">
        <f t="shared" si="0"/>
        <v/>
      </c>
      <c r="L41" s="3345"/>
      <c r="M41" s="3345"/>
      <c r="N41" s="3346"/>
      <c r="O41" s="1396" t="str">
        <f>C46</f>
        <v>——</v>
      </c>
      <c r="P41" s="2032"/>
      <c r="V41" s="2032"/>
    </row>
    <row r="42" spans="1:26" ht="29.25">
      <c r="A42" s="3286" t="s">
        <v>2071</v>
      </c>
      <c r="B42" s="3287"/>
      <c r="C42" s="264">
        <f ca="1">C32</f>
        <v>46970</v>
      </c>
      <c r="D42" s="320">
        <f ca="1">C33</f>
        <v>1817</v>
      </c>
      <c r="E42" s="320">
        <f ca="1">C34</f>
        <v>3997</v>
      </c>
      <c r="F42" s="321">
        <f ca="1">C35</f>
        <v>266</v>
      </c>
      <c r="G42" s="314"/>
      <c r="H42" s="314"/>
      <c r="I42" s="322"/>
      <c r="J42" s="2034"/>
      <c r="K42" s="1273" t="s">
        <v>361</v>
      </c>
      <c r="L42" s="2051" t="s">
        <v>362</v>
      </c>
      <c r="M42" s="1274" t="s">
        <v>363</v>
      </c>
      <c r="N42" s="2052" t="s">
        <v>364</v>
      </c>
      <c r="O42" s="2053" t="s">
        <v>365</v>
      </c>
      <c r="P42" s="2032"/>
      <c r="V42" s="2032"/>
    </row>
    <row r="43" spans="1:26" ht="45">
      <c r="A43" s="3297" t="s">
        <v>2740</v>
      </c>
      <c r="B43" s="3298"/>
      <c r="C43" s="264">
        <f>IF(H33="正常操作",G33+G34+G35,G34+G35)</f>
        <v>0</v>
      </c>
      <c r="D43" s="320" t="s">
        <v>43</v>
      </c>
      <c r="E43" s="320" t="s">
        <v>44</v>
      </c>
      <c r="F43" s="321" t="s">
        <v>44</v>
      </c>
      <c r="G43" s="2903" t="s">
        <v>955</v>
      </c>
      <c r="H43" s="314"/>
      <c r="I43" s="322"/>
      <c r="J43" s="2034"/>
      <c r="K43" s="1275" t="str">
        <f>C4</f>
        <v>比较法-住宅、综合（楼面高）</v>
      </c>
      <c r="L43" s="1276">
        <f ca="1">IF(L42="估价结果/万元",C19,C20)</f>
        <v>36604</v>
      </c>
      <c r="M43" s="1277">
        <f>C18</f>
        <v>0.6</v>
      </c>
      <c r="N43" s="1278">
        <f ca="1">IF(N42="测算结果/万元",G19,G20)</f>
        <v>46970</v>
      </c>
      <c r="O43" s="1279">
        <f ca="1">IF(O42="最终结果/万元",C32,C33)</f>
        <v>46970</v>
      </c>
      <c r="P43" s="2032"/>
      <c r="V43" s="2032"/>
    </row>
    <row r="44" spans="1:26" ht="30.75" thickBot="1">
      <c r="A44" s="3286" t="str">
        <f>IF(OR(项目基本情况!E8="抵押价格",项目基本情况!E8="已注销及未注销"),"3.抵押价格","——")</f>
        <v>3.抵押价格</v>
      </c>
      <c r="B44" s="3287"/>
      <c r="C44" s="264">
        <f ca="1">IF(A44="——","——",C42-C43)</f>
        <v>46970</v>
      </c>
      <c r="D44" s="320">
        <f ca="1">ROUND(C44*10000/'数据-汇总表'!E3,0)</f>
        <v>1817</v>
      </c>
      <c r="E44" s="320">
        <f ca="1">ROUND(C44*10000/'数据-汇总表'!D3,0)</f>
        <v>3997</v>
      </c>
      <c r="F44" s="321">
        <f ca="1">ROUND(C44/('数据-汇总表'!D3/666.67),0)</f>
        <v>266</v>
      </c>
      <c r="G44" s="314"/>
      <c r="H44" s="314"/>
      <c r="I44" s="322"/>
      <c r="J44" s="2034"/>
      <c r="K44" s="1280" t="str">
        <f>D4</f>
        <v>剩余法-待开发</v>
      </c>
      <c r="L44" s="1281">
        <f ca="1">IF(L42="估价结果/万元",D19,D20)</f>
        <v>62519</v>
      </c>
      <c r="M44" s="1282">
        <f>D18</f>
        <v>0.4</v>
      </c>
      <c r="N44" s="1283"/>
      <c r="O44" s="1284"/>
      <c r="P44" s="2032"/>
      <c r="V44" s="2032"/>
    </row>
    <row r="45" spans="1:26" ht="15">
      <c r="A45" s="3292" t="str">
        <f>IF(项目基本情况!E8="已注销及未注销","4.抵押担保权已注销时的抵押价格",IF(项目基本情况!E8="已注销","3.抵押担保权已注销时的抵押价格","——"))</f>
        <v>——</v>
      </c>
      <c r="B45" s="3293"/>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288" t="str">
        <f>IF(项目基本情况!E9="抵押净值",IF(A45="——","4.抵押净值","5.抵押净值"),"——")</f>
        <v>——</v>
      </c>
      <c r="B46" s="3289"/>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5"/>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33" t="s">
        <v>374</v>
      </c>
      <c r="B63" s="3334"/>
      <c r="C63" s="3335"/>
      <c r="D63" s="344">
        <f ca="1">ROUND(C42*F63,0)</f>
        <v>28182</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294" t="s">
        <v>378</v>
      </c>
      <c r="B64" s="3295"/>
      <c r="C64" s="3295"/>
      <c r="D64" s="3295"/>
      <c r="E64" s="3295"/>
      <c r="F64" s="3295"/>
      <c r="G64" s="3296"/>
      <c r="H64" s="1290"/>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0"/>
      <c r="I65" s="951"/>
      <c r="J65" s="1994"/>
      <c r="K65" s="1291"/>
      <c r="L65" s="1292"/>
      <c r="M65" s="1292"/>
      <c r="N65" s="1324" t="s">
        <v>379</v>
      </c>
      <c r="O65" s="1325"/>
      <c r="P65" s="1326"/>
      <c r="Q65" s="2032"/>
      <c r="R65" s="2032"/>
      <c r="S65" s="2032"/>
      <c r="T65" s="2032"/>
      <c r="U65" s="2032"/>
      <c r="V65" s="2032"/>
    </row>
    <row r="66" spans="1:22" ht="25.5">
      <c r="A66" s="3290" t="s">
        <v>386</v>
      </c>
      <c r="B66" s="3291"/>
      <c r="C66" s="3291"/>
      <c r="D66" s="261">
        <f ca="1">IF(H66="情况1",0,IF(H66="情况2",D70,IF(H66="情况3",D71,IF(H66="情况4",D72))))</f>
        <v>1476</v>
      </c>
      <c r="E66" s="995" t="str">
        <f>IF(H66="情况4","(销售额-原购置价)×税（费）率","销售额×税（费）率")</f>
        <v>销售额×税（费）率</v>
      </c>
      <c r="F66" s="353">
        <f>IF(H66="情况1","免征",'数据-取费表'!B41)</f>
        <v>5.5000000000000007E-2</v>
      </c>
      <c r="G66" s="354" t="s">
        <v>387</v>
      </c>
      <c r="H66" s="191" t="s">
        <v>388</v>
      </c>
      <c r="I66" s="1290"/>
      <c r="J66" s="2038"/>
      <c r="K66" s="1293">
        <v>1</v>
      </c>
      <c r="L66" s="3348" t="s">
        <v>385</v>
      </c>
      <c r="M66" s="3349"/>
      <c r="N66" s="2491"/>
      <c r="O66" s="2492"/>
      <c r="P66" s="2493"/>
      <c r="Q66" s="2032"/>
      <c r="R66" s="2032"/>
      <c r="S66" s="2032"/>
      <c r="T66" s="2032"/>
      <c r="U66" s="2032"/>
      <c r="V66" s="2032"/>
    </row>
    <row r="67" spans="1:22" ht="25.5" customHeight="1">
      <c r="A67" s="355" t="s">
        <v>390</v>
      </c>
      <c r="B67" s="3281" t="s">
        <v>391</v>
      </c>
      <c r="C67" s="3281"/>
      <c r="D67" s="356">
        <v>0</v>
      </c>
      <c r="E67" s="41" t="s">
        <v>392</v>
      </c>
      <c r="F67" s="62" t="s">
        <v>21</v>
      </c>
      <c r="G67" s="3336"/>
      <c r="H67" s="314"/>
      <c r="I67" s="1294"/>
      <c r="J67" s="2039"/>
      <c r="K67" s="1980">
        <v>2</v>
      </c>
      <c r="L67" s="3347" t="s">
        <v>389</v>
      </c>
      <c r="M67" s="3347"/>
      <c r="N67" s="1327">
        <f>'数据-取费表'!B2</f>
        <v>42997</v>
      </c>
      <c r="O67" s="1327"/>
      <c r="P67" s="1327"/>
      <c r="Q67" s="2032"/>
      <c r="R67" s="2032"/>
      <c r="S67" s="2032"/>
      <c r="T67" s="2032"/>
      <c r="U67" s="2032"/>
      <c r="V67" s="2032"/>
    </row>
    <row r="68" spans="1:22" ht="25.5" customHeight="1">
      <c r="A68" s="357"/>
      <c r="B68" s="3281" t="s">
        <v>394</v>
      </c>
      <c r="C68" s="3281"/>
      <c r="D68" s="358"/>
      <c r="E68" s="77"/>
      <c r="F68" s="359"/>
      <c r="G68" s="3337"/>
      <c r="H68" s="314"/>
      <c r="I68" s="1294"/>
      <c r="J68" s="2039"/>
      <c r="K68" s="1980">
        <v>3</v>
      </c>
      <c r="L68" s="3347" t="s">
        <v>393</v>
      </c>
      <c r="M68" s="3347"/>
      <c r="N68" s="1295">
        <f ca="1">C42</f>
        <v>46970</v>
      </c>
      <c r="O68" s="1295"/>
      <c r="P68" s="1295"/>
      <c r="Q68" s="2032"/>
      <c r="R68" s="2032"/>
      <c r="S68" s="2032"/>
      <c r="T68" s="2032"/>
      <c r="U68" s="2032"/>
      <c r="V68" s="2032"/>
    </row>
    <row r="69" spans="1:22" ht="12" customHeight="1">
      <c r="A69" s="360"/>
      <c r="B69" s="3281" t="s">
        <v>395</v>
      </c>
      <c r="C69" s="3281"/>
      <c r="D69" s="361"/>
      <c r="E69" s="73"/>
      <c r="F69" s="359"/>
      <c r="G69" s="3338"/>
      <c r="H69" s="314"/>
      <c r="I69" s="1294"/>
      <c r="J69" s="2039"/>
      <c r="K69" s="1296">
        <v>4</v>
      </c>
      <c r="L69" s="3352" t="s">
        <v>2893</v>
      </c>
      <c r="M69" s="3353"/>
      <c r="N69" s="1297">
        <f ca="1">C44</f>
        <v>46970</v>
      </c>
      <c r="O69" s="1297"/>
      <c r="P69" s="1297"/>
      <c r="Q69" s="2032"/>
      <c r="R69" s="2032"/>
      <c r="S69" s="2032"/>
      <c r="T69" s="2032"/>
      <c r="U69" s="2032"/>
      <c r="V69" s="2032"/>
    </row>
    <row r="70" spans="1:22" ht="24" customHeight="1">
      <c r="A70" s="362" t="s">
        <v>396</v>
      </c>
      <c r="B70" s="3281" t="s">
        <v>397</v>
      </c>
      <c r="C70" s="3281"/>
      <c r="D70" s="361">
        <f ca="1">ROUND(D63*'数据-取费表'!B41/(1+'数据-取费表'!C42),0)</f>
        <v>1476</v>
      </c>
      <c r="E70" s="17" t="s">
        <v>398</v>
      </c>
      <c r="F70" s="363">
        <f>'数据-取费表'!B41</f>
        <v>5.5000000000000007E-2</v>
      </c>
      <c r="G70" s="364"/>
      <c r="H70" s="314"/>
      <c r="I70" s="1294"/>
      <c r="J70" s="2039"/>
      <c r="K70" s="3097"/>
      <c r="L70" s="3098"/>
      <c r="M70" s="3098"/>
      <c r="N70" s="3099" t="s">
        <v>2898</v>
      </c>
      <c r="O70" s="3098"/>
      <c r="P70" s="3100"/>
      <c r="Q70" s="2032"/>
      <c r="R70" s="2032"/>
      <c r="S70" s="2032"/>
      <c r="T70" s="2032"/>
      <c r="U70" s="2032"/>
      <c r="V70" s="2032"/>
    </row>
    <row r="71" spans="1:22" ht="12" customHeight="1">
      <c r="A71" s="362" t="s">
        <v>404</v>
      </c>
      <c r="B71" s="3282" t="s">
        <v>405</v>
      </c>
      <c r="C71" s="3283"/>
      <c r="D71" s="361">
        <f ca="1">ROUND(D63*'数据-取费表'!B41/(1+'数据-取费表'!C42),0)</f>
        <v>1476</v>
      </c>
      <c r="E71" s="17" t="s">
        <v>398</v>
      </c>
      <c r="F71" s="363">
        <f>'数据-取费表'!B41</f>
        <v>5.5000000000000007E-2</v>
      </c>
      <c r="G71" s="364"/>
      <c r="H71" s="314"/>
      <c r="I71" s="1294"/>
      <c r="J71" s="2039"/>
      <c r="K71" s="3096" t="s">
        <v>399</v>
      </c>
      <c r="L71" s="3354" t="s">
        <v>400</v>
      </c>
      <c r="M71" s="3354"/>
      <c r="N71" s="3096" t="s">
        <v>401</v>
      </c>
      <c r="O71" s="3096" t="s">
        <v>402</v>
      </c>
      <c r="P71" s="3096" t="s">
        <v>403</v>
      </c>
      <c r="Q71" s="2032"/>
      <c r="R71" s="2032"/>
      <c r="S71" s="2032"/>
      <c r="T71" s="2032"/>
      <c r="U71" s="2032"/>
      <c r="V71" s="2032"/>
    </row>
    <row r="72" spans="1:22" ht="12" customHeight="1">
      <c r="A72" s="362" t="s">
        <v>407</v>
      </c>
      <c r="B72" s="3282" t="s">
        <v>408</v>
      </c>
      <c r="C72" s="3283"/>
      <c r="D72" s="361">
        <f ca="1">C86</f>
        <v>1366</v>
      </c>
      <c r="E72" s="73" t="s">
        <v>409</v>
      </c>
      <c r="F72" s="363">
        <f>'数据-取费表'!B41</f>
        <v>5.5000000000000007E-2</v>
      </c>
      <c r="G72" s="364"/>
      <c r="H72" s="1300"/>
      <c r="I72" s="1294"/>
      <c r="J72" s="2039"/>
      <c r="K72" s="1980">
        <v>1</v>
      </c>
      <c r="L72" s="3329" t="s">
        <v>406</v>
      </c>
      <c r="M72" s="3329"/>
      <c r="N72" s="1298">
        <f ca="1">D66</f>
        <v>1476</v>
      </c>
      <c r="O72" s="1863" t="str">
        <f>E66</f>
        <v>销售额×税（费）率</v>
      </c>
      <c r="P72" s="1299">
        <f>F66</f>
        <v>5.5000000000000007E-2</v>
      </c>
      <c r="Q72" s="2032"/>
      <c r="R72" s="2032"/>
      <c r="S72" s="2032"/>
      <c r="T72" s="2032"/>
      <c r="U72" s="2032"/>
      <c r="V72" s="2032"/>
    </row>
    <row r="73" spans="1:22" ht="24" customHeight="1">
      <c r="A73" s="3323" t="s">
        <v>411</v>
      </c>
      <c r="B73" s="3291"/>
      <c r="C73" s="3291"/>
      <c r="D73" s="365">
        <f>IF(H73="个人住宅",0,ROUND(D63*I73,0))</f>
        <v>0</v>
      </c>
      <c r="E73" s="17" t="s">
        <v>412</v>
      </c>
      <c r="F73" s="363" t="str">
        <f>IF(H73="正常",I73,"免征")</f>
        <v>免征</v>
      </c>
      <c r="G73" s="364"/>
      <c r="H73" s="191" t="s">
        <v>2461</v>
      </c>
      <c r="I73" s="363">
        <f>'数据-取费表'!B49</f>
        <v>5.0000000000000001E-4</v>
      </c>
      <c r="J73" s="2039"/>
      <c r="K73" s="1980">
        <v>2</v>
      </c>
      <c r="L73" s="3329" t="s">
        <v>410</v>
      </c>
      <c r="M73" s="3329"/>
      <c r="N73" s="1298">
        <f t="shared" ref="N73:P74" si="1">D73</f>
        <v>0</v>
      </c>
      <c r="O73" s="1863" t="str">
        <f t="shared" si="1"/>
        <v>销售额×税（费）率</v>
      </c>
      <c r="P73" s="1299" t="str">
        <f t="shared" si="1"/>
        <v>免征</v>
      </c>
      <c r="Q73" s="2032"/>
      <c r="R73" s="2032"/>
      <c r="S73" s="2032"/>
      <c r="T73" s="2032"/>
      <c r="U73" s="2032"/>
      <c r="V73" s="2032"/>
    </row>
    <row r="74" spans="1:22" ht="24.75">
      <c r="A74" s="3323" t="s">
        <v>415</v>
      </c>
      <c r="B74" s="3291"/>
      <c r="C74" s="3291"/>
      <c r="D74" s="365">
        <f ca="1">IF(H74="个人住宅",D75,D76)</f>
        <v>15321</v>
      </c>
      <c r="E74" s="17" t="s">
        <v>416</v>
      </c>
      <c r="F74" s="363" t="str">
        <f>IF(H74="正常",F76,"免征")</f>
        <v>——</v>
      </c>
      <c r="G74" s="985" t="s">
        <v>417</v>
      </c>
      <c r="H74" s="366" t="s">
        <v>413</v>
      </c>
      <c r="I74" s="42"/>
      <c r="J74" s="2039"/>
      <c r="K74" s="1980">
        <v>3</v>
      </c>
      <c r="L74" s="3329" t="s">
        <v>414</v>
      </c>
      <c r="M74" s="3329"/>
      <c r="N74" s="1298">
        <f t="shared" ca="1" si="1"/>
        <v>15321</v>
      </c>
      <c r="O74" s="1863" t="str">
        <f t="shared" si="1"/>
        <v>增值额×税（费）率</v>
      </c>
      <c r="P74" s="1301" t="str">
        <f t="shared" si="1"/>
        <v>——</v>
      </c>
      <c r="Q74" s="2032"/>
      <c r="R74" s="2032"/>
      <c r="S74" s="2032"/>
      <c r="T74" s="2032"/>
      <c r="U74" s="2032"/>
      <c r="V74" s="2032"/>
    </row>
    <row r="75" spans="1:22" ht="24">
      <c r="A75" s="362" t="s">
        <v>418</v>
      </c>
      <c r="B75" s="3279" t="s">
        <v>419</v>
      </c>
      <c r="C75" s="3309"/>
      <c r="D75" s="367">
        <v>0</v>
      </c>
      <c r="E75" s="41" t="s">
        <v>420</v>
      </c>
      <c r="F75" s="368"/>
      <c r="G75" s="364"/>
      <c r="H75" s="42"/>
      <c r="I75" s="42"/>
      <c r="J75" s="2039"/>
      <c r="K75" s="3089">
        <f>IF(H77="非个人房产","",4)</f>
        <v>4</v>
      </c>
      <c r="L75" s="3329" t="str">
        <f>IF(H77="非个人房产","——","个人所得税")</f>
        <v>个人所得税</v>
      </c>
      <c r="M75" s="3329"/>
      <c r="N75" s="1302">
        <f ca="1">D77</f>
        <v>282</v>
      </c>
      <c r="O75" s="1876" t="str">
        <f>E77</f>
        <v>销售额×税（费）率</v>
      </c>
      <c r="P75" s="1303">
        <f>F77</f>
        <v>0.01</v>
      </c>
      <c r="Q75" s="2032"/>
      <c r="R75" s="2032"/>
      <c r="S75" s="2032"/>
      <c r="T75" s="2032"/>
      <c r="U75" s="2032"/>
      <c r="V75" s="2032"/>
    </row>
    <row r="76" spans="1:22" ht="24.75">
      <c r="A76" s="362" t="s">
        <v>396</v>
      </c>
      <c r="B76" s="3279" t="s">
        <v>422</v>
      </c>
      <c r="C76" s="3280"/>
      <c r="D76" s="365">
        <f ca="1">IF(H76="转让取得",C99,C115)</f>
        <v>15321</v>
      </c>
      <c r="E76" s="17" t="s">
        <v>423</v>
      </c>
      <c r="F76" s="53" t="s">
        <v>21</v>
      </c>
      <c r="G76" s="364"/>
      <c r="H76" s="366" t="s">
        <v>424</v>
      </c>
      <c r="I76" s="42"/>
      <c r="J76" s="2039"/>
      <c r="K76" s="3089" t="str">
        <f>IF(项目基本情况!K6="上海银行",IF(K75="",4,K75+1),"")</f>
        <v/>
      </c>
      <c r="L76" s="3340" t="str">
        <f>IF(项目基本情况!K6="上海银行","其他处置费用","")</f>
        <v/>
      </c>
      <c r="M76" s="3341"/>
      <c r="N76" s="1298" t="str">
        <f>IF(项目基本情况!K6="上海银行",N89,"")</f>
        <v/>
      </c>
      <c r="O76" s="3342" t="str">
        <f>IF(项目基本情况!K6="上海银行","包含处置中涉及的律师、诉讼、拍卖、评估等费用","")</f>
        <v/>
      </c>
      <c r="P76" s="3343"/>
      <c r="Q76" s="2032"/>
      <c r="R76" s="2032"/>
      <c r="S76" s="2032"/>
      <c r="T76" s="2032"/>
      <c r="U76" s="2032"/>
      <c r="V76" s="2032"/>
    </row>
    <row r="77" spans="1:22" ht="26.25" thickBot="1">
      <c r="A77" s="3331" t="s">
        <v>426</v>
      </c>
      <c r="B77" s="3332"/>
      <c r="C77" s="3332"/>
      <c r="D77" s="369">
        <f ca="1">IF(H77="非个人房产","——",IF(H77="个人住宅",0,ROUND(D63*I77,0)))</f>
        <v>282</v>
      </c>
      <c r="E77" s="370" t="str">
        <f>IF(H77="非个人房产","——","销售额×税（费）率")</f>
        <v>销售额×税（费）率</v>
      </c>
      <c r="F77" s="371">
        <f>IF(H77="非个人房产","——",IF(H77="个人住宅","免征",I77))</f>
        <v>0.01</v>
      </c>
      <c r="G77" s="986" t="s">
        <v>417</v>
      </c>
      <c r="H77" s="366" t="s">
        <v>2894</v>
      </c>
      <c r="I77" s="372">
        <v>0.01</v>
      </c>
      <c r="J77" s="2039"/>
      <c r="K77" s="3330">
        <f>IF(AND(K75="",K76=""),4,IF(项目基本情况!K6="上海银行",K76+1,K75+1))</f>
        <v>5</v>
      </c>
      <c r="L77" s="3329" t="s">
        <v>2895</v>
      </c>
      <c r="M77" s="3095" t="s">
        <v>421</v>
      </c>
      <c r="N77" s="1304"/>
      <c r="O77" s="1305">
        <f ca="1">SUMIF(N72:N76,"&lt;9e307")</f>
        <v>17079</v>
      </c>
      <c r="P77" s="1306"/>
      <c r="Q77" s="3093">
        <f ca="1">O77/N69</f>
        <v>0.36361507345113903</v>
      </c>
      <c r="R77" s="2032"/>
      <c r="S77" s="2032"/>
      <c r="T77" s="2032"/>
      <c r="U77" s="2032"/>
      <c r="V77" s="2032"/>
    </row>
    <row r="78" spans="1:22" ht="12" customHeight="1">
      <c r="A78" s="1307"/>
      <c r="B78" s="314"/>
      <c r="C78" s="314"/>
      <c r="D78" s="314"/>
      <c r="E78" s="42"/>
      <c r="F78" s="42"/>
      <c r="G78" s="42"/>
      <c r="H78" s="1005"/>
      <c r="I78" s="314"/>
      <c r="J78" s="2039"/>
      <c r="K78" s="3330"/>
      <c r="L78" s="3329"/>
      <c r="M78" s="3095" t="s">
        <v>425</v>
      </c>
      <c r="N78" s="1304"/>
      <c r="O78" s="1305" t="str">
        <f ca="1">NUMBERSTRING(INT(O77*10000),2)&amp;"元整"</f>
        <v>壹亿柒仟零柒拾玖万元整</v>
      </c>
      <c r="P78" s="1306"/>
      <c r="Q78" s="2032"/>
      <c r="R78" s="2032"/>
      <c r="S78" s="2032"/>
      <c r="T78" s="2032"/>
      <c r="U78" s="2032"/>
      <c r="V78" s="2032"/>
    </row>
    <row r="79" spans="1:22" ht="13.5" thickBot="1">
      <c r="A79" s="3324" t="s">
        <v>427</v>
      </c>
      <c r="B79" s="3324"/>
      <c r="C79" s="3324"/>
      <c r="D79" s="3324"/>
      <c r="E79" s="3324"/>
      <c r="F79" s="42"/>
      <c r="G79" s="42"/>
      <c r="H79" s="1005"/>
      <c r="I79" s="314"/>
      <c r="J79" s="2039"/>
      <c r="K79" s="3350">
        <f>K77+1</f>
        <v>6</v>
      </c>
      <c r="L79" s="3329" t="s">
        <v>2896</v>
      </c>
      <c r="M79" s="3095" t="s">
        <v>421</v>
      </c>
      <c r="N79" s="1304"/>
      <c r="O79" s="1305">
        <f ca="1">N69-O77</f>
        <v>29891</v>
      </c>
      <c r="P79" s="1306"/>
      <c r="Q79" s="2032"/>
      <c r="R79" s="2032"/>
      <c r="S79" s="2032"/>
      <c r="T79" s="2032"/>
      <c r="U79" s="2032"/>
      <c r="V79" s="2032"/>
    </row>
    <row r="80" spans="1:22" ht="25.5">
      <c r="A80" s="3319" t="s">
        <v>428</v>
      </c>
      <c r="B80" s="3320"/>
      <c r="C80" s="996"/>
      <c r="D80" s="996" t="s">
        <v>429</v>
      </c>
      <c r="E80" s="373" t="s">
        <v>430</v>
      </c>
      <c r="F80" s="42"/>
      <c r="G80" s="42"/>
      <c r="H80" s="1005"/>
      <c r="I80" s="314"/>
      <c r="J80" s="2032"/>
      <c r="K80" s="3351"/>
      <c r="L80" s="3329"/>
      <c r="M80" s="3095" t="s">
        <v>425</v>
      </c>
      <c r="N80" s="1304"/>
      <c r="O80" s="1305" t="str">
        <f ca="1">NUMBERSTRING(INT(O79*10000),2)&amp;"元整"</f>
        <v>贰亿玖仟捌佰玖拾壹万元整</v>
      </c>
      <c r="P80" s="1306"/>
      <c r="Q80" s="2032"/>
      <c r="R80" s="2032"/>
      <c r="S80" s="2032"/>
      <c r="T80" s="2032"/>
      <c r="U80" s="2032"/>
      <c r="V80" s="2032"/>
    </row>
    <row r="81" spans="1:26" ht="13.5" thickBot="1">
      <c r="A81" s="384" t="s">
        <v>1828</v>
      </c>
      <c r="B81" s="374" t="s">
        <v>431</v>
      </c>
      <c r="C81" s="375">
        <f ca="1">ROUND((C82+C83)/(1+'数据-取费表'!C42),0)</f>
        <v>26840</v>
      </c>
      <c r="D81" s="376"/>
      <c r="E81" s="377"/>
      <c r="F81" s="42"/>
      <c r="G81" s="42"/>
      <c r="H81" s="1005"/>
      <c r="I81" s="314"/>
      <c r="J81" s="2032"/>
      <c r="K81" s="3089">
        <f>K79+1</f>
        <v>7</v>
      </c>
      <c r="L81" s="3327" t="s">
        <v>2897</v>
      </c>
      <c r="M81" s="3328"/>
      <c r="N81" s="1308"/>
      <c r="O81" s="1309">
        <f ca="1">ROUND(O79*10000/'数据-汇总表'!E3,0)</f>
        <v>1156</v>
      </c>
      <c r="P81" s="1310"/>
      <c r="Q81" s="2032"/>
      <c r="R81" s="2032"/>
      <c r="S81" s="2032"/>
      <c r="T81" s="2032"/>
      <c r="U81" s="2032"/>
      <c r="V81" s="2032"/>
    </row>
    <row r="82" spans="1:26" ht="13.5" thickTop="1">
      <c r="A82" s="378" t="s">
        <v>1829</v>
      </c>
      <c r="B82" s="379" t="s">
        <v>432</v>
      </c>
      <c r="C82" s="380">
        <f ca="1">D63</f>
        <v>28182</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1830</v>
      </c>
      <c r="B83" s="379" t="s">
        <v>433</v>
      </c>
      <c r="C83" s="383">
        <v>0</v>
      </c>
      <c r="D83" s="381"/>
      <c r="E83" s="382"/>
      <c r="F83" s="42"/>
      <c r="G83" s="42"/>
      <c r="H83" s="1005"/>
      <c r="I83" s="314"/>
      <c r="J83" s="2032"/>
      <c r="K83" s="3339" t="s">
        <v>2884</v>
      </c>
      <c r="L83" s="3101" t="s">
        <v>2885</v>
      </c>
      <c r="M83" s="3091">
        <f ca="1">IF(N69&gt;10000,N69*0.5%,IF(AND(N69&gt;1000,N69&lt;=10000),N69*1%,IF(AND(N69&gt;100,N69&lt;=1000),N69*3%,IF(AND(N69&gt;10,N69&lt;=100),N69*5%,N69*8%))))</f>
        <v>234.85</v>
      </c>
      <c r="N83" s="53">
        <f ca="1">ROUND(M83,1)</f>
        <v>234.9</v>
      </c>
      <c r="O83" s="3094"/>
      <c r="P83" s="2032"/>
      <c r="Q83" s="2032"/>
      <c r="R83" s="2032"/>
      <c r="S83" s="2032"/>
      <c r="T83" s="2032"/>
      <c r="U83" s="2032"/>
      <c r="V83" s="2032"/>
    </row>
    <row r="84" spans="1:26" ht="12.75">
      <c r="A84" s="384" t="s">
        <v>1831</v>
      </c>
      <c r="B84" s="385" t="s">
        <v>434</v>
      </c>
      <c r="C84" s="386">
        <v>2000</v>
      </c>
      <c r="D84" s="387" t="s">
        <v>19</v>
      </c>
      <c r="E84" s="3134" t="s">
        <v>2943</v>
      </c>
      <c r="F84" s="42"/>
      <c r="G84" s="42"/>
      <c r="H84" s="1005"/>
      <c r="I84" s="314"/>
      <c r="J84" s="2032"/>
      <c r="K84" s="3339"/>
      <c r="L84" s="3101" t="s">
        <v>2886</v>
      </c>
      <c r="M84" s="3091">
        <f ca="1">IF(N69&gt;2000,N69*0.5%,IF(AND(N69&gt;1000,N69&lt;=2000),N69*0.6%,IF(AND(N69&gt;500,N69&lt;=1000),N69*0.7%,IF(AND(N69&gt;200,N69&lt;=500),N69*0.8%,IF(AND(N69&gt;100,N69&lt;=200),N69*0.9%,IF(AND(N69&gt;50,N69&lt;=100),N69*1%,IF(AND(N69&gt;20,N69&lt;=50),N69*1.5%,IF(AND(N69&gt;10,N69&lt;=20),N69*2%,IF(AND(N69&gt;1,N69&lt;=10),N69*2.5%)))))))))</f>
        <v>234.85</v>
      </c>
      <c r="N84" s="53">
        <f t="shared" ref="N84:N85" ca="1" si="2">ROUND(M84,1)</f>
        <v>234.9</v>
      </c>
      <c r="O84" s="2032" t="s">
        <v>2887</v>
      </c>
      <c r="P84" s="2032"/>
      <c r="Q84" s="2032"/>
      <c r="R84" s="2032"/>
      <c r="S84" s="2032"/>
      <c r="T84" s="2032"/>
      <c r="U84" s="2032"/>
      <c r="V84" s="2032"/>
    </row>
    <row r="85" spans="1:26" ht="12.75">
      <c r="A85" s="384" t="s">
        <v>1832</v>
      </c>
      <c r="B85" s="385" t="s">
        <v>435</v>
      </c>
      <c r="C85" s="388">
        <f ca="1">C81-C84</f>
        <v>24840</v>
      </c>
      <c r="D85" s="381" t="s">
        <v>19</v>
      </c>
      <c r="E85" s="382"/>
      <c r="F85" s="42"/>
      <c r="G85" s="42"/>
      <c r="H85" s="1005"/>
      <c r="I85" s="314"/>
      <c r="J85" s="2032"/>
      <c r="K85" s="3339"/>
      <c r="L85" s="3101" t="s">
        <v>2888</v>
      </c>
      <c r="M85" s="3091">
        <f ca="1">IF(N69&gt;1000,N69*0.1%,IF(AND(N69&gt;500,N69&lt;=1000),N69*0.5%,IF(AND(N69&gt;50,N69&lt;=500),N69*1%,IF(AND(N69&gt;1,N69&lt;=50),N69*1.5%))))</f>
        <v>46.97</v>
      </c>
      <c r="N85" s="53">
        <f t="shared" ca="1" si="2"/>
        <v>47</v>
      </c>
      <c r="O85" s="2032" t="s">
        <v>2887</v>
      </c>
      <c r="P85" s="2032"/>
      <c r="Q85" s="2032"/>
      <c r="R85" s="2032"/>
      <c r="S85" s="2032"/>
      <c r="T85" s="2032"/>
      <c r="U85" s="2032"/>
      <c r="V85" s="2032"/>
    </row>
    <row r="86" spans="1:26" ht="13.5" thickBot="1">
      <c r="A86" s="389" t="s">
        <v>1833</v>
      </c>
      <c r="B86" s="390" t="s">
        <v>436</v>
      </c>
      <c r="C86" s="391">
        <f ca="1">IF(C85&lt;=0,0,ROUND(C85*D86,0))</f>
        <v>1366</v>
      </c>
      <c r="D86" s="392">
        <f>'数据-取费表'!B41</f>
        <v>5.5000000000000007E-2</v>
      </c>
      <c r="E86" s="393"/>
      <c r="F86" s="42"/>
      <c r="G86" s="42"/>
      <c r="H86" s="1005"/>
      <c r="I86" s="314"/>
      <c r="J86" s="2032"/>
      <c r="K86" s="3339"/>
      <c r="L86" s="3101" t="s">
        <v>2889</v>
      </c>
      <c r="M86" s="3091">
        <f ca="1">N69*0.5%</f>
        <v>234.85</v>
      </c>
      <c r="N86" s="53">
        <f ca="1">IF(M86&gt;0.5,0.5,ROUND(M86,0))</f>
        <v>0.5</v>
      </c>
      <c r="O86" s="2032" t="s">
        <v>2890</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339"/>
      <c r="L87" s="3101" t="s">
        <v>2891</v>
      </c>
      <c r="M87" s="3091">
        <f ca="1">IF(N69&gt;=10000,(8.25+(N69-10000)*0.01%),IF(AND(N69&gt;=8000,N69&lt;10000),(7.85+(N69-8000)*0.02%),IF(AND(N69&gt;=5000,N69&lt;8000),(6.65+(N69-5000)*0.04%),IF(AND(N69&gt;=2000,N69&lt;5000),(4.25+(PN69-2000)*0.08%),IF(AND(N69&gt;=1000,N69&lt;2000),(2.75+(N69-1000)*0.15%),IF(AND(N69&gt;=100,N69&lt;1000),(0.5+(N69-100)*0.25%),IF(AND(N69&gt;0,N69&lt;100),N69*0.5%)))))))</f>
        <v>11.946999999999999</v>
      </c>
      <c r="N87" s="53">
        <f ca="1">ROUND(M87*0.9,1)</f>
        <v>10.8</v>
      </c>
      <c r="O87" s="3094"/>
      <c r="P87" s="314"/>
      <c r="Q87" s="2032"/>
      <c r="R87" s="2032"/>
      <c r="S87" s="2032"/>
      <c r="T87" s="2032"/>
      <c r="U87" s="2032"/>
      <c r="V87" s="2032"/>
      <c r="W87" s="292"/>
      <c r="X87" s="292"/>
      <c r="Y87" s="292"/>
      <c r="Z87" s="292"/>
    </row>
    <row r="88" spans="1:26" s="1316" customFormat="1" ht="15" thickBot="1">
      <c r="A88" s="3321" t="s">
        <v>437</v>
      </c>
      <c r="B88" s="3322"/>
      <c r="C88" s="3322"/>
      <c r="D88" s="3322"/>
      <c r="E88" s="3322"/>
      <c r="F88" s="3322"/>
      <c r="G88" s="3322"/>
      <c r="H88" s="3322"/>
      <c r="I88" s="1317"/>
      <c r="J88" s="2040"/>
      <c r="K88" s="3339"/>
      <c r="L88" s="3101" t="s">
        <v>2892</v>
      </c>
      <c r="M88" s="3091">
        <f ca="1">IF(N69&gt;10000,N69*0.5%,IF(AND(N69&gt;5000,N69&lt;=10000),N69*1%,IF(AND(N69&gt;1000,N69&lt;=5000),N69*2%,IF(AND(N69&gt;200,N69&lt;=1000),N69*3%,N69*5%))))</f>
        <v>234.85</v>
      </c>
      <c r="N88" s="53">
        <f ca="1">ROUND(M88,1)</f>
        <v>234.9</v>
      </c>
      <c r="O88" s="3094"/>
      <c r="P88" s="11"/>
      <c r="Q88" s="2037"/>
      <c r="R88" s="2037"/>
      <c r="S88" s="2037"/>
      <c r="T88" s="2037"/>
      <c r="U88" s="2037"/>
      <c r="V88" s="2037"/>
      <c r="W88" s="2041"/>
      <c r="X88" s="2041"/>
      <c r="Y88" s="2041"/>
      <c r="Z88" s="2041"/>
    </row>
    <row r="89" spans="1:26" s="1316" customFormat="1" ht="14.25">
      <c r="A89" s="3319" t="s">
        <v>428</v>
      </c>
      <c r="B89" s="3320"/>
      <c r="C89" s="996"/>
      <c r="D89" s="996" t="s">
        <v>429</v>
      </c>
      <c r="E89" s="394" t="s">
        <v>438</v>
      </c>
      <c r="F89" s="395"/>
      <c r="G89" s="395"/>
      <c r="H89" s="396"/>
      <c r="I89" s="1318"/>
      <c r="J89" s="2042"/>
      <c r="K89" s="3339"/>
      <c r="L89" s="3101" t="s">
        <v>27</v>
      </c>
      <c r="M89" s="3092"/>
      <c r="N89" s="53">
        <f ca="1">ROUND(SUM(N83:N88),0)</f>
        <v>763</v>
      </c>
      <c r="O89" s="3102">
        <f ca="1">N89/N69</f>
        <v>1.6244411326378539E-2</v>
      </c>
      <c r="P89" s="2037"/>
      <c r="Q89" s="2037"/>
      <c r="R89" s="2037"/>
      <c r="S89" s="2037"/>
      <c r="T89" s="2037"/>
      <c r="U89" s="2037"/>
      <c r="V89" s="2037"/>
      <c r="W89" s="2041"/>
      <c r="X89" s="2041"/>
      <c r="Y89" s="2041"/>
      <c r="Z89" s="2041"/>
    </row>
    <row r="90" spans="1:26" s="1316" customFormat="1" ht="14.25">
      <c r="A90" s="384" t="s">
        <v>1828</v>
      </c>
      <c r="B90" s="385" t="s">
        <v>439</v>
      </c>
      <c r="C90" s="388">
        <f ca="1">ROUND(D63/(1+'数据-取费表'!C42),0)</f>
        <v>26840</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1834</v>
      </c>
      <c r="B91" s="351" t="s">
        <v>440</v>
      </c>
      <c r="C91" s="388">
        <f ca="1">C92+C96</f>
        <v>2695</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1835</v>
      </c>
      <c r="B92" s="379" t="s">
        <v>441</v>
      </c>
      <c r="C92" s="381">
        <f>ROUND(IF(G95="2016年5月1日后购买",C93/(1+'数据-取费表'!C30)+C94+C95,C93+C94+C95),0)</f>
        <v>2561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1836</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1837</v>
      </c>
      <c r="B94" s="403" t="s">
        <v>446</v>
      </c>
      <c r="C94" s="381">
        <f>IF(F93="购房发票",ROUND(C93*H93*5%,0),0)</f>
        <v>500</v>
      </c>
      <c r="D94" s="404">
        <v>0.05</v>
      </c>
      <c r="E94" s="3282" t="s">
        <v>447</v>
      </c>
      <c r="F94" s="3281"/>
      <c r="G94" s="3281"/>
      <c r="H94" s="3318"/>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1839</v>
      </c>
      <c r="B96" s="379" t="s">
        <v>450</v>
      </c>
      <c r="C96" s="408">
        <f ca="1">ROUND(D63*D96/(1+'数据-取费表'!C42),0)</f>
        <v>134</v>
      </c>
      <c r="D96" s="409">
        <f>'数据-取费表'!B43</f>
        <v>5.000000000000001E-3</v>
      </c>
      <c r="E96" s="3310" t="s">
        <v>2433</v>
      </c>
      <c r="F96" s="3311"/>
      <c r="G96" s="3311"/>
      <c r="H96" s="3312"/>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1840</v>
      </c>
      <c r="B97" s="385" t="s">
        <v>451</v>
      </c>
      <c r="C97" s="388">
        <f ca="1">C90-C91</f>
        <v>24145</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1841</v>
      </c>
      <c r="B98" s="385" t="s">
        <v>452</v>
      </c>
      <c r="C98" s="410">
        <f ca="1">IF(C97&lt;=0,0,C97/C91)</f>
        <v>8.9591836734693882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1842</v>
      </c>
      <c r="B99" s="390" t="s">
        <v>453</v>
      </c>
      <c r="C99" s="411">
        <f ca="1">ROUND(IF(C97&lt;=0,0,IF(C98&gt;=200%,C97*60%-C91*35%,IF(C98&gt;=100%,C97*50%-C91*15%,IF(C98&gt;=50%,C97*40%-C91*5%,IF(C98&lt;50%,C97*30%,0))))),0)</f>
        <v>13544</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1" t="s">
        <v>454</v>
      </c>
      <c r="B101" s="3322"/>
      <c r="C101" s="3322"/>
      <c r="D101" s="3322"/>
      <c r="E101" s="3322"/>
      <c r="F101" s="3322"/>
      <c r="G101" s="3322"/>
      <c r="H101" s="3322"/>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19" t="s">
        <v>428</v>
      </c>
      <c r="B102" s="3320"/>
      <c r="C102" s="996"/>
      <c r="D102" s="996"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1828</v>
      </c>
      <c r="B103" s="385" t="s">
        <v>439</v>
      </c>
      <c r="C103" s="388">
        <f ca="1">ROUND(D63/(1+'数据-取费表'!C42),0)</f>
        <v>26840</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1834</v>
      </c>
      <c r="B104" s="351" t="s">
        <v>440</v>
      </c>
      <c r="C104" s="388">
        <f ca="1">IF(H106="仅含出让金",C105+C108+C109+C110+C111+C112,C105+C109+C110+C111+C112)</f>
        <v>824</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1835</v>
      </c>
      <c r="B105" s="379" t="s">
        <v>455</v>
      </c>
      <c r="C105" s="408">
        <f>C106+C107</f>
        <v>572</v>
      </c>
      <c r="D105" s="409"/>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8" t="s">
        <v>1836</v>
      </c>
      <c r="B106" s="379" t="s">
        <v>456</v>
      </c>
      <c r="C106" s="419">
        <v>555</v>
      </c>
      <c r="D106" s="409"/>
      <c r="E106" s="420" t="s">
        <v>457</v>
      </c>
      <c r="F106" s="988"/>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8" t="s">
        <v>1837</v>
      </c>
      <c r="B107" s="379" t="s">
        <v>448</v>
      </c>
      <c r="C107" s="408">
        <f>ROUND(C106*D107,0)</f>
        <v>17</v>
      </c>
      <c r="D107" s="409">
        <f>'数据-取费表'!B48+'数据-取费表'!B49</f>
        <v>3.0499999999999999E-2</v>
      </c>
      <c r="E107" s="420"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1839</v>
      </c>
      <c r="B108" s="379" t="s">
        <v>460</v>
      </c>
      <c r="C108" s="419"/>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1843</v>
      </c>
      <c r="B109" s="379" t="s">
        <v>461</v>
      </c>
      <c r="C109" s="408">
        <f>IF(H109="——",IF(F1="现房",'剩余法-现房'!C18,'剩余法-待开发'!C18),I109)</f>
        <v>55</v>
      </c>
      <c r="D109" s="409"/>
      <c r="E109" s="3313" t="s">
        <v>462</v>
      </c>
      <c r="F109" s="3311"/>
      <c r="G109" s="3311"/>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1844</v>
      </c>
      <c r="B110" s="379" t="s">
        <v>463</v>
      </c>
      <c r="C110" s="408">
        <f>ROUND((C105+C108+C109)*D110,0)</f>
        <v>63</v>
      </c>
      <c r="D110" s="409">
        <v>0.1</v>
      </c>
      <c r="E110" s="3313" t="s">
        <v>464</v>
      </c>
      <c r="F110" s="3311"/>
      <c r="G110" s="3311"/>
      <c r="H110" s="3312"/>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1845</v>
      </c>
      <c r="B111" s="379" t="s">
        <v>450</v>
      </c>
      <c r="C111" s="408">
        <f ca="1">ROUND(D63*D111/(1+'数据-取费表'!C42),0)</f>
        <v>134</v>
      </c>
      <c r="D111" s="409">
        <f>'数据-取费表'!B43</f>
        <v>5.000000000000001E-3</v>
      </c>
      <c r="E111" s="3310" t="s">
        <v>2433</v>
      </c>
      <c r="F111" s="3311"/>
      <c r="G111" s="3311"/>
      <c r="H111" s="3312"/>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1846</v>
      </c>
      <c r="B112" s="379" t="s">
        <v>465</v>
      </c>
      <c r="C112" s="408">
        <f>ROUND(C108*D112,0)</f>
        <v>0</v>
      </c>
      <c r="D112" s="409">
        <v>0.2</v>
      </c>
      <c r="E112" s="3313" t="s">
        <v>2458</v>
      </c>
      <c r="F112" s="3311"/>
      <c r="G112" s="3311"/>
      <c r="H112" s="3312"/>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1840</v>
      </c>
      <c r="B113" s="385" t="s">
        <v>451</v>
      </c>
      <c r="C113" s="388">
        <f ca="1">ROUND(C103-C104,0)</f>
        <v>26016</v>
      </c>
      <c r="D113" s="381" t="s">
        <v>19</v>
      </c>
      <c r="E113" s="993"/>
      <c r="F113" s="992"/>
      <c r="G113" s="992"/>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1841</v>
      </c>
      <c r="B114" s="385" t="s">
        <v>452</v>
      </c>
      <c r="C114" s="410">
        <f ca="1">IF(C113&lt;=0,0,C113/C104)</f>
        <v>31.572815533980581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1842</v>
      </c>
      <c r="B115" s="390" t="s">
        <v>453</v>
      </c>
      <c r="C115" s="411">
        <f ca="1">ROUND(IF(C113&lt;=0,0,IF(C114&gt;=200%,C113*60%-C104*35%,IF(C114&gt;=100%,C113*50%-C104*15%,IF(C114&gt;=50%,C113*40%-C104*5%,IF(C114&lt;50%,C113*30%,0))))),0)</f>
        <v>15321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G52" sqref="G5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36604</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3" t="s">
        <v>1688</v>
      </c>
      <c r="B3" s="513">
        <f>ROUND(B2*10000/'数据-汇总表'!E3,0)</f>
        <v>1416</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3115</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208</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522</v>
      </c>
      <c r="B6" s="516"/>
      <c r="C6" s="3364" t="s">
        <v>523</v>
      </c>
      <c r="D6" s="3365"/>
      <c r="E6" s="3364" t="s">
        <v>524</v>
      </c>
      <c r="F6" s="3365"/>
      <c r="G6" s="3364" t="s">
        <v>525</v>
      </c>
      <c r="H6" s="3365"/>
      <c r="I6" s="3364" t="s">
        <v>526</v>
      </c>
      <c r="J6" s="3365"/>
      <c r="K6" s="517" t="s">
        <v>527</v>
      </c>
      <c r="L6" s="2141"/>
      <c r="M6" s="2140"/>
      <c r="N6" s="2140"/>
      <c r="O6" s="2142"/>
      <c r="P6" s="3366" t="s">
        <v>528</v>
      </c>
      <c r="Q6" s="3367"/>
      <c r="R6" s="3372" t="s">
        <v>524</v>
      </c>
      <c r="S6" s="3373"/>
      <c r="T6" s="3372" t="s">
        <v>525</v>
      </c>
      <c r="U6" s="3373"/>
      <c r="V6" s="3359" t="s">
        <v>526</v>
      </c>
      <c r="W6" s="3359"/>
      <c r="X6" s="1570"/>
      <c r="Y6" s="3372" t="s">
        <v>528</v>
      </c>
      <c r="Z6" s="3373"/>
      <c r="AA6" s="3361" t="s">
        <v>524</v>
      </c>
      <c r="AB6" s="3362" t="s">
        <v>525</v>
      </c>
      <c r="AC6" s="3361" t="s">
        <v>526</v>
      </c>
    </row>
    <row r="7" spans="1:30" ht="20.25">
      <c r="A7" s="518"/>
      <c r="B7" s="519"/>
      <c r="C7" s="3382" t="s">
        <v>2930</v>
      </c>
      <c r="D7" s="3381"/>
      <c r="E7" s="3380" t="s">
        <v>3066</v>
      </c>
      <c r="F7" s="3381"/>
      <c r="G7" s="3380" t="s">
        <v>3067</v>
      </c>
      <c r="H7" s="3381"/>
      <c r="I7" s="3380" t="s">
        <v>3068</v>
      </c>
      <c r="J7" s="3381"/>
      <c r="K7" s="517"/>
      <c r="L7" s="2141"/>
      <c r="M7" s="2140"/>
      <c r="N7" s="2140"/>
      <c r="O7" s="2142"/>
      <c r="P7" s="3368"/>
      <c r="Q7" s="3369"/>
      <c r="R7" s="3374"/>
      <c r="S7" s="3375"/>
      <c r="T7" s="3374"/>
      <c r="U7" s="3375"/>
      <c r="V7" s="3359"/>
      <c r="W7" s="3359"/>
      <c r="X7" s="1570"/>
      <c r="Y7" s="3374"/>
      <c r="Z7" s="3375"/>
      <c r="AA7" s="3362"/>
      <c r="AB7" s="3362"/>
      <c r="AC7" s="3362"/>
    </row>
    <row r="8" spans="1:30" ht="21" thickBot="1">
      <c r="A8" s="518"/>
      <c r="B8" s="519"/>
      <c r="C8" s="3383" t="s">
        <v>2934</v>
      </c>
      <c r="D8" s="3384"/>
      <c r="E8" s="3383" t="s">
        <v>2934</v>
      </c>
      <c r="F8" s="3384"/>
      <c r="G8" s="3378" t="s">
        <v>2934</v>
      </c>
      <c r="H8" s="3379"/>
      <c r="I8" s="3378" t="s">
        <v>2934</v>
      </c>
      <c r="J8" s="3379"/>
      <c r="K8" s="517" t="s">
        <v>529</v>
      </c>
      <c r="L8" s="2141"/>
      <c r="M8" s="2140"/>
      <c r="N8" s="2140"/>
      <c r="O8" s="2142"/>
      <c r="P8" s="3370"/>
      <c r="Q8" s="3371"/>
      <c r="R8" s="3374"/>
      <c r="S8" s="3375"/>
      <c r="T8" s="3376"/>
      <c r="U8" s="3377"/>
      <c r="V8" s="3359"/>
      <c r="W8" s="3359"/>
      <c r="X8" s="1570"/>
      <c r="Y8" s="3376"/>
      <c r="Z8" s="3377"/>
      <c r="AA8" s="3363"/>
      <c r="AB8" s="3363"/>
      <c r="AC8" s="3363"/>
    </row>
    <row r="9" spans="1:30" s="1222" customFormat="1" ht="21" thickBot="1">
      <c r="A9" s="2949"/>
      <c r="B9" s="2956" t="s">
        <v>530</v>
      </c>
      <c r="C9" s="2948">
        <f>'数据-取费表'!B2</f>
        <v>42997</v>
      </c>
      <c r="D9" s="523">
        <v>100</v>
      </c>
      <c r="E9" s="524">
        <v>42998</v>
      </c>
      <c r="F9" s="525">
        <f>SUMIF(72:72,YEAR(E9)&amp;"-"&amp;INT((MONTH(E9)+2)/3),73:73)</f>
        <v>100</v>
      </c>
      <c r="G9" s="526">
        <v>42984</v>
      </c>
      <c r="H9" s="523">
        <f>SUMIF(72:72,YEAR(G9)&amp;"-"&amp;INT((MONTH(G9)+2)/3),73:73)</f>
        <v>100</v>
      </c>
      <c r="I9" s="526">
        <v>42825</v>
      </c>
      <c r="J9" s="523">
        <f>SUMIF(72:72,YEAR(I9)&amp;"-"&amp;INT((MONTH(I9)+2)/3),73:73)</f>
        <v>98</v>
      </c>
      <c r="K9" s="527"/>
      <c r="L9" s="2143"/>
      <c r="M9" s="2140"/>
      <c r="N9" s="2140"/>
      <c r="O9" s="2144"/>
      <c r="P9" s="3390" t="s">
        <v>531</v>
      </c>
      <c r="Q9" s="3392"/>
      <c r="R9" s="1571" t="s">
        <v>8</v>
      </c>
      <c r="S9" s="1572">
        <f t="shared" ref="S9:S17" si="0">F9</f>
        <v>100</v>
      </c>
      <c r="T9" s="1571" t="s">
        <v>8</v>
      </c>
      <c r="U9" s="1572">
        <f t="shared" ref="U9:U17" si="1">H9</f>
        <v>100</v>
      </c>
      <c r="V9" s="1571" t="s">
        <v>8</v>
      </c>
      <c r="W9" s="1572">
        <f t="shared" ref="W9:W17" si="2">J9</f>
        <v>98</v>
      </c>
      <c r="X9" s="1573"/>
      <c r="Y9" s="3390" t="s">
        <v>531</v>
      </c>
      <c r="Z9" s="3391"/>
      <c r="AA9" s="1574">
        <f>D9/F9</f>
        <v>1</v>
      </c>
      <c r="AB9" s="1574">
        <f>D9/H9</f>
        <v>1</v>
      </c>
      <c r="AC9" s="1574">
        <f>D9/J9</f>
        <v>1.0204081632653061</v>
      </c>
    </row>
    <row r="10" spans="1:30" s="1222" customFormat="1" ht="21" thickBot="1">
      <c r="A10" s="2950"/>
      <c r="B10" s="2957"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3"/>
      <c r="M10" s="2140"/>
      <c r="N10" s="2140"/>
      <c r="O10" s="2144"/>
      <c r="P10" s="3390" t="s">
        <v>534</v>
      </c>
      <c r="Q10" s="3391"/>
      <c r="R10" s="1571" t="s">
        <v>8</v>
      </c>
      <c r="S10" s="1572">
        <f t="shared" si="0"/>
        <v>100</v>
      </c>
      <c r="T10" s="1571" t="s">
        <v>8</v>
      </c>
      <c r="U10" s="1572">
        <f t="shared" si="1"/>
        <v>100</v>
      </c>
      <c r="V10" s="1571" t="s">
        <v>8</v>
      </c>
      <c r="W10" s="1572">
        <f t="shared" si="2"/>
        <v>100</v>
      </c>
      <c r="X10" s="1573"/>
      <c r="Y10" s="3390" t="s">
        <v>534</v>
      </c>
      <c r="Z10" s="3391"/>
      <c r="AA10" s="1574">
        <f t="shared" ref="AA10:AA47" si="3">D10/F10</f>
        <v>1</v>
      </c>
      <c r="AB10" s="1574">
        <f t="shared" ref="AB10:AB47" si="4">D10/H10</f>
        <v>1</v>
      </c>
      <c r="AC10" s="1574">
        <f t="shared" ref="AC10:AC47" si="5">D10/J10</f>
        <v>1</v>
      </c>
    </row>
    <row r="11" spans="1:30" s="1222" customFormat="1" ht="20.25">
      <c r="A11" s="2951"/>
      <c r="B11" s="2958" t="s">
        <v>2766</v>
      </c>
      <c r="C11" s="2945" t="s">
        <v>926</v>
      </c>
      <c r="D11" s="254">
        <v>100</v>
      </c>
      <c r="E11" s="2945" t="s">
        <v>926</v>
      </c>
      <c r="F11" s="254">
        <f>SUMIF(77:77,E11,78:78)-SUMIF(77:77,C11,78:78)+100</f>
        <v>100</v>
      </c>
      <c r="G11" s="2945" t="s">
        <v>926</v>
      </c>
      <c r="H11" s="254">
        <f>SUMIF(77:77,G11,78:78)-SUMIF(77:77,C11,78:78)+100</f>
        <v>100</v>
      </c>
      <c r="I11" s="2945" t="s">
        <v>926</v>
      </c>
      <c r="J11" s="254">
        <f>SUMIF(77:77,I11,78:78)-SUMIF(77:77,C11,78:78)+100</f>
        <v>100</v>
      </c>
      <c r="K11" s="527"/>
      <c r="L11" s="2143"/>
      <c r="M11" s="2140"/>
      <c r="N11" s="2140"/>
      <c r="O11" s="2145"/>
      <c r="P11" s="3358" t="s">
        <v>536</v>
      </c>
      <c r="Q11" s="1153" t="str">
        <f t="shared" ref="Q11:Q17" si="6">B11</f>
        <v>用途</v>
      </c>
      <c r="R11" s="1571" t="s">
        <v>8</v>
      </c>
      <c r="S11" s="1572">
        <f t="shared" si="0"/>
        <v>100</v>
      </c>
      <c r="T11" s="1571" t="s">
        <v>8</v>
      </c>
      <c r="U11" s="1572">
        <f t="shared" si="1"/>
        <v>100</v>
      </c>
      <c r="V11" s="1571" t="s">
        <v>8</v>
      </c>
      <c r="W11" s="1572">
        <f t="shared" si="2"/>
        <v>100</v>
      </c>
      <c r="X11" s="1573"/>
      <c r="Y11" s="3304" t="s">
        <v>537</v>
      </c>
      <c r="Z11" s="1152" t="str">
        <f t="shared" ref="Z11:Z17" si="7">Q11</f>
        <v>用途</v>
      </c>
      <c r="AA11" s="1574">
        <f t="shared" si="3"/>
        <v>1</v>
      </c>
      <c r="AB11" s="1574">
        <f t="shared" si="4"/>
        <v>1</v>
      </c>
      <c r="AC11" s="1574">
        <f t="shared" si="5"/>
        <v>1</v>
      </c>
    </row>
    <row r="12" spans="1:30" s="1340" customFormat="1" ht="27">
      <c r="A12" s="2952"/>
      <c r="B12" s="2957" t="s">
        <v>2767</v>
      </c>
      <c r="C12" s="913">
        <f>'数据-取费表'!F6</f>
        <v>69.7</v>
      </c>
      <c r="D12" s="255">
        <v>100</v>
      </c>
      <c r="E12" s="532" t="s">
        <v>3034</v>
      </c>
      <c r="F12" s="255">
        <f>ROUND(100/'数据-取费表'!G16,0)</f>
        <v>100</v>
      </c>
      <c r="G12" s="532" t="s">
        <v>3034</v>
      </c>
      <c r="H12" s="255">
        <f>ROUND(100/'数据-取费表'!G16,0)</f>
        <v>100</v>
      </c>
      <c r="I12" s="532" t="s">
        <v>3034</v>
      </c>
      <c r="J12" s="255">
        <f>ROUND(100/'数据-取费表'!G16,0)</f>
        <v>100</v>
      </c>
      <c r="K12" s="534"/>
      <c r="L12" s="2146"/>
      <c r="M12" s="2140"/>
      <c r="N12" s="2140"/>
      <c r="O12" s="2147"/>
      <c r="P12" s="3358"/>
      <c r="Q12" s="1153" t="str">
        <f t="shared" si="6"/>
        <v>土地使用年限（年）</v>
      </c>
      <c r="R12" s="1571" t="s">
        <v>8</v>
      </c>
      <c r="S12" s="1572">
        <f t="shared" si="0"/>
        <v>100</v>
      </c>
      <c r="T12" s="1571" t="s">
        <v>8</v>
      </c>
      <c r="U12" s="1572">
        <f t="shared" si="1"/>
        <v>100</v>
      </c>
      <c r="V12" s="1571" t="s">
        <v>8</v>
      </c>
      <c r="W12" s="1572">
        <f t="shared" si="2"/>
        <v>100</v>
      </c>
      <c r="X12" s="1573"/>
      <c r="Y12" s="3304"/>
      <c r="Z12" s="1152" t="str">
        <f t="shared" si="7"/>
        <v>土地使用年限（年）</v>
      </c>
      <c r="AA12" s="1574">
        <f t="shared" si="3"/>
        <v>1</v>
      </c>
      <c r="AB12" s="1574">
        <f t="shared" si="4"/>
        <v>1</v>
      </c>
      <c r="AC12" s="1574">
        <f t="shared" si="5"/>
        <v>1</v>
      </c>
    </row>
    <row r="13" spans="1:30" ht="20.25">
      <c r="A13" s="2953"/>
      <c r="B13" s="2957" t="s">
        <v>2768</v>
      </c>
      <c r="C13" s="537">
        <v>2.2000000000000002</v>
      </c>
      <c r="D13" s="255">
        <v>100</v>
      </c>
      <c r="E13" s="536">
        <v>2.5</v>
      </c>
      <c r="F13" s="255">
        <f>LOOKUP(E13,82:82,83:83)-LOOKUP(C13,82:82,83:83)+100</f>
        <v>99</v>
      </c>
      <c r="G13" s="537">
        <v>2.81</v>
      </c>
      <c r="H13" s="255">
        <f>LOOKUP(G13,82:82,83:83)-LOOKUP(C13,82:82,83:83)+100</f>
        <v>99</v>
      </c>
      <c r="I13" s="536">
        <v>2.5</v>
      </c>
      <c r="J13" s="255">
        <f>LOOKUP(I13,82:82,83:83)-LOOKUP(C13,82:82,83:83)+100</f>
        <v>99</v>
      </c>
      <c r="K13" s="538">
        <v>1</v>
      </c>
      <c r="L13" s="2148"/>
      <c r="M13" s="2140"/>
      <c r="N13" s="2140"/>
      <c r="O13" s="2149"/>
      <c r="P13" s="3358"/>
      <c r="Q13" s="1153" t="str">
        <f t="shared" si="6"/>
        <v>容积率</v>
      </c>
      <c r="R13" s="1571" t="s">
        <v>8</v>
      </c>
      <c r="S13" s="1572">
        <f t="shared" si="0"/>
        <v>99</v>
      </c>
      <c r="T13" s="1571" t="s">
        <v>8</v>
      </c>
      <c r="U13" s="1572">
        <f t="shared" si="1"/>
        <v>99</v>
      </c>
      <c r="V13" s="1571" t="s">
        <v>8</v>
      </c>
      <c r="W13" s="1572">
        <f t="shared" si="2"/>
        <v>99</v>
      </c>
      <c r="X13" s="1573"/>
      <c r="Y13" s="3304"/>
      <c r="Z13" s="1152" t="str">
        <f t="shared" si="7"/>
        <v>容积率</v>
      </c>
      <c r="AA13" s="1574">
        <f t="shared" si="3"/>
        <v>1.0101010101010102</v>
      </c>
      <c r="AB13" s="1574">
        <f t="shared" si="4"/>
        <v>1.0101010101010102</v>
      </c>
      <c r="AC13" s="1574">
        <f t="shared" si="5"/>
        <v>1.0101010101010102</v>
      </c>
    </row>
    <row r="14" spans="1:30" s="1222" customFormat="1" ht="21" thickBot="1">
      <c r="A14" s="2950"/>
      <c r="B14" s="2959" t="s">
        <v>2769</v>
      </c>
      <c r="C14" s="2946" t="s">
        <v>3014</v>
      </c>
      <c r="D14" s="541">
        <v>100</v>
      </c>
      <c r="E14" s="1378" t="s">
        <v>3015</v>
      </c>
      <c r="F14" s="255">
        <f>SUMIF(84:84,E14,85:85)-SUMIF(84:84,C14,85:85)+100</f>
        <v>120</v>
      </c>
      <c r="G14" s="1378" t="s">
        <v>3015</v>
      </c>
      <c r="H14" s="255">
        <f>SUMIF(84:84,G14,85:85)-SUMIF(84:84,C14,85:85)+100</f>
        <v>120</v>
      </c>
      <c r="I14" s="1378" t="s">
        <v>3015</v>
      </c>
      <c r="J14" s="255">
        <f>SUMIF(84:84,I14,85:85)-SUMIF(84:84,C14,85:85)+100</f>
        <v>120</v>
      </c>
      <c r="K14" s="534"/>
      <c r="L14" s="2143"/>
      <c r="M14" s="2140"/>
      <c r="N14" s="2140"/>
      <c r="O14" s="2145"/>
      <c r="P14" s="3358"/>
      <c r="Q14" s="1153" t="str">
        <f t="shared" si="6"/>
        <v>配建</v>
      </c>
      <c r="R14" s="1571" t="s">
        <v>8</v>
      </c>
      <c r="S14" s="1572">
        <f t="shared" si="0"/>
        <v>120</v>
      </c>
      <c r="T14" s="1571" t="s">
        <v>8</v>
      </c>
      <c r="U14" s="1572">
        <f t="shared" si="1"/>
        <v>120</v>
      </c>
      <c r="V14" s="1571" t="s">
        <v>8</v>
      </c>
      <c r="W14" s="1572">
        <f t="shared" si="2"/>
        <v>120</v>
      </c>
      <c r="X14" s="1573"/>
      <c r="Y14" s="3304"/>
      <c r="Z14" s="1152" t="str">
        <f t="shared" si="7"/>
        <v>配建</v>
      </c>
      <c r="AA14" s="1574">
        <f>D14/F14</f>
        <v>0.83333333333333337</v>
      </c>
      <c r="AB14" s="1574">
        <f>D14/H14</f>
        <v>0.83333333333333337</v>
      </c>
      <c r="AC14" s="1574">
        <f>D14/J14</f>
        <v>0.83333333333333337</v>
      </c>
    </row>
    <row r="15" spans="1:30" ht="20.25" hidden="1">
      <c r="A15" s="2954"/>
      <c r="B15" s="2960">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58"/>
      <c r="Q15" s="1153">
        <f t="shared" si="6"/>
        <v>111</v>
      </c>
      <c r="R15" s="1571" t="s">
        <v>8</v>
      </c>
      <c r="S15" s="1572">
        <f t="shared" si="0"/>
        <v>100</v>
      </c>
      <c r="T15" s="1571" t="s">
        <v>8</v>
      </c>
      <c r="U15" s="1572">
        <f t="shared" si="1"/>
        <v>100</v>
      </c>
      <c r="V15" s="1571" t="s">
        <v>8</v>
      </c>
      <c r="W15" s="1572">
        <f t="shared" si="2"/>
        <v>100</v>
      </c>
      <c r="X15" s="1573"/>
      <c r="Y15" s="3304"/>
      <c r="Z15" s="1152">
        <f t="shared" si="7"/>
        <v>111</v>
      </c>
      <c r="AA15" s="1574">
        <f>D15/F15</f>
        <v>1</v>
      </c>
      <c r="AB15" s="1574">
        <f>D15/H15</f>
        <v>1</v>
      </c>
      <c r="AC15" s="1574">
        <f>D15/J15</f>
        <v>1</v>
      </c>
    </row>
    <row r="16" spans="1:30" ht="21" hidden="1" thickBot="1">
      <c r="A16" s="2955"/>
      <c r="B16" s="2961">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58"/>
      <c r="Q16" s="1153">
        <f t="shared" si="6"/>
        <v>111</v>
      </c>
      <c r="R16" s="1571" t="s">
        <v>8</v>
      </c>
      <c r="S16" s="1572">
        <f t="shared" si="0"/>
        <v>100</v>
      </c>
      <c r="T16" s="1571" t="s">
        <v>8</v>
      </c>
      <c r="U16" s="1572">
        <f t="shared" si="1"/>
        <v>100</v>
      </c>
      <c r="V16" s="1571" t="s">
        <v>8</v>
      </c>
      <c r="W16" s="1572">
        <f t="shared" si="2"/>
        <v>100</v>
      </c>
      <c r="X16" s="1573"/>
      <c r="Y16" s="3304"/>
      <c r="Z16" s="1152">
        <f t="shared" si="7"/>
        <v>111</v>
      </c>
      <c r="AA16" s="1574">
        <f>D16/F16</f>
        <v>1</v>
      </c>
      <c r="AB16" s="1574">
        <f>D16/H16</f>
        <v>1</v>
      </c>
      <c r="AC16" s="1574">
        <f>D16/J16</f>
        <v>1</v>
      </c>
    </row>
    <row r="17" spans="1:29" ht="54.75">
      <c r="A17" s="2947" t="s">
        <v>2764</v>
      </c>
      <c r="B17" s="581" t="s">
        <v>295</v>
      </c>
      <c r="C17" s="551" t="str">
        <f>估价对象房地状况!C15</f>
        <v>一般</v>
      </c>
      <c r="D17" s="554">
        <v>100</v>
      </c>
      <c r="E17" s="3186" t="s">
        <v>3069</v>
      </c>
      <c r="F17" s="552">
        <f>SUMIF(90:90,E18,91:91)-SUMIF(90:90,C18,91:91)+100</f>
        <v>100</v>
      </c>
      <c r="G17" s="3188" t="s">
        <v>3077</v>
      </c>
      <c r="H17" s="552">
        <f>SUMIF(90:90,G18,91:91)-SUMIF(90:90,C18,91:91)+100</f>
        <v>102</v>
      </c>
      <c r="I17" s="555" t="s">
        <v>3084</v>
      </c>
      <c r="J17" s="552">
        <f>SUMIF(90:90,I18,91:91)-SUMIF(90:90,C18,91:91)+100</f>
        <v>102</v>
      </c>
      <c r="K17" s="538">
        <v>2</v>
      </c>
      <c r="L17" s="2150"/>
      <c r="M17" s="2140"/>
      <c r="N17" s="2140"/>
      <c r="O17" s="2149"/>
      <c r="P17" s="3393" t="s">
        <v>541</v>
      </c>
      <c r="Q17" s="1575" t="str">
        <f t="shared" si="6"/>
        <v>居住社区成熟度</v>
      </c>
      <c r="R17" s="1576" t="s">
        <v>8</v>
      </c>
      <c r="S17" s="1577">
        <f t="shared" si="0"/>
        <v>100</v>
      </c>
      <c r="T17" s="1576" t="s">
        <v>8</v>
      </c>
      <c r="U17" s="1577">
        <f t="shared" si="1"/>
        <v>102</v>
      </c>
      <c r="V17" s="1576" t="s">
        <v>8</v>
      </c>
      <c r="W17" s="1577">
        <f t="shared" si="2"/>
        <v>102</v>
      </c>
      <c r="X17" s="1570"/>
      <c r="Y17" s="3393" t="s">
        <v>541</v>
      </c>
      <c r="Z17" s="1578" t="str">
        <f t="shared" si="7"/>
        <v>居住社区成熟度</v>
      </c>
      <c r="AA17" s="1579">
        <f t="shared" si="3"/>
        <v>1</v>
      </c>
      <c r="AB17" s="1579">
        <f t="shared" si="4"/>
        <v>0.98039215686274506</v>
      </c>
      <c r="AC17" s="1579">
        <f t="shared" si="5"/>
        <v>0.98039215686274506</v>
      </c>
    </row>
    <row r="18" spans="1:29" ht="20.25">
      <c r="A18" s="535"/>
      <c r="B18" s="556"/>
      <c r="C18" s="557" t="s">
        <v>3006</v>
      </c>
      <c r="D18" s="560"/>
      <c r="E18" s="557" t="s">
        <v>3006</v>
      </c>
      <c r="F18" s="558"/>
      <c r="G18" s="557" t="s">
        <v>3011</v>
      </c>
      <c r="H18" s="562"/>
      <c r="I18" s="557" t="s">
        <v>3011</v>
      </c>
      <c r="J18" s="558"/>
      <c r="K18" s="534"/>
      <c r="L18" s="2150"/>
      <c r="M18" s="2140"/>
      <c r="N18" s="2140"/>
      <c r="O18" s="2149"/>
      <c r="P18" s="3394"/>
      <c r="Q18" s="1575"/>
      <c r="R18" s="1576"/>
      <c r="S18" s="1577"/>
      <c r="T18" s="1576"/>
      <c r="U18" s="1577"/>
      <c r="V18" s="1576"/>
      <c r="W18" s="1577"/>
      <c r="X18" s="1570"/>
      <c r="Y18" s="3394"/>
      <c r="Z18" s="1578"/>
      <c r="AA18" s="1579">
        <v>1</v>
      </c>
      <c r="AB18" s="1579">
        <v>1</v>
      </c>
      <c r="AC18" s="1579">
        <v>1</v>
      </c>
    </row>
    <row r="19" spans="1:29" ht="54">
      <c r="A19" s="535"/>
      <c r="B19" s="563" t="s">
        <v>542</v>
      </c>
      <c r="C19" s="564" t="str">
        <f>估价对象房地状况!C16</f>
        <v>一般</v>
      </c>
      <c r="D19" s="566">
        <v>100</v>
      </c>
      <c r="E19" s="3187" t="s">
        <v>3070</v>
      </c>
      <c r="F19" s="562">
        <f>SUMIF(92:92,E20,93:93)-SUMIF(92:92,C20,93:93)+100</f>
        <v>98</v>
      </c>
      <c r="G19" s="3189" t="s">
        <v>3078</v>
      </c>
      <c r="H19" s="568">
        <f>SUMIF(92:92,G20,93:93)-SUMIF(92:92,C20,93:93)+100</f>
        <v>102</v>
      </c>
      <c r="I19" s="3187" t="s">
        <v>3085</v>
      </c>
      <c r="J19" s="568">
        <f>SUMIF(92:92,I20,93:93)-SUMIF(92:92,C20,93:93)+100</f>
        <v>100</v>
      </c>
      <c r="K19" s="538">
        <v>2</v>
      </c>
      <c r="L19" s="2150"/>
      <c r="M19" s="2140"/>
      <c r="N19" s="2140"/>
      <c r="O19" s="2149"/>
      <c r="P19" s="3394"/>
      <c r="Q19" s="1575" t="str">
        <f>B19</f>
        <v>商业繁华度</v>
      </c>
      <c r="R19" s="1576" t="s">
        <v>8</v>
      </c>
      <c r="S19" s="1577">
        <f>F19</f>
        <v>98</v>
      </c>
      <c r="T19" s="1576" t="s">
        <v>8</v>
      </c>
      <c r="U19" s="1577">
        <f>H19</f>
        <v>102</v>
      </c>
      <c r="V19" s="1576" t="s">
        <v>8</v>
      </c>
      <c r="W19" s="1577">
        <f>J19</f>
        <v>100</v>
      </c>
      <c r="X19" s="1570"/>
      <c r="Y19" s="3394"/>
      <c r="Z19" s="1578" t="str">
        <f>Q19</f>
        <v>商业繁华度</v>
      </c>
      <c r="AA19" s="1579">
        <f t="shared" si="3"/>
        <v>1.0204081632653061</v>
      </c>
      <c r="AB19" s="1579">
        <f t="shared" si="4"/>
        <v>0.98039215686274506</v>
      </c>
      <c r="AC19" s="1579">
        <f t="shared" si="5"/>
        <v>1</v>
      </c>
    </row>
    <row r="20" spans="1:29" ht="20.25">
      <c r="A20" s="535"/>
      <c r="B20" s="569"/>
      <c r="C20" s="557" t="s">
        <v>3006</v>
      </c>
      <c r="D20" s="566"/>
      <c r="E20" s="557" t="s">
        <v>3071</v>
      </c>
      <c r="F20" s="562"/>
      <c r="G20" s="557" t="s">
        <v>3011</v>
      </c>
      <c r="H20" s="558"/>
      <c r="I20" s="557" t="s">
        <v>3006</v>
      </c>
      <c r="J20" s="558"/>
      <c r="K20" s="534"/>
      <c r="L20" s="2150"/>
      <c r="M20" s="2140"/>
      <c r="N20" s="2140"/>
      <c r="O20" s="2149"/>
      <c r="P20" s="3394"/>
      <c r="Q20" s="1575"/>
      <c r="R20" s="1576"/>
      <c r="S20" s="1577"/>
      <c r="T20" s="1576"/>
      <c r="U20" s="1577"/>
      <c r="V20" s="1576"/>
      <c r="W20" s="1577"/>
      <c r="X20" s="1570"/>
      <c r="Y20" s="3394"/>
      <c r="Z20" s="1578"/>
      <c r="AA20" s="1579">
        <v>1</v>
      </c>
      <c r="AB20" s="1579">
        <v>1</v>
      </c>
      <c r="AC20" s="1579">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94"/>
      <c r="Q21" s="1575" t="str">
        <f>B21</f>
        <v>办公集聚程度</v>
      </c>
      <c r="R21" s="1576" t="s">
        <v>8</v>
      </c>
      <c r="S21" s="1577">
        <f>F21</f>
        <v>100</v>
      </c>
      <c r="T21" s="1576" t="s">
        <v>8</v>
      </c>
      <c r="U21" s="1577">
        <f>H21</f>
        <v>100</v>
      </c>
      <c r="V21" s="1576" t="s">
        <v>8</v>
      </c>
      <c r="W21" s="1577">
        <f>J21</f>
        <v>100</v>
      </c>
      <c r="X21" s="1570"/>
      <c r="Y21" s="3394"/>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50"/>
      <c r="M22" s="2140"/>
      <c r="N22" s="2140"/>
      <c r="O22" s="2149"/>
      <c r="P22" s="3394"/>
      <c r="Q22" s="1575"/>
      <c r="R22" s="1576"/>
      <c r="S22" s="1577"/>
      <c r="T22" s="1576"/>
      <c r="U22" s="1577"/>
      <c r="V22" s="1576"/>
      <c r="W22" s="1577"/>
      <c r="X22" s="1570"/>
      <c r="Y22" s="3394"/>
      <c r="Z22" s="1578"/>
      <c r="AA22" s="1579">
        <v>1</v>
      </c>
      <c r="AB22" s="1579">
        <v>1</v>
      </c>
      <c r="AC22" s="1579">
        <v>1</v>
      </c>
    </row>
    <row r="23" spans="1:29" ht="55.5">
      <c r="A23" s="535"/>
      <c r="B23" s="563" t="s">
        <v>544</v>
      </c>
      <c r="C23" s="576" t="str">
        <f>估价对象房地状况!C18</f>
        <v>一般</v>
      </c>
      <c r="D23" s="566">
        <v>100</v>
      </c>
      <c r="E23" s="567" t="s">
        <v>3072</v>
      </c>
      <c r="F23" s="568">
        <f>SUMIF(96:96,E24,97:97)-SUMIF(96:96,C24,97:97)+100</f>
        <v>100</v>
      </c>
      <c r="G23" s="565" t="s">
        <v>3079</v>
      </c>
      <c r="H23" s="562">
        <f>SUMIF(96:96,G24,97:97)-SUMIF(96:96,C24,97:97)+100</f>
        <v>102</v>
      </c>
      <c r="I23" s="567" t="s">
        <v>3086</v>
      </c>
      <c r="J23" s="562">
        <f>SUMIF(96:96,I24,97:97)-SUMIF(96:96,C24,97:97)+100</f>
        <v>102</v>
      </c>
      <c r="K23" s="538">
        <v>2</v>
      </c>
      <c r="L23" s="2150"/>
      <c r="M23" s="2140"/>
      <c r="N23" s="2140"/>
      <c r="O23" s="2149"/>
      <c r="P23" s="3394"/>
      <c r="Q23" s="1575" t="str">
        <f>B23</f>
        <v>交通便捷度</v>
      </c>
      <c r="R23" s="1576" t="s">
        <v>8</v>
      </c>
      <c r="S23" s="1577">
        <f>F23</f>
        <v>100</v>
      </c>
      <c r="T23" s="1576" t="s">
        <v>8</v>
      </c>
      <c r="U23" s="1577">
        <f>H23</f>
        <v>102</v>
      </c>
      <c r="V23" s="1576" t="s">
        <v>8</v>
      </c>
      <c r="W23" s="1577">
        <f>J23</f>
        <v>102</v>
      </c>
      <c r="X23" s="1570"/>
      <c r="Y23" s="3394"/>
      <c r="Z23" s="1578" t="str">
        <f>Q23</f>
        <v>交通便捷度</v>
      </c>
      <c r="AA23" s="1579">
        <f t="shared" si="3"/>
        <v>1</v>
      </c>
      <c r="AB23" s="1579">
        <f t="shared" si="4"/>
        <v>0.98039215686274506</v>
      </c>
      <c r="AC23" s="1579">
        <f t="shared" si="5"/>
        <v>0.98039215686274506</v>
      </c>
    </row>
    <row r="24" spans="1:29" ht="20.25">
      <c r="A24" s="535"/>
      <c r="B24" s="581"/>
      <c r="C24" s="557" t="s">
        <v>3006</v>
      </c>
      <c r="D24" s="560"/>
      <c r="E24" s="557" t="s">
        <v>3006</v>
      </c>
      <c r="F24" s="558"/>
      <c r="G24" s="557" t="s">
        <v>3011</v>
      </c>
      <c r="H24" s="558"/>
      <c r="I24" s="557" t="s">
        <v>3011</v>
      </c>
      <c r="J24" s="558"/>
      <c r="K24" s="534"/>
      <c r="L24" s="2150"/>
      <c r="M24" s="2140"/>
      <c r="N24" s="2140"/>
      <c r="O24" s="2149"/>
      <c r="P24" s="3394"/>
      <c r="Q24" s="1575"/>
      <c r="R24" s="1576"/>
      <c r="S24" s="1577"/>
      <c r="T24" s="1576"/>
      <c r="U24" s="1577"/>
      <c r="V24" s="1576"/>
      <c r="W24" s="1577"/>
      <c r="X24" s="1570"/>
      <c r="Y24" s="3394"/>
      <c r="Z24" s="1578"/>
      <c r="AA24" s="1579">
        <v>1</v>
      </c>
      <c r="AB24" s="1579">
        <v>1</v>
      </c>
      <c r="AC24" s="1579">
        <v>1</v>
      </c>
    </row>
    <row r="25" spans="1:29" ht="27">
      <c r="A25" s="518"/>
      <c r="B25" s="259" t="s">
        <v>545</v>
      </c>
      <c r="C25" s="576" t="str">
        <f>估价对象房地状况!C19</f>
        <v>较好</v>
      </c>
      <c r="D25" s="566">
        <v>100</v>
      </c>
      <c r="E25" s="3187" t="s">
        <v>3073</v>
      </c>
      <c r="F25" s="568">
        <f>SUMIF(98:98,E26,99:99)-SUMIF(98:98,C26,99:99)+100</f>
        <v>100</v>
      </c>
      <c r="G25" s="3189" t="s">
        <v>3073</v>
      </c>
      <c r="H25" s="562">
        <f>SUMIF(98:98,G26,99:99)-SUMIF(98:98,C26,99:99)+100</f>
        <v>100</v>
      </c>
      <c r="I25" s="3189" t="s">
        <v>3073</v>
      </c>
      <c r="J25" s="562">
        <f>SUMIF(98:98,I26,99:99)-SUMIF(98:98,C26,99:99)+100</f>
        <v>100</v>
      </c>
      <c r="K25" s="538">
        <v>2</v>
      </c>
      <c r="L25" s="2150"/>
      <c r="M25" s="2140"/>
      <c r="N25" s="2140"/>
      <c r="O25" s="2149"/>
      <c r="P25" s="3394"/>
      <c r="Q25" s="1575" t="str">
        <f t="shared" ref="Q25:Q39" si="8">B25</f>
        <v>区域土地利用方向</v>
      </c>
      <c r="R25" s="1576" t="s">
        <v>8</v>
      </c>
      <c r="S25" s="1577">
        <f>F25</f>
        <v>100</v>
      </c>
      <c r="T25" s="1576" t="s">
        <v>8</v>
      </c>
      <c r="U25" s="1577">
        <f>H25</f>
        <v>100</v>
      </c>
      <c r="V25" s="1576" t="s">
        <v>8</v>
      </c>
      <c r="W25" s="1577">
        <f>J25</f>
        <v>100</v>
      </c>
      <c r="X25" s="1570"/>
      <c r="Y25" s="3394"/>
      <c r="Z25" s="1578" t="str">
        <f>Q25</f>
        <v>区域土地利用方向</v>
      </c>
      <c r="AA25" s="1579">
        <f t="shared" si="3"/>
        <v>1</v>
      </c>
      <c r="AB25" s="1579">
        <f t="shared" si="4"/>
        <v>1</v>
      </c>
      <c r="AC25" s="1579">
        <f t="shared" si="5"/>
        <v>1</v>
      </c>
    </row>
    <row r="26" spans="1:29" ht="20.25">
      <c r="A26" s="518"/>
      <c r="B26" s="1009"/>
      <c r="C26" s="557" t="s">
        <v>3011</v>
      </c>
      <c r="D26" s="560"/>
      <c r="E26" s="557" t="s">
        <v>3011</v>
      </c>
      <c r="F26" s="558"/>
      <c r="G26" s="557" t="s">
        <v>3011</v>
      </c>
      <c r="H26" s="558"/>
      <c r="I26" s="557" t="s">
        <v>3011</v>
      </c>
      <c r="J26" s="558"/>
      <c r="K26" s="534"/>
      <c r="L26" s="2150"/>
      <c r="M26" s="2140"/>
      <c r="N26" s="2140"/>
      <c r="O26" s="2149"/>
      <c r="P26" s="3394"/>
      <c r="Q26" s="1575"/>
      <c r="R26" s="1576"/>
      <c r="S26" s="1577"/>
      <c r="T26" s="1576"/>
      <c r="U26" s="1577"/>
      <c r="V26" s="1576"/>
      <c r="W26" s="1577"/>
      <c r="X26" s="1570"/>
      <c r="Y26" s="3394"/>
      <c r="Z26" s="1578"/>
      <c r="AA26" s="1579"/>
      <c r="AB26" s="1579"/>
      <c r="AC26" s="1579"/>
    </row>
    <row r="27" spans="1:29" ht="54">
      <c r="A27" s="518"/>
      <c r="B27" s="581" t="s">
        <v>546</v>
      </c>
      <c r="C27" s="564" t="str">
        <f>估价对象房地状况!C20</f>
        <v>一般</v>
      </c>
      <c r="D27" s="566">
        <v>100</v>
      </c>
      <c r="E27" s="3187" t="s">
        <v>3074</v>
      </c>
      <c r="F27" s="562">
        <f>SUMIF(100:100,E28,101:101)-SUMIF(100:100,C28,101:101)+100</f>
        <v>102</v>
      </c>
      <c r="G27" s="3189" t="s">
        <v>3080</v>
      </c>
      <c r="H27" s="562">
        <f>SUMIF(100:100,G28,101:101)-SUMIF(100:100,C28,101:101)+100</f>
        <v>102</v>
      </c>
      <c r="I27" s="3187" t="s">
        <v>3087</v>
      </c>
      <c r="J27" s="562">
        <f>SUMIF(100:100,I28,101:101)-SUMIF(100:100,C28,101:101)+100</f>
        <v>102</v>
      </c>
      <c r="K27" s="538">
        <v>2</v>
      </c>
      <c r="L27" s="2150"/>
      <c r="M27" s="2140"/>
      <c r="N27" s="2140"/>
      <c r="O27" s="2149"/>
      <c r="P27" s="3394"/>
      <c r="Q27" s="1575" t="str">
        <f t="shared" si="8"/>
        <v>自然及人文环境状况</v>
      </c>
      <c r="R27" s="1576" t="s">
        <v>8</v>
      </c>
      <c r="S27" s="1577">
        <f>F27</f>
        <v>102</v>
      </c>
      <c r="T27" s="1576" t="s">
        <v>8</v>
      </c>
      <c r="U27" s="1577">
        <f>H27</f>
        <v>102</v>
      </c>
      <c r="V27" s="1576" t="s">
        <v>8</v>
      </c>
      <c r="W27" s="1577">
        <f>J27</f>
        <v>102</v>
      </c>
      <c r="X27" s="1570"/>
      <c r="Y27" s="3394"/>
      <c r="Z27" s="1578" t="str">
        <f>Q27</f>
        <v>自然及人文环境状况</v>
      </c>
      <c r="AA27" s="1579">
        <f t="shared" si="3"/>
        <v>0.98039215686274506</v>
      </c>
      <c r="AB27" s="1579">
        <f t="shared" si="4"/>
        <v>0.98039215686274506</v>
      </c>
      <c r="AC27" s="1579">
        <f t="shared" si="5"/>
        <v>0.98039215686274506</v>
      </c>
    </row>
    <row r="28" spans="1:29" ht="20.25">
      <c r="A28" s="518"/>
      <c r="B28" s="569"/>
      <c r="C28" s="557" t="s">
        <v>3006</v>
      </c>
      <c r="D28" s="560"/>
      <c r="E28" s="557" t="s">
        <v>3011</v>
      </c>
      <c r="F28" s="558"/>
      <c r="G28" s="557" t="s">
        <v>3011</v>
      </c>
      <c r="H28" s="558"/>
      <c r="I28" s="557" t="s">
        <v>3011</v>
      </c>
      <c r="J28" s="558"/>
      <c r="K28" s="534"/>
      <c r="L28" s="2150"/>
      <c r="M28" s="2140"/>
      <c r="N28" s="2140"/>
      <c r="O28" s="2149"/>
      <c r="P28" s="3394"/>
      <c r="Q28" s="1575"/>
      <c r="R28" s="1576"/>
      <c r="S28" s="1577"/>
      <c r="T28" s="1576"/>
      <c r="U28" s="1577"/>
      <c r="V28" s="1576"/>
      <c r="W28" s="1577"/>
      <c r="X28" s="1570"/>
      <c r="Y28" s="3394"/>
      <c r="Z28" s="1578"/>
      <c r="AA28" s="1579">
        <v>1</v>
      </c>
      <c r="AB28" s="1579">
        <v>1</v>
      </c>
      <c r="AC28" s="1579">
        <v>1</v>
      </c>
    </row>
    <row r="29" spans="1:29" s="1222" customFormat="1" ht="94.5">
      <c r="A29" s="580"/>
      <c r="B29" s="2624" t="s">
        <v>2555</v>
      </c>
      <c r="C29" s="576" t="str">
        <f>估价对象房地状况!C21</f>
        <v>一般</v>
      </c>
      <c r="D29" s="566">
        <v>100</v>
      </c>
      <c r="E29" s="3187" t="s">
        <v>3075</v>
      </c>
      <c r="F29" s="562">
        <f>SUMIF(102:102,E30,103:103)-SUMIF(102:102,C30,103:103)+100</f>
        <v>100</v>
      </c>
      <c r="G29" s="3189" t="s">
        <v>3081</v>
      </c>
      <c r="H29" s="562">
        <f>SUMIF(102:102,G30,103:103)-SUMIF(102:102,C30,103:103)+100</f>
        <v>102</v>
      </c>
      <c r="I29" s="3187" t="s">
        <v>3088</v>
      </c>
      <c r="J29" s="562">
        <f>SUMIF(102:102,I30,103:103)-SUMIF(102:102,C30,103:103)+100</f>
        <v>102</v>
      </c>
      <c r="K29" s="538">
        <v>2</v>
      </c>
      <c r="L29" s="2143"/>
      <c r="M29" s="2140"/>
      <c r="N29" s="2140"/>
      <c r="O29" s="2145"/>
      <c r="P29" s="3394"/>
      <c r="Q29" s="1153" t="str">
        <f t="shared" si="8"/>
        <v>公共配套设施</v>
      </c>
      <c r="R29" s="1571" t="s">
        <v>8</v>
      </c>
      <c r="S29" s="1572">
        <f>F29</f>
        <v>100</v>
      </c>
      <c r="T29" s="1571" t="s">
        <v>8</v>
      </c>
      <c r="U29" s="1572">
        <f>H29</f>
        <v>102</v>
      </c>
      <c r="V29" s="1571" t="s">
        <v>8</v>
      </c>
      <c r="W29" s="1572">
        <f>J29</f>
        <v>102</v>
      </c>
      <c r="X29" s="1573"/>
      <c r="Y29" s="3394"/>
      <c r="Z29" s="1152" t="str">
        <f>Q29</f>
        <v>公共配套设施</v>
      </c>
      <c r="AA29" s="1579">
        <f>D29/F29</f>
        <v>1</v>
      </c>
      <c r="AB29" s="1579">
        <f>D29/H29</f>
        <v>0.98039215686274506</v>
      </c>
      <c r="AC29" s="1579">
        <f>D29/J29</f>
        <v>0.98039215686274506</v>
      </c>
    </row>
    <row r="30" spans="1:29" s="1222" customFormat="1" ht="20.25">
      <c r="A30" s="580"/>
      <c r="B30" s="569"/>
      <c r="C30" s="582" t="s">
        <v>3006</v>
      </c>
      <c r="D30" s="560"/>
      <c r="E30" s="582" t="s">
        <v>3006</v>
      </c>
      <c r="F30" s="558"/>
      <c r="G30" s="582" t="s">
        <v>3011</v>
      </c>
      <c r="H30" s="558"/>
      <c r="I30" s="582" t="s">
        <v>3011</v>
      </c>
      <c r="J30" s="558"/>
      <c r="K30" s="534"/>
      <c r="L30" s="2143"/>
      <c r="M30" s="2140"/>
      <c r="N30" s="2140"/>
      <c r="O30" s="2145"/>
      <c r="P30" s="3394"/>
      <c r="Q30" s="1153"/>
      <c r="R30" s="1571"/>
      <c r="S30" s="1572"/>
      <c r="T30" s="1571"/>
      <c r="U30" s="1572"/>
      <c r="V30" s="1571"/>
      <c r="W30" s="1572"/>
      <c r="X30" s="1573"/>
      <c r="Y30" s="3394"/>
      <c r="Z30" s="1152"/>
      <c r="AA30" s="1579">
        <v>1</v>
      </c>
      <c r="AB30" s="1579">
        <v>1</v>
      </c>
      <c r="AC30" s="1579">
        <v>1</v>
      </c>
    </row>
    <row r="31" spans="1:29" s="1222" customFormat="1" ht="20.25">
      <c r="A31" s="580"/>
      <c r="B31" s="2624" t="s">
        <v>2556</v>
      </c>
      <c r="C31" s="576" t="str">
        <f>估价对象房地状况!C22</f>
        <v>六通</v>
      </c>
      <c r="D31" s="566">
        <v>100</v>
      </c>
      <c r="E31" s="3187" t="s">
        <v>3076</v>
      </c>
      <c r="F31" s="562">
        <f>SUMIF(104:104,E32,105:105)-SUMIF(104:104,C32,105:105)+100</f>
        <v>100</v>
      </c>
      <c r="G31" s="3187" t="s">
        <v>3076</v>
      </c>
      <c r="H31" s="562">
        <f>SUMIF(104:104,G32,105:105)-SUMIF(104:104,C32,105:105)+100</f>
        <v>100</v>
      </c>
      <c r="I31" s="3187" t="s">
        <v>3076</v>
      </c>
      <c r="J31" s="562">
        <f>SUMIF(104:104,I32,105:105)-SUMIF(104:104,C32,105:105)+100</f>
        <v>100</v>
      </c>
      <c r="K31" s="538">
        <v>1</v>
      </c>
      <c r="L31" s="2143"/>
      <c r="M31" s="2140"/>
      <c r="N31" s="2140"/>
      <c r="O31" s="2145"/>
      <c r="P31" s="3394"/>
      <c r="Q31" s="2611" t="str">
        <f t="shared" ref="Q31" si="9">B31</f>
        <v>基础设施水平</v>
      </c>
      <c r="R31" s="1571" t="s">
        <v>8</v>
      </c>
      <c r="S31" s="1572">
        <f>F31</f>
        <v>100</v>
      </c>
      <c r="T31" s="1571" t="s">
        <v>8</v>
      </c>
      <c r="U31" s="1572">
        <f>H31</f>
        <v>100</v>
      </c>
      <c r="V31" s="1571" t="s">
        <v>8</v>
      </c>
      <c r="W31" s="1572">
        <f>J31</f>
        <v>100</v>
      </c>
      <c r="X31" s="1573"/>
      <c r="Y31" s="3394"/>
      <c r="Z31" s="2608" t="str">
        <f>Q31</f>
        <v>基础设施水平</v>
      </c>
      <c r="AA31" s="1579">
        <f>D31/F31</f>
        <v>1</v>
      </c>
      <c r="AB31" s="1579">
        <f>D31/H31</f>
        <v>1</v>
      </c>
      <c r="AC31" s="1579">
        <f>D31/J31</f>
        <v>1</v>
      </c>
    </row>
    <row r="32" spans="1:29" s="1222" customFormat="1" ht="20.25">
      <c r="A32" s="580"/>
      <c r="B32" s="569"/>
      <c r="C32" s="582" t="s">
        <v>3009</v>
      </c>
      <c r="D32" s="560"/>
      <c r="E32" s="582" t="s">
        <v>3009</v>
      </c>
      <c r="F32" s="558"/>
      <c r="G32" s="582" t="s">
        <v>3009</v>
      </c>
      <c r="H32" s="558"/>
      <c r="I32" s="582" t="s">
        <v>3009</v>
      </c>
      <c r="J32" s="558"/>
      <c r="K32" s="534"/>
      <c r="L32" s="2143"/>
      <c r="M32" s="2140"/>
      <c r="N32" s="2140"/>
      <c r="O32" s="2145"/>
      <c r="P32" s="3394"/>
      <c r="Q32" s="2611"/>
      <c r="R32" s="1571"/>
      <c r="S32" s="1572"/>
      <c r="T32" s="1571"/>
      <c r="U32" s="1572"/>
      <c r="V32" s="1571"/>
      <c r="W32" s="1572"/>
      <c r="X32" s="1573"/>
      <c r="Y32" s="3394"/>
      <c r="Z32" s="2608"/>
      <c r="AA32" s="1579">
        <v>1</v>
      </c>
      <c r="AB32" s="1579">
        <v>1</v>
      </c>
      <c r="AC32" s="1579">
        <v>1</v>
      </c>
    </row>
    <row r="33" spans="1:29" ht="20.25">
      <c r="A33" s="535"/>
      <c r="B33" s="569" t="s">
        <v>548</v>
      </c>
      <c r="C33" s="583" t="s">
        <v>1665</v>
      </c>
      <c r="D33" s="578">
        <v>100</v>
      </c>
      <c r="E33" s="583" t="s">
        <v>1665</v>
      </c>
      <c r="F33" s="543">
        <f>SUMIF(106:106,E33,107:107)-SUMIF(106:106,C33,107:107)+100</f>
        <v>100</v>
      </c>
      <c r="G33" s="583" t="s">
        <v>1665</v>
      </c>
      <c r="H33" s="543">
        <f>SUMIF(106:106,G33,107:107)-SUMIF(106:106,C33,107:107)+100</f>
        <v>100</v>
      </c>
      <c r="I33" s="583" t="s">
        <v>1665</v>
      </c>
      <c r="J33" s="543">
        <f>SUMIF(106:106,I33,107:107)-SUMIF(106:106,C33,107:107)+100</f>
        <v>100</v>
      </c>
      <c r="K33" s="538">
        <v>1</v>
      </c>
      <c r="L33" s="2150"/>
      <c r="M33" s="2140"/>
      <c r="N33" s="2140"/>
      <c r="O33" s="2149"/>
      <c r="P33" s="3394"/>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94"/>
      <c r="Z33" s="1578" t="str">
        <f t="shared" ref="Z33:Z47" si="13">Q33</f>
        <v>临街状况</v>
      </c>
      <c r="AA33" s="1579">
        <f t="shared" si="3"/>
        <v>1</v>
      </c>
      <c r="AB33" s="1579">
        <f t="shared" si="4"/>
        <v>1</v>
      </c>
      <c r="AC33" s="1579">
        <f t="shared" si="5"/>
        <v>1</v>
      </c>
    </row>
    <row r="34" spans="1:29" ht="27">
      <c r="A34" s="535"/>
      <c r="B34" s="581" t="s">
        <v>549</v>
      </c>
      <c r="C34" s="565" t="s">
        <v>3035</v>
      </c>
      <c r="D34" s="566">
        <v>100</v>
      </c>
      <c r="E34" s="565" t="s">
        <v>3035</v>
      </c>
      <c r="F34" s="562">
        <f>SUMIF(108:108,E35,109:109)-SUMIF(108:108,C35,109:109)+100</f>
        <v>100</v>
      </c>
      <c r="G34" s="3189" t="s">
        <v>3089</v>
      </c>
      <c r="H34" s="562">
        <f>SUMIF(108:108,G35,109:109)-SUMIF(108:108,C35,109:109)+100</f>
        <v>100</v>
      </c>
      <c r="I34" s="565" t="s">
        <v>3035</v>
      </c>
      <c r="J34" s="562">
        <f>SUMIF(108:108,I35,109:109)-SUMIF(108:108,C35,109:109)+100</f>
        <v>100</v>
      </c>
      <c r="K34" s="538">
        <v>2</v>
      </c>
      <c r="L34" s="2150"/>
      <c r="M34" s="2140"/>
      <c r="N34" s="2140"/>
      <c r="O34" s="2149"/>
      <c r="P34" s="3394"/>
      <c r="Q34" s="1575" t="str">
        <f t="shared" si="8"/>
        <v>毗邻道路的类型与等级</v>
      </c>
      <c r="R34" s="1576" t="s">
        <v>8</v>
      </c>
      <c r="S34" s="1577">
        <f t="shared" si="10"/>
        <v>100</v>
      </c>
      <c r="T34" s="1576" t="s">
        <v>8</v>
      </c>
      <c r="U34" s="1577">
        <f t="shared" si="11"/>
        <v>100</v>
      </c>
      <c r="V34" s="1576" t="s">
        <v>8</v>
      </c>
      <c r="W34" s="1577">
        <f t="shared" si="12"/>
        <v>100</v>
      </c>
      <c r="X34" s="1570"/>
      <c r="Y34" s="3394"/>
      <c r="Z34" s="1578" t="str">
        <f t="shared" si="13"/>
        <v>毗邻道路的类型与等级</v>
      </c>
      <c r="AA34" s="1579">
        <f t="shared" si="3"/>
        <v>1</v>
      </c>
      <c r="AB34" s="1579">
        <f t="shared" si="4"/>
        <v>1</v>
      </c>
      <c r="AC34" s="1579">
        <f t="shared" si="5"/>
        <v>1</v>
      </c>
    </row>
    <row r="35" spans="1:29" ht="21" thickBot="1">
      <c r="A35" s="535"/>
      <c r="B35" s="569"/>
      <c r="C35" s="557" t="s">
        <v>3016</v>
      </c>
      <c r="D35" s="560"/>
      <c r="E35" s="557" t="s">
        <v>3016</v>
      </c>
      <c r="F35" s="558"/>
      <c r="G35" s="557" t="s">
        <v>3016</v>
      </c>
      <c r="H35" s="558"/>
      <c r="I35" s="557" t="s">
        <v>3016</v>
      </c>
      <c r="J35" s="558"/>
      <c r="K35" s="584"/>
      <c r="L35" s="2150"/>
      <c r="M35" s="2140"/>
      <c r="N35" s="2140"/>
      <c r="O35" s="2149"/>
      <c r="P35" s="3394"/>
      <c r="Q35" s="1575"/>
      <c r="R35" s="1576"/>
      <c r="S35" s="1577"/>
      <c r="T35" s="1576"/>
      <c r="U35" s="1577"/>
      <c r="V35" s="1576"/>
      <c r="W35" s="1577"/>
      <c r="X35" s="1570"/>
      <c r="Y35" s="3394"/>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94"/>
      <c r="Q36" s="1575" t="str">
        <f t="shared" si="8"/>
        <v>土地级别</v>
      </c>
      <c r="R36" s="1576" t="s">
        <v>8</v>
      </c>
      <c r="S36" s="1577">
        <f t="shared" si="10"/>
        <v>100</v>
      </c>
      <c r="T36" s="1576" t="s">
        <v>8</v>
      </c>
      <c r="U36" s="1577">
        <f t="shared" si="11"/>
        <v>100</v>
      </c>
      <c r="V36" s="1576" t="s">
        <v>8</v>
      </c>
      <c r="W36" s="1577">
        <f t="shared" si="12"/>
        <v>100</v>
      </c>
      <c r="X36" s="1570"/>
      <c r="Y36" s="3394"/>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94"/>
      <c r="Q37" s="1575">
        <f t="shared" si="8"/>
        <v>111</v>
      </c>
      <c r="R37" s="1576" t="s">
        <v>8</v>
      </c>
      <c r="S37" s="1577">
        <f t="shared" si="10"/>
        <v>100</v>
      </c>
      <c r="T37" s="1576" t="s">
        <v>8</v>
      </c>
      <c r="U37" s="1577">
        <f t="shared" si="11"/>
        <v>100</v>
      </c>
      <c r="V37" s="1576" t="s">
        <v>8</v>
      </c>
      <c r="W37" s="1577">
        <f t="shared" si="12"/>
        <v>100</v>
      </c>
      <c r="X37" s="1570"/>
      <c r="Y37" s="3394"/>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95" t="s">
        <v>551</v>
      </c>
      <c r="Q38" s="1575">
        <f t="shared" si="8"/>
        <v>111</v>
      </c>
      <c r="R38" s="1576" t="s">
        <v>8</v>
      </c>
      <c r="S38" s="1577">
        <f t="shared" si="10"/>
        <v>100</v>
      </c>
      <c r="T38" s="1576" t="s">
        <v>8</v>
      </c>
      <c r="U38" s="1577">
        <f t="shared" si="11"/>
        <v>100</v>
      </c>
      <c r="V38" s="1576" t="s">
        <v>8</v>
      </c>
      <c r="W38" s="1577">
        <f t="shared" si="12"/>
        <v>100</v>
      </c>
      <c r="X38" s="1570"/>
      <c r="Y38" s="3396" t="s">
        <v>551</v>
      </c>
      <c r="Z38" s="1578">
        <f t="shared" si="13"/>
        <v>111</v>
      </c>
      <c r="AA38" s="1579">
        <f t="shared" si="3"/>
        <v>1</v>
      </c>
      <c r="AB38" s="1579">
        <f t="shared" si="4"/>
        <v>1</v>
      </c>
      <c r="AC38" s="1579">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96"/>
      <c r="Q39" s="1575">
        <f t="shared" si="8"/>
        <v>111</v>
      </c>
      <c r="R39" s="1580" t="s">
        <v>8</v>
      </c>
      <c r="S39" s="1581">
        <f t="shared" si="10"/>
        <v>100</v>
      </c>
      <c r="T39" s="1580" t="s">
        <v>8</v>
      </c>
      <c r="U39" s="1581">
        <f t="shared" si="11"/>
        <v>100</v>
      </c>
      <c r="V39" s="1580" t="s">
        <v>8</v>
      </c>
      <c r="W39" s="1581">
        <f t="shared" si="12"/>
        <v>100</v>
      </c>
      <c r="X39" s="1582"/>
      <c r="Y39" s="3396"/>
      <c r="Z39" s="1583">
        <f t="shared" si="13"/>
        <v>111</v>
      </c>
      <c r="AA39" s="1579">
        <f t="shared" si="3"/>
        <v>1</v>
      </c>
      <c r="AB39" s="1579">
        <f t="shared" si="4"/>
        <v>1</v>
      </c>
      <c r="AC39" s="1579">
        <f t="shared" si="5"/>
        <v>1</v>
      </c>
    </row>
    <row r="40" spans="1:29" ht="20.25">
      <c r="A40" s="2944" t="s">
        <v>2765</v>
      </c>
      <c r="B40" s="598" t="s">
        <v>553</v>
      </c>
      <c r="C40" s="599">
        <f>'数据-汇总表'!D3</f>
        <v>117501</v>
      </c>
      <c r="D40" s="600">
        <v>100</v>
      </c>
      <c r="E40" s="599">
        <v>192894</v>
      </c>
      <c r="F40" s="600">
        <f>LOOKUP(E40,119:119,120:120)-LOOKUP(C40,119:119,120:120)+100</f>
        <v>100</v>
      </c>
      <c r="G40" s="599">
        <v>26294.29</v>
      </c>
      <c r="H40" s="600">
        <f>LOOKUP(G40,119:119,120:120)-LOOKUP(C40,119:119,120:120)+100</f>
        <v>98</v>
      </c>
      <c r="I40" s="601">
        <v>147965</v>
      </c>
      <c r="J40" s="600">
        <f>LOOKUP(I40,119:119,120:120)-LOOKUP(C40,119:119,120:120)+100</f>
        <v>100</v>
      </c>
      <c r="K40" s="584"/>
      <c r="L40" s="2150"/>
      <c r="M40" s="2140"/>
      <c r="N40" s="2140"/>
      <c r="O40" s="2149"/>
      <c r="P40" s="3396"/>
      <c r="Q40" s="1575" t="str">
        <f>B40</f>
        <v>宗地面积</v>
      </c>
      <c r="R40" s="1576" t="s">
        <v>8</v>
      </c>
      <c r="S40" s="1577">
        <f t="shared" si="10"/>
        <v>100</v>
      </c>
      <c r="T40" s="1576" t="s">
        <v>8</v>
      </c>
      <c r="U40" s="1577">
        <f t="shared" si="11"/>
        <v>98</v>
      </c>
      <c r="V40" s="1576" t="s">
        <v>8</v>
      </c>
      <c r="W40" s="1577">
        <f t="shared" si="12"/>
        <v>100</v>
      </c>
      <c r="X40" s="1570"/>
      <c r="Y40" s="3396"/>
      <c r="Z40" s="1578" t="str">
        <f t="shared" si="13"/>
        <v>宗地面积</v>
      </c>
      <c r="AA40" s="1579">
        <f t="shared" si="3"/>
        <v>1</v>
      </c>
      <c r="AB40" s="1579">
        <f t="shared" si="4"/>
        <v>1.0204081632653061</v>
      </c>
      <c r="AC40" s="1579">
        <f t="shared" si="5"/>
        <v>1</v>
      </c>
    </row>
    <row r="41" spans="1:29" ht="20.25">
      <c r="A41" s="597"/>
      <c r="B41" s="530" t="s">
        <v>554</v>
      </c>
      <c r="C41" s="602" t="s">
        <v>3006</v>
      </c>
      <c r="D41" s="543">
        <v>100</v>
      </c>
      <c r="E41" s="602" t="s">
        <v>3006</v>
      </c>
      <c r="F41" s="543">
        <f>SUMIF(121:121,E41,122:122)-SUMIF(121:121,C41,122:122)+100</f>
        <v>100</v>
      </c>
      <c r="G41" s="602" t="s">
        <v>3006</v>
      </c>
      <c r="H41" s="543">
        <f>SUMIF(121:121,G41,122:122)-SUMIF(121:121,C41,122:122)+100</f>
        <v>100</v>
      </c>
      <c r="I41" s="602" t="s">
        <v>3006</v>
      </c>
      <c r="J41" s="543">
        <f>SUMIF(121:121,I41,122:122)-SUMIF(121:121,C41,122:122)+100</f>
        <v>100</v>
      </c>
      <c r="K41" s="587">
        <v>2</v>
      </c>
      <c r="L41" s="2150"/>
      <c r="M41" s="2140"/>
      <c r="N41" s="2140"/>
      <c r="O41" s="2149"/>
      <c r="P41" s="3396"/>
      <c r="Q41" s="1575" t="str">
        <f t="shared" ref="Q41:Q47" si="14">B41</f>
        <v>宗地形状</v>
      </c>
      <c r="R41" s="1576" t="s">
        <v>8</v>
      </c>
      <c r="S41" s="1577">
        <f t="shared" si="10"/>
        <v>100</v>
      </c>
      <c r="T41" s="1576" t="s">
        <v>8</v>
      </c>
      <c r="U41" s="1577">
        <f t="shared" si="11"/>
        <v>100</v>
      </c>
      <c r="V41" s="1576" t="s">
        <v>8</v>
      </c>
      <c r="W41" s="1577">
        <f t="shared" si="12"/>
        <v>100</v>
      </c>
      <c r="X41" s="1570"/>
      <c r="Y41" s="3396"/>
      <c r="Z41" s="1578" t="str">
        <f t="shared" si="13"/>
        <v>宗地形状</v>
      </c>
      <c r="AA41" s="1579">
        <f t="shared" si="3"/>
        <v>1</v>
      </c>
      <c r="AB41" s="1579">
        <f t="shared" si="4"/>
        <v>1</v>
      </c>
      <c r="AC41" s="1579">
        <f t="shared" si="5"/>
        <v>1</v>
      </c>
    </row>
    <row r="42" spans="1:29" ht="20.25">
      <c r="A42" s="597"/>
      <c r="B42" s="530" t="s">
        <v>555</v>
      </c>
      <c r="C42" s="602" t="s">
        <v>3036</v>
      </c>
      <c r="D42" s="543">
        <v>100</v>
      </c>
      <c r="E42" s="602" t="s">
        <v>3036</v>
      </c>
      <c r="F42" s="543">
        <f>SUMIF(123:123,E42,124:124)-SUMIF(123:123,C42,124:124)+100</f>
        <v>100</v>
      </c>
      <c r="G42" s="602" t="s">
        <v>3036</v>
      </c>
      <c r="H42" s="543">
        <f>SUMIF(123:123,G42,124:124)-SUMIF(123:123,C42,124:124)+100</f>
        <v>100</v>
      </c>
      <c r="I42" s="602" t="s">
        <v>3036</v>
      </c>
      <c r="J42" s="543">
        <f>SUMIF(123:123,I42,124:124)-SUMIF(123:123,C42,124:124)+100</f>
        <v>100</v>
      </c>
      <c r="K42" s="587">
        <v>2</v>
      </c>
      <c r="L42" s="2150"/>
      <c r="M42" s="2140"/>
      <c r="N42" s="2140"/>
      <c r="O42" s="2149"/>
      <c r="P42" s="3396"/>
      <c r="Q42" s="1575" t="str">
        <f t="shared" si="14"/>
        <v>临街宽度及深度</v>
      </c>
      <c r="R42" s="1576" t="s">
        <v>8</v>
      </c>
      <c r="S42" s="1577">
        <f t="shared" si="10"/>
        <v>100</v>
      </c>
      <c r="T42" s="1576" t="s">
        <v>8</v>
      </c>
      <c r="U42" s="1577">
        <f t="shared" si="11"/>
        <v>100</v>
      </c>
      <c r="V42" s="1576" t="s">
        <v>8</v>
      </c>
      <c r="W42" s="1577">
        <f t="shared" si="12"/>
        <v>100</v>
      </c>
      <c r="X42" s="1570"/>
      <c r="Y42" s="3396"/>
      <c r="Z42" s="1578" t="str">
        <f t="shared" si="13"/>
        <v>临街宽度及深度</v>
      </c>
      <c r="AA42" s="1579">
        <f t="shared" si="3"/>
        <v>1</v>
      </c>
      <c r="AB42" s="1579">
        <f t="shared" si="4"/>
        <v>1</v>
      </c>
      <c r="AC42" s="1579">
        <f t="shared" si="5"/>
        <v>1</v>
      </c>
    </row>
    <row r="43" spans="1:29" s="1222" customFormat="1" ht="20.25">
      <c r="A43" s="603"/>
      <c r="B43" s="1899" t="s">
        <v>2429</v>
      </c>
      <c r="C43" s="604" t="s">
        <v>3031</v>
      </c>
      <c r="D43" s="255">
        <v>100</v>
      </c>
      <c r="E43" s="604" t="s">
        <v>3031</v>
      </c>
      <c r="F43" s="543">
        <f>SUMIF(125:125,E43,126:126)-SUMIF(125:125,C43,126:126)+100</f>
        <v>100</v>
      </c>
      <c r="G43" s="604" t="s">
        <v>3031</v>
      </c>
      <c r="H43" s="543">
        <f>SUMIF(125:125,G43,126:126)-SUMIF(125:125,C43,126:126)+100</f>
        <v>100</v>
      </c>
      <c r="I43" s="604" t="s">
        <v>3031</v>
      </c>
      <c r="J43" s="543">
        <f>SUMIF(125:125,I43,126:126)-SUMIF(125:125,C43,126:126)+100</f>
        <v>100</v>
      </c>
      <c r="K43" s="587">
        <v>1</v>
      </c>
      <c r="L43" s="2143"/>
      <c r="M43" s="2140"/>
      <c r="N43" s="2140"/>
      <c r="O43" s="2145"/>
      <c r="P43" s="3396"/>
      <c r="Q43" s="1575" t="str">
        <f t="shared" si="14"/>
        <v>宗地开发程度</v>
      </c>
      <c r="R43" s="1571" t="s">
        <v>8</v>
      </c>
      <c r="S43" s="1572">
        <f t="shared" si="10"/>
        <v>100</v>
      </c>
      <c r="T43" s="1571" t="s">
        <v>8</v>
      </c>
      <c r="U43" s="1572">
        <f t="shared" si="11"/>
        <v>100</v>
      </c>
      <c r="V43" s="1571" t="s">
        <v>8</v>
      </c>
      <c r="W43" s="1572">
        <f t="shared" si="12"/>
        <v>100</v>
      </c>
      <c r="X43" s="1573"/>
      <c r="Y43" s="3396"/>
      <c r="Z43" s="1152" t="str">
        <f t="shared" si="13"/>
        <v>宗地开发程度</v>
      </c>
      <c r="AA43" s="1574">
        <f t="shared" si="3"/>
        <v>1</v>
      </c>
      <c r="AB43" s="1574">
        <f t="shared" si="4"/>
        <v>1</v>
      </c>
      <c r="AC43" s="1574">
        <f t="shared" si="5"/>
        <v>1</v>
      </c>
    </row>
    <row r="44" spans="1:29" ht="21" thickBot="1">
      <c r="A44" s="597"/>
      <c r="B44" s="530" t="s">
        <v>556</v>
      </c>
      <c r="C44" s="602" t="s">
        <v>3011</v>
      </c>
      <c r="D44" s="543">
        <v>100</v>
      </c>
      <c r="E44" s="602" t="s">
        <v>3011</v>
      </c>
      <c r="F44" s="543">
        <f>SUMIF(127:127,E44,128:128)-SUMIF(127:127,C44,128:128)+100</f>
        <v>100</v>
      </c>
      <c r="G44" s="602" t="s">
        <v>3011</v>
      </c>
      <c r="H44" s="543">
        <f>SUMIF(127:127,G44,128:128)-SUMIF(127:127,C44,128:128)+100</f>
        <v>100</v>
      </c>
      <c r="I44" s="602" t="s">
        <v>3011</v>
      </c>
      <c r="J44" s="543">
        <f>SUMIF(127:127,I44,128:128)-SUMIF(127:127,C44,128:128)+100</f>
        <v>100</v>
      </c>
      <c r="K44" s="587">
        <v>2</v>
      </c>
      <c r="L44" s="2150"/>
      <c r="M44" s="2140"/>
      <c r="N44" s="2140"/>
      <c r="O44" s="2149"/>
      <c r="P44" s="3396" t="s">
        <v>551</v>
      </c>
      <c r="Q44" s="1575" t="str">
        <f t="shared" si="14"/>
        <v>工程地质条件</v>
      </c>
      <c r="R44" s="1576" t="s">
        <v>8</v>
      </c>
      <c r="S44" s="1577">
        <f t="shared" si="10"/>
        <v>100</v>
      </c>
      <c r="T44" s="1576" t="s">
        <v>8</v>
      </c>
      <c r="U44" s="1577">
        <f t="shared" si="11"/>
        <v>100</v>
      </c>
      <c r="V44" s="1576" t="s">
        <v>8</v>
      </c>
      <c r="W44" s="1577">
        <f t="shared" si="12"/>
        <v>100</v>
      </c>
      <c r="X44" s="1570"/>
      <c r="Y44" s="3396"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96"/>
      <c r="Q45" s="1575">
        <f t="shared" si="14"/>
        <v>111</v>
      </c>
      <c r="R45" s="1576" t="s">
        <v>8</v>
      </c>
      <c r="S45" s="1577">
        <f t="shared" si="10"/>
        <v>100</v>
      </c>
      <c r="T45" s="1576" t="s">
        <v>8</v>
      </c>
      <c r="U45" s="1577">
        <f t="shared" si="11"/>
        <v>100</v>
      </c>
      <c r="V45" s="1576" t="s">
        <v>8</v>
      </c>
      <c r="W45" s="1577">
        <f t="shared" si="12"/>
        <v>100</v>
      </c>
      <c r="X45" s="1570"/>
      <c r="Y45" s="3396"/>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96"/>
      <c r="Q46" s="1575">
        <f t="shared" si="14"/>
        <v>111</v>
      </c>
      <c r="R46" s="1576" t="s">
        <v>8</v>
      </c>
      <c r="S46" s="1577">
        <f t="shared" si="10"/>
        <v>100</v>
      </c>
      <c r="T46" s="1576" t="s">
        <v>8</v>
      </c>
      <c r="U46" s="1577">
        <f t="shared" si="11"/>
        <v>100</v>
      </c>
      <c r="V46" s="1576" t="s">
        <v>8</v>
      </c>
      <c r="W46" s="1577">
        <f t="shared" si="12"/>
        <v>100</v>
      </c>
      <c r="X46" s="1570"/>
      <c r="Y46" s="3396"/>
      <c r="Z46" s="1578">
        <f t="shared" si="13"/>
        <v>111</v>
      </c>
      <c r="AA46" s="1579">
        <f t="shared" si="3"/>
        <v>1</v>
      </c>
      <c r="AB46" s="1579">
        <f t="shared" si="4"/>
        <v>1</v>
      </c>
      <c r="AC46" s="1579">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96"/>
      <c r="Q47" s="1575">
        <f t="shared" si="14"/>
        <v>111</v>
      </c>
      <c r="R47" s="1580" t="s">
        <v>8</v>
      </c>
      <c r="S47" s="1581">
        <f t="shared" si="10"/>
        <v>100</v>
      </c>
      <c r="T47" s="1580" t="s">
        <v>8</v>
      </c>
      <c r="U47" s="1581">
        <f t="shared" si="11"/>
        <v>100</v>
      </c>
      <c r="V47" s="1580" t="s">
        <v>8</v>
      </c>
      <c r="W47" s="1581">
        <f t="shared" si="12"/>
        <v>100</v>
      </c>
      <c r="X47" s="1582"/>
      <c r="Y47" s="3396"/>
      <c r="Z47" s="1583">
        <f t="shared" si="13"/>
        <v>111</v>
      </c>
      <c r="AA47" s="1579">
        <f t="shared" si="3"/>
        <v>1</v>
      </c>
      <c r="AB47" s="1579">
        <f t="shared" si="4"/>
        <v>1</v>
      </c>
      <c r="AC47" s="1579">
        <f t="shared" si="5"/>
        <v>1</v>
      </c>
    </row>
    <row r="48" spans="1:29" ht="20.25">
      <c r="A48" s="610" t="s">
        <v>557</v>
      </c>
      <c r="B48" s="611" t="s">
        <v>3037</v>
      </c>
      <c r="C48" s="612" t="s">
        <v>1</v>
      </c>
      <c r="D48" s="613"/>
      <c r="E48" s="614">
        <v>1841</v>
      </c>
      <c r="F48" s="615"/>
      <c r="G48" s="616">
        <v>1644</v>
      </c>
      <c r="H48" s="617"/>
      <c r="I48" s="614">
        <v>1790</v>
      </c>
      <c r="J48" s="617"/>
      <c r="K48" s="1342"/>
      <c r="L48" s="2152"/>
      <c r="M48" s="2140"/>
      <c r="N48" s="2140"/>
      <c r="O48" s="2153"/>
      <c r="P48" s="3358" t="str">
        <f>A48</f>
        <v>成交单价</v>
      </c>
      <c r="Q48" s="3358"/>
      <c r="R48" s="3359">
        <f>E48</f>
        <v>1841</v>
      </c>
      <c r="S48" s="3359"/>
      <c r="T48" s="3359">
        <f>G48</f>
        <v>1644</v>
      </c>
      <c r="U48" s="3359"/>
      <c r="V48" s="3359">
        <f>I48</f>
        <v>1790</v>
      </c>
      <c r="W48" s="3359"/>
      <c r="X48" s="1562"/>
      <c r="Y48" s="1584"/>
      <c r="Z48" s="1562"/>
      <c r="AA48" s="1562"/>
      <c r="AB48" s="1562"/>
      <c r="AC48" s="1562"/>
    </row>
    <row r="49" spans="1:29" ht="21" thickBot="1">
      <c r="A49" s="618" t="s">
        <v>2703</v>
      </c>
      <c r="B49" s="619"/>
      <c r="C49" s="620">
        <f>R50</f>
        <v>1416</v>
      </c>
      <c r="D49" s="621"/>
      <c r="E49" s="620">
        <f>R49</f>
        <v>1550</v>
      </c>
      <c r="F49" s="622"/>
      <c r="G49" s="623">
        <f>T49</f>
        <v>1279</v>
      </c>
      <c r="H49" s="621"/>
      <c r="I49" s="620">
        <f>V49</f>
        <v>1420</v>
      </c>
      <c r="J49" s="621"/>
      <c r="K49" s="1343"/>
      <c r="L49" s="2152"/>
      <c r="M49" s="2140"/>
      <c r="N49" s="2140"/>
      <c r="O49" s="2153"/>
      <c r="P49" s="3358" t="str">
        <f>A49</f>
        <v>比较价格（元/平方米）</v>
      </c>
      <c r="Q49" s="3358"/>
      <c r="R49" s="3360">
        <f>ROUND(PRODUCT(R48,AA9:AA47),0)</f>
        <v>1550</v>
      </c>
      <c r="S49" s="3360"/>
      <c r="T49" s="3360">
        <f>ROUND(PRODUCT(T48,AB9:AB47),0)</f>
        <v>1279</v>
      </c>
      <c r="U49" s="3360"/>
      <c r="V49" s="3360">
        <f>ROUND(PRODUCT(V48,AC9:AC47),0)</f>
        <v>1420</v>
      </c>
      <c r="W49" s="3360"/>
      <c r="X49" s="1562"/>
      <c r="Y49" s="1562"/>
      <c r="Z49" s="1562"/>
      <c r="AA49" s="1562"/>
      <c r="AB49" s="1562"/>
      <c r="AC49" s="1562"/>
    </row>
    <row r="50" spans="1:29" ht="21" thickBot="1">
      <c r="A50" s="624" t="s">
        <v>2936</v>
      </c>
      <c r="B50" s="625"/>
      <c r="C50" s="626">
        <f>R50</f>
        <v>1416</v>
      </c>
      <c r="D50" s="626"/>
      <c r="E50" s="626"/>
      <c r="F50" s="626"/>
      <c r="G50" s="626"/>
      <c r="H50" s="626"/>
      <c r="I50" s="626"/>
      <c r="J50" s="626"/>
      <c r="K50" s="1344"/>
      <c r="L50" s="2152"/>
      <c r="M50" s="2140"/>
      <c r="N50" s="2140"/>
      <c r="O50" s="2153"/>
      <c r="P50" s="3355" t="str">
        <f>A50</f>
        <v>估价对象XX用房的比较价格（楼面单价，元/平方米）</v>
      </c>
      <c r="Q50" s="3356"/>
      <c r="R50" s="3357">
        <f>ROUND(AVERAGE(R49:V49),0)</f>
        <v>1416</v>
      </c>
      <c r="S50" s="3357"/>
      <c r="T50" s="3357"/>
      <c r="U50" s="3357"/>
      <c r="V50" s="3357"/>
      <c r="W50" s="3357"/>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0.18774193548387097</v>
      </c>
      <c r="F53" s="630" t="str">
        <f>IF(OR(E53&gt;=0.3,E53&lt;=-0.3),"超过30%","")</f>
        <v/>
      </c>
      <c r="G53" s="629">
        <f>IF(G48&lt;G49,G49/G48-1,G48/G49-1)</f>
        <v>0.28537920250195459</v>
      </c>
      <c r="H53" s="630" t="str">
        <f>IF(OR(G53&gt;=0.3,G53&lt;=-0.3),"超过30%","")</f>
        <v/>
      </c>
      <c r="I53" s="629">
        <f>IF(I48&lt;I49,I49/I48-1,I48/I49-1)</f>
        <v>0.26056338028169024</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0.21188428459734165</v>
      </c>
      <c r="F54" s="630" t="str">
        <f>IF(OR(E54&gt;=0.2,E54&lt;=-0.2),"超过20%","")</f>
        <v>超过20%</v>
      </c>
      <c r="G54" s="629">
        <f>IF(G49&lt;I49,I49/G49-1,G49/I49-1)</f>
        <v>0.1102423768569194</v>
      </c>
      <c r="H54" s="630" t="str">
        <f>IF(OR(G54&gt;=0.2,G54&lt;=-0.2),"超过20%","")</f>
        <v/>
      </c>
      <c r="I54" s="629">
        <f>IF(I49&lt;E49,E49/I49-1,I49/E49-1)</f>
        <v>9.1549295774647987E-2</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f>IF(E48&lt;G48,G48/E48-1,E48/G48-1)</f>
        <v>0.11982968369829683</v>
      </c>
      <c r="F55" s="630" t="str">
        <f>IF(OR(E55&gt;=0.3,E55&lt;=-0.3),"超过30%","")</f>
        <v/>
      </c>
      <c r="G55" s="629">
        <f>IF(G48&lt;I48,I48/G48-1,G48/I48-1)</f>
        <v>8.8807785888077806E-2</v>
      </c>
      <c r="H55" s="630" t="str">
        <f>IF(OR(G55&gt;=0.3,G55&lt;=-0.3),"超过30%","")</f>
        <v/>
      </c>
      <c r="I55" s="629">
        <f>IF(I48&lt;E48,E48/I48-1,I48/E48-1)</f>
        <v>2.8491620111731786E-2</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561</v>
      </c>
      <c r="B57" s="633" t="s">
        <v>562</v>
      </c>
      <c r="C57" s="1563" t="s">
        <v>1728</v>
      </c>
      <c r="D57" s="2235" t="s">
        <v>2297</v>
      </c>
      <c r="E57" s="634" t="s">
        <v>563</v>
      </c>
      <c r="F57" s="635" t="s">
        <v>564</v>
      </c>
      <c r="G57" s="3385" t="s">
        <v>2285</v>
      </c>
      <c r="H57" s="3386"/>
      <c r="I57" s="1558" t="s">
        <v>1726</v>
      </c>
      <c r="J57" s="1558" t="str">
        <f>项目基本情况!F41</f>
        <v>贵州省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565</v>
      </c>
      <c r="B58" s="637">
        <f>C50</f>
        <v>1416</v>
      </c>
      <c r="C58" s="638">
        <v>1</v>
      </c>
      <c r="D58" s="2236">
        <v>1</v>
      </c>
      <c r="E58" s="638">
        <f>'数据-汇总表'!E8+'数据-汇总表'!E9</f>
        <v>258502.2</v>
      </c>
      <c r="F58" s="639">
        <f t="shared" ref="F58:F67" si="15">ROUND(B58*E58/10000,0)</f>
        <v>36604</v>
      </c>
      <c r="G58" s="3387"/>
      <c r="H58" s="3388"/>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566</v>
      </c>
      <c r="B59" s="641">
        <f>ROUND($C$50*C59*D59,0)</f>
        <v>0</v>
      </c>
      <c r="C59" s="381">
        <f t="shared" ref="C59:C67" si="16">IF($C$57="北京市系数",I59,J59)</f>
        <v>0</v>
      </c>
      <c r="D59" s="2237">
        <v>0.25</v>
      </c>
      <c r="E59" s="642">
        <v>0</v>
      </c>
      <c r="F59" s="639">
        <f t="shared" si="15"/>
        <v>0</v>
      </c>
      <c r="G59" s="3389" t="s">
        <v>2286</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567</v>
      </c>
      <c r="B60" s="641">
        <f t="shared" ref="B60:B67" si="17">ROUND($C$50*C60*D60,0)</f>
        <v>0</v>
      </c>
      <c r="C60" s="381">
        <f t="shared" si="16"/>
        <v>0</v>
      </c>
      <c r="D60" s="2237">
        <v>0.25</v>
      </c>
      <c r="E60" s="642">
        <v>0</v>
      </c>
      <c r="F60" s="639">
        <f t="shared" si="15"/>
        <v>0</v>
      </c>
      <c r="G60" s="3389"/>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568</v>
      </c>
      <c r="B61" s="641">
        <f t="shared" si="17"/>
        <v>0</v>
      </c>
      <c r="C61" s="381">
        <f t="shared" si="16"/>
        <v>0</v>
      </c>
      <c r="D61" s="2237">
        <v>0.25</v>
      </c>
      <c r="E61" s="642">
        <v>0</v>
      </c>
      <c r="F61" s="639">
        <f t="shared" si="15"/>
        <v>0</v>
      </c>
      <c r="G61" s="3389"/>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569</v>
      </c>
      <c r="B62" s="641">
        <f t="shared" si="17"/>
        <v>0</v>
      </c>
      <c r="C62" s="381">
        <f t="shared" si="16"/>
        <v>0</v>
      </c>
      <c r="D62" s="2237">
        <v>0.25</v>
      </c>
      <c r="E62" s="642">
        <v>0</v>
      </c>
      <c r="F62" s="639">
        <f t="shared" si="15"/>
        <v>0</v>
      </c>
      <c r="G62" s="3389"/>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2332</v>
      </c>
      <c r="B63" s="641">
        <f t="shared" si="17"/>
        <v>0</v>
      </c>
      <c r="C63" s="381">
        <f t="shared" si="16"/>
        <v>0</v>
      </c>
      <c r="D63" s="2237">
        <v>0.25</v>
      </c>
      <c r="E63" s="644">
        <f>'数据-汇总表'!E11</f>
        <v>0</v>
      </c>
      <c r="F63" s="639">
        <f t="shared" si="15"/>
        <v>0</v>
      </c>
      <c r="G63" s="1949" t="s">
        <v>2287</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570</v>
      </c>
      <c r="B64" s="641">
        <f t="shared" si="17"/>
        <v>0</v>
      </c>
      <c r="C64" s="381">
        <f t="shared" si="16"/>
        <v>0</v>
      </c>
      <c r="D64" s="2237">
        <v>0.25</v>
      </c>
      <c r="E64" s="644">
        <f>'数据-汇总表'!E12</f>
        <v>0</v>
      </c>
      <c r="F64" s="639">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572</v>
      </c>
      <c r="B66" s="641">
        <f t="shared" si="17"/>
        <v>0</v>
      </c>
      <c r="C66" s="381">
        <f t="shared" si="16"/>
        <v>0</v>
      </c>
      <c r="D66" s="2237">
        <v>0.25</v>
      </c>
      <c r="E66" s="644">
        <f>'数据-汇总表'!E14</f>
        <v>0</v>
      </c>
      <c r="F66" s="639">
        <f t="shared" si="15"/>
        <v>0</v>
      </c>
      <c r="G66" s="1949" t="s">
        <v>2286</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574</v>
      </c>
      <c r="B68" s="646" t="s">
        <v>17</v>
      </c>
      <c r="C68" s="646" t="s">
        <v>18</v>
      </c>
      <c r="D68" s="646" t="s">
        <v>2298</v>
      </c>
      <c r="E68" s="646">
        <f>IF(B48="楼面地价",SUM(E58:E67),'数据-汇总表'!D3)</f>
        <v>258502.2</v>
      </c>
      <c r="F68" s="647">
        <f>IF(B48="楼面地价",SUM(F58:F67),ROUND(C50*E68/10000,0))</f>
        <v>36604</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2017-9-1</v>
      </c>
      <c r="D70" s="2836">
        <f>EDATE(C70,-3)</f>
        <v>42887</v>
      </c>
      <c r="E70" s="2836">
        <f t="shared" ref="E70:N70" si="18">EDATE(D70,-3)</f>
        <v>42795</v>
      </c>
      <c r="F70" s="2836">
        <f t="shared" si="18"/>
        <v>42705</v>
      </c>
      <c r="G70" s="2836">
        <f t="shared" si="18"/>
        <v>42614</v>
      </c>
      <c r="H70" s="2836">
        <f t="shared" si="18"/>
        <v>42522</v>
      </c>
      <c r="I70" s="2836">
        <f t="shared" si="18"/>
        <v>42430</v>
      </c>
      <c r="J70" s="2836">
        <f t="shared" si="18"/>
        <v>42339</v>
      </c>
      <c r="K70" s="2836">
        <f t="shared" si="18"/>
        <v>42248</v>
      </c>
      <c r="L70" s="2836">
        <f t="shared" si="18"/>
        <v>42156</v>
      </c>
      <c r="M70" s="2836">
        <f t="shared" si="18"/>
        <v>42064</v>
      </c>
      <c r="N70" s="2836">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1" t="s">
        <v>2539</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3" t="s">
        <v>2657</v>
      </c>
      <c r="B73" s="482" t="str">
        <f>"北京市平均增长率"&amp;TEXT(SUMIF(基准地价!N21:N25,A73,基准地价!P21:P25),"0.00%")</f>
        <v>北京市平均增长率2.46%</v>
      </c>
      <c r="C73" s="897">
        <v>100</v>
      </c>
      <c r="D73" s="733">
        <f>C73-1</f>
        <v>99</v>
      </c>
      <c r="E73" s="733">
        <f t="shared" ref="E73:L73" si="20">D73-1</f>
        <v>98</v>
      </c>
      <c r="F73" s="733">
        <f t="shared" si="20"/>
        <v>97</v>
      </c>
      <c r="G73" s="733">
        <f t="shared" si="20"/>
        <v>96</v>
      </c>
      <c r="H73" s="733">
        <f t="shared" si="20"/>
        <v>95</v>
      </c>
      <c r="I73" s="733">
        <f t="shared" si="20"/>
        <v>94</v>
      </c>
      <c r="J73" s="733">
        <f t="shared" si="20"/>
        <v>93</v>
      </c>
      <c r="K73" s="733">
        <f t="shared" si="20"/>
        <v>92</v>
      </c>
      <c r="L73" s="733">
        <f t="shared" si="20"/>
        <v>91</v>
      </c>
      <c r="M73" s="2829"/>
      <c r="N73" s="2830"/>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3" t="s">
        <v>2656</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c r="A77" s="667" t="s">
        <v>578</v>
      </c>
      <c r="B77" s="668" t="s">
        <v>535</v>
      </c>
      <c r="C77" s="3168" t="s">
        <v>3013</v>
      </c>
      <c r="D77" s="60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0（含）-0.5</v>
      </c>
      <c r="D81" s="685" t="str">
        <f t="shared" ref="D81:L81" si="21">D82&amp;"（含）"&amp;"-"&amp;E82</f>
        <v>0.5（含）-1</v>
      </c>
      <c r="E81" s="685" t="str">
        <f t="shared" si="21"/>
        <v>1（含）-1.5</v>
      </c>
      <c r="F81" s="685" t="str">
        <f t="shared" si="21"/>
        <v>1.5（含）-2</v>
      </c>
      <c r="G81" s="685" t="str">
        <f t="shared" si="21"/>
        <v>2（含）-2.5</v>
      </c>
      <c r="H81" s="685" t="str">
        <f t="shared" si="21"/>
        <v>2.5（含）-3</v>
      </c>
      <c r="I81" s="685" t="str">
        <f t="shared" si="21"/>
        <v>3（含）-3.5</v>
      </c>
      <c r="J81" s="685" t="str">
        <f t="shared" si="21"/>
        <v>3.5（含）-4</v>
      </c>
      <c r="K81" s="685" t="str">
        <f t="shared" si="21"/>
        <v>4（含）-4.5</v>
      </c>
      <c r="L81" s="685" t="str">
        <f t="shared" si="21"/>
        <v>4.5（含）-5</v>
      </c>
      <c r="M81" s="558" t="str">
        <f>M82&amp;"（含）"&amp;"-"&amp;P82</f>
        <v>5（含）-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0.5</v>
      </c>
      <c r="E82" s="544">
        <v>1</v>
      </c>
      <c r="F82" s="544">
        <v>1.5</v>
      </c>
      <c r="G82" s="544">
        <v>2</v>
      </c>
      <c r="H82" s="544">
        <v>2.5</v>
      </c>
      <c r="I82" s="544">
        <v>3</v>
      </c>
      <c r="J82" s="544">
        <v>3.5</v>
      </c>
      <c r="K82" s="687">
        <v>4</v>
      </c>
      <c r="L82" s="688">
        <v>4.5</v>
      </c>
      <c r="M82" s="689">
        <v>5</v>
      </c>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9" t="s">
        <v>3014</v>
      </c>
      <c r="D84" s="1379" t="s">
        <v>3015</v>
      </c>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100</v>
      </c>
      <c r="D85" s="674">
        <v>120</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98</v>
      </c>
      <c r="E91" s="682">
        <f>D91-$K17</f>
        <v>96</v>
      </c>
      <c r="F91" s="682">
        <f>E91-$K17</f>
        <v>94</v>
      </c>
      <c r="G91" s="682">
        <f>F91-$K17</f>
        <v>92</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30" t="s">
        <v>2557</v>
      </c>
      <c r="C104" s="2631" t="s">
        <v>2558</v>
      </c>
      <c r="D104" s="2631" t="s">
        <v>2559</v>
      </c>
      <c r="E104" s="2631" t="s">
        <v>2560</v>
      </c>
      <c r="F104" s="2631" t="s">
        <v>2561</v>
      </c>
      <c r="G104" s="2631"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3169" t="s">
        <v>3082</v>
      </c>
      <c r="D108" s="3169" t="s">
        <v>3083</v>
      </c>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98</v>
      </c>
      <c r="E109" s="682">
        <f t="shared" ref="E109:M109" si="24">D109-$K34</f>
        <v>96</v>
      </c>
      <c r="F109" s="682">
        <f t="shared" si="24"/>
        <v>94</v>
      </c>
      <c r="G109" s="682">
        <f t="shared" si="24"/>
        <v>92</v>
      </c>
      <c r="H109" s="682">
        <f t="shared" si="24"/>
        <v>90</v>
      </c>
      <c r="I109" s="682">
        <f t="shared" si="24"/>
        <v>88</v>
      </c>
      <c r="J109" s="682">
        <f t="shared" si="24"/>
        <v>86</v>
      </c>
      <c r="K109" s="682">
        <f t="shared" si="24"/>
        <v>84</v>
      </c>
      <c r="L109" s="682">
        <f t="shared" si="24"/>
        <v>82</v>
      </c>
      <c r="M109" s="682">
        <f t="shared" si="24"/>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6">C119&amp;"(含)"&amp;"-"&amp;D119</f>
        <v>0(含)-10000</v>
      </c>
      <c r="D118" s="707" t="str">
        <f t="shared" si="26"/>
        <v>10000(含)-20000</v>
      </c>
      <c r="E118" s="707" t="str">
        <f t="shared" si="26"/>
        <v>20000(含)-50000</v>
      </c>
      <c r="F118" s="707" t="str">
        <f t="shared" si="26"/>
        <v>50000(含)-100000</v>
      </c>
      <c r="G118" s="707" t="str">
        <f t="shared" si="26"/>
        <v>100000(含)-200000</v>
      </c>
      <c r="H118" s="707" t="str">
        <f t="shared" si="26"/>
        <v>200000(含)-500000</v>
      </c>
      <c r="I118" s="707" t="str">
        <f t="shared" si="26"/>
        <v>500000(含)-</v>
      </c>
      <c r="J118" s="3126" t="str">
        <f t="shared" si="26"/>
        <v>(含)-</v>
      </c>
      <c r="K118" s="3126" t="str">
        <f t="shared" si="26"/>
        <v>(含)-</v>
      </c>
      <c r="L118" s="3127" t="str">
        <f t="shared" si="26"/>
        <v>(含)-</v>
      </c>
      <c r="M118" s="3128"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20000</v>
      </c>
      <c r="F119" s="733">
        <v>50000</v>
      </c>
      <c r="G119" s="733">
        <v>100000</v>
      </c>
      <c r="H119" s="733">
        <v>200000</v>
      </c>
      <c r="I119" s="733">
        <v>500000</v>
      </c>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70" t="s">
        <v>3020</v>
      </c>
      <c r="D121" s="3170" t="s">
        <v>3019</v>
      </c>
      <c r="E121" s="3170" t="s">
        <v>3021</v>
      </c>
      <c r="F121" s="3170" t="s">
        <v>3023</v>
      </c>
      <c r="G121" s="3170" t="s">
        <v>3025</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3169" t="s">
        <v>3026</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9">C124-$K42</f>
        <v>98</v>
      </c>
      <c r="E124" s="682">
        <f t="shared" si="29"/>
        <v>96</v>
      </c>
      <c r="F124" s="682">
        <f t="shared" si="29"/>
        <v>94</v>
      </c>
      <c r="G124" s="682">
        <f t="shared" si="29"/>
        <v>92</v>
      </c>
      <c r="H124" s="682">
        <f t="shared" si="29"/>
        <v>90</v>
      </c>
      <c r="I124" s="682">
        <f t="shared" si="29"/>
        <v>88</v>
      </c>
      <c r="J124" s="682">
        <f t="shared" si="29"/>
        <v>86</v>
      </c>
      <c r="K124" s="682">
        <f t="shared" si="29"/>
        <v>84</v>
      </c>
      <c r="L124" s="682">
        <f t="shared" si="29"/>
        <v>82</v>
      </c>
      <c r="M124" s="683">
        <f t="shared" si="29"/>
        <v>80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2430</v>
      </c>
      <c r="C125" s="1379" t="s">
        <v>3027</v>
      </c>
      <c r="D125" s="1379" t="s">
        <v>3028</v>
      </c>
      <c r="E125" s="1379" t="s">
        <v>3029</v>
      </c>
      <c r="F125" s="1379" t="s">
        <v>3030</v>
      </c>
      <c r="G125" s="1379" t="s">
        <v>3032</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30">D126-$K43</f>
        <v>98</v>
      </c>
      <c r="F126" s="682">
        <f t="shared" si="30"/>
        <v>97</v>
      </c>
      <c r="G126" s="682">
        <f t="shared" si="30"/>
        <v>96</v>
      </c>
      <c r="H126" s="682">
        <f t="shared" si="30"/>
        <v>95</v>
      </c>
      <c r="I126" s="682">
        <f t="shared" si="30"/>
        <v>94</v>
      </c>
      <c r="J126" s="682">
        <f t="shared" si="30"/>
        <v>93</v>
      </c>
      <c r="K126" s="682">
        <f t="shared" si="30"/>
        <v>92</v>
      </c>
      <c r="L126" s="682">
        <f t="shared" si="30"/>
        <v>91</v>
      </c>
      <c r="M126" s="683">
        <f t="shared" si="30"/>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3169" t="s">
        <v>3033</v>
      </c>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4" zoomScale="80" zoomScaleNormal="95" zoomScaleSheetLayoutView="80" workbookViewId="0">
      <selection activeCell="L52" sqref="L5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62764</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3" t="s">
        <v>1688</v>
      </c>
      <c r="B3" s="513">
        <f>ROUND(B2*10000/'数据-汇总表'!E3,0)</f>
        <v>2428</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5342</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356</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522</v>
      </c>
      <c r="B6" s="516"/>
      <c r="C6" s="3364" t="s">
        <v>523</v>
      </c>
      <c r="D6" s="3365"/>
      <c r="E6" s="3364" t="s">
        <v>524</v>
      </c>
      <c r="F6" s="3365"/>
      <c r="G6" s="3364" t="s">
        <v>525</v>
      </c>
      <c r="H6" s="3365"/>
      <c r="I6" s="3364" t="s">
        <v>526</v>
      </c>
      <c r="J6" s="3365"/>
      <c r="K6" s="517" t="s">
        <v>527</v>
      </c>
      <c r="L6" s="2141"/>
      <c r="M6" s="2140"/>
      <c r="N6" s="2140"/>
      <c r="O6" s="2142"/>
      <c r="P6" s="3366" t="s">
        <v>528</v>
      </c>
      <c r="Q6" s="3367"/>
      <c r="R6" s="3372" t="s">
        <v>524</v>
      </c>
      <c r="S6" s="3373"/>
      <c r="T6" s="3372" t="s">
        <v>525</v>
      </c>
      <c r="U6" s="3373"/>
      <c r="V6" s="3359" t="s">
        <v>526</v>
      </c>
      <c r="W6" s="3359"/>
      <c r="X6" s="3181"/>
      <c r="Y6" s="3372" t="s">
        <v>528</v>
      </c>
      <c r="Z6" s="3373"/>
      <c r="AA6" s="3361" t="s">
        <v>524</v>
      </c>
      <c r="AB6" s="3362" t="s">
        <v>525</v>
      </c>
      <c r="AC6" s="3361" t="s">
        <v>526</v>
      </c>
    </row>
    <row r="7" spans="1:30" ht="20.25">
      <c r="A7" s="518"/>
      <c r="B7" s="519"/>
      <c r="C7" s="3382" t="s">
        <v>2930</v>
      </c>
      <c r="D7" s="3381"/>
      <c r="E7" s="3380" t="s">
        <v>3038</v>
      </c>
      <c r="F7" s="3381"/>
      <c r="G7" s="3380" t="s">
        <v>3039</v>
      </c>
      <c r="H7" s="3381"/>
      <c r="I7" s="3380" t="s">
        <v>3040</v>
      </c>
      <c r="J7" s="3381"/>
      <c r="K7" s="517"/>
      <c r="L7" s="2141"/>
      <c r="M7" s="2140"/>
      <c r="N7" s="2140"/>
      <c r="O7" s="2142"/>
      <c r="P7" s="3368"/>
      <c r="Q7" s="3369"/>
      <c r="R7" s="3374"/>
      <c r="S7" s="3375"/>
      <c r="T7" s="3374"/>
      <c r="U7" s="3375"/>
      <c r="V7" s="3359"/>
      <c r="W7" s="3359"/>
      <c r="X7" s="3181"/>
      <c r="Y7" s="3374"/>
      <c r="Z7" s="3375"/>
      <c r="AA7" s="3362"/>
      <c r="AB7" s="3362"/>
      <c r="AC7" s="3362"/>
    </row>
    <row r="8" spans="1:30" ht="21" thickBot="1">
      <c r="A8" s="518"/>
      <c r="B8" s="519"/>
      <c r="C8" s="3383" t="s">
        <v>2934</v>
      </c>
      <c r="D8" s="3384"/>
      <c r="E8" s="3383" t="s">
        <v>2934</v>
      </c>
      <c r="F8" s="3384"/>
      <c r="G8" s="3378" t="s">
        <v>2934</v>
      </c>
      <c r="H8" s="3379"/>
      <c r="I8" s="3378" t="s">
        <v>2934</v>
      </c>
      <c r="J8" s="3379"/>
      <c r="K8" s="517" t="s">
        <v>529</v>
      </c>
      <c r="L8" s="2141"/>
      <c r="M8" s="2140"/>
      <c r="N8" s="2140"/>
      <c r="O8" s="2142"/>
      <c r="P8" s="3370"/>
      <c r="Q8" s="3371"/>
      <c r="R8" s="3374"/>
      <c r="S8" s="3375"/>
      <c r="T8" s="3376"/>
      <c r="U8" s="3377"/>
      <c r="V8" s="3359"/>
      <c r="W8" s="3359"/>
      <c r="X8" s="3181"/>
      <c r="Y8" s="3376"/>
      <c r="Z8" s="3377"/>
      <c r="AA8" s="3363"/>
      <c r="AB8" s="3363"/>
      <c r="AC8" s="3363"/>
    </row>
    <row r="9" spans="1:30" s="1222" customFormat="1" ht="21" thickBot="1">
      <c r="A9" s="2949"/>
      <c r="B9" s="2956" t="s">
        <v>530</v>
      </c>
      <c r="C9" s="2948">
        <f>'数据-取费表'!B2</f>
        <v>42997</v>
      </c>
      <c r="D9" s="523">
        <v>100</v>
      </c>
      <c r="E9" s="524">
        <v>42986</v>
      </c>
      <c r="F9" s="525">
        <f>SUMIF(72:72,YEAR(E9)&amp;"-"&amp;INT((MONTH(E9)+2)/3),73:73)</f>
        <v>100</v>
      </c>
      <c r="G9" s="526">
        <v>42986</v>
      </c>
      <c r="H9" s="523">
        <f>SUMIF(72:72,YEAR(G9)&amp;"-"&amp;INT((MONTH(G9)+2)/3),73:73)</f>
        <v>100</v>
      </c>
      <c r="I9" s="526">
        <v>42986</v>
      </c>
      <c r="J9" s="523">
        <f>SUMIF(72:72,YEAR(I9)&amp;"-"&amp;INT((MONTH(I9)+2)/3),73:73)</f>
        <v>100</v>
      </c>
      <c r="K9" s="527"/>
      <c r="L9" s="2143"/>
      <c r="M9" s="2140"/>
      <c r="N9" s="2140"/>
      <c r="O9" s="2144"/>
      <c r="P9" s="3390" t="s">
        <v>531</v>
      </c>
      <c r="Q9" s="3392"/>
      <c r="R9" s="1571" t="s">
        <v>8</v>
      </c>
      <c r="S9" s="1572">
        <f t="shared" ref="S9:S17" si="0">F9</f>
        <v>100</v>
      </c>
      <c r="T9" s="1571" t="s">
        <v>8</v>
      </c>
      <c r="U9" s="1572">
        <f t="shared" ref="U9:U17" si="1">H9</f>
        <v>100</v>
      </c>
      <c r="V9" s="1571" t="s">
        <v>8</v>
      </c>
      <c r="W9" s="1572">
        <f t="shared" ref="W9:W17" si="2">J9</f>
        <v>100</v>
      </c>
      <c r="X9" s="1573"/>
      <c r="Y9" s="3390" t="s">
        <v>531</v>
      </c>
      <c r="Z9" s="3391"/>
      <c r="AA9" s="1574">
        <f>D9/F9</f>
        <v>1</v>
      </c>
      <c r="AB9" s="1574">
        <f>D9/H9</f>
        <v>1</v>
      </c>
      <c r="AC9" s="1574">
        <f>D9/J9</f>
        <v>1</v>
      </c>
    </row>
    <row r="10" spans="1:30" s="1222" customFormat="1" ht="21" thickBot="1">
      <c r="A10" s="2950"/>
      <c r="B10" s="2957"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3"/>
      <c r="M10" s="2140"/>
      <c r="N10" s="2140"/>
      <c r="O10" s="2144"/>
      <c r="P10" s="3390" t="s">
        <v>534</v>
      </c>
      <c r="Q10" s="3391"/>
      <c r="R10" s="1571" t="s">
        <v>8</v>
      </c>
      <c r="S10" s="1572">
        <f t="shared" si="0"/>
        <v>100</v>
      </c>
      <c r="T10" s="1571" t="s">
        <v>8</v>
      </c>
      <c r="U10" s="1572">
        <f t="shared" si="1"/>
        <v>100</v>
      </c>
      <c r="V10" s="1571" t="s">
        <v>8</v>
      </c>
      <c r="W10" s="1572">
        <f t="shared" si="2"/>
        <v>100</v>
      </c>
      <c r="X10" s="1573"/>
      <c r="Y10" s="3390" t="s">
        <v>534</v>
      </c>
      <c r="Z10" s="3391"/>
      <c r="AA10" s="1574">
        <f t="shared" ref="AA10:AA47" si="3">D10/F10</f>
        <v>1</v>
      </c>
      <c r="AB10" s="1574">
        <f t="shared" ref="AB10:AB47" si="4">D10/H10</f>
        <v>1</v>
      </c>
      <c r="AC10" s="1574">
        <f t="shared" ref="AC10:AC47" si="5">D10/J10</f>
        <v>1</v>
      </c>
    </row>
    <row r="11" spans="1:30" s="1222" customFormat="1" ht="20.25">
      <c r="A11" s="2951"/>
      <c r="B11" s="2958" t="s">
        <v>2766</v>
      </c>
      <c r="C11" s="2945" t="s">
        <v>926</v>
      </c>
      <c r="D11" s="254">
        <v>100</v>
      </c>
      <c r="E11" s="2945" t="s">
        <v>926</v>
      </c>
      <c r="F11" s="254">
        <f>SUMIF(77:77,E11,78:78)-SUMIF(77:77,C11,78:78)+100</f>
        <v>100</v>
      </c>
      <c r="G11" s="2945" t="s">
        <v>926</v>
      </c>
      <c r="H11" s="254">
        <f>SUMIF(77:77,G11,78:78)-SUMIF(77:77,C11,78:78)+100</f>
        <v>100</v>
      </c>
      <c r="I11" s="2945" t="s">
        <v>926</v>
      </c>
      <c r="J11" s="254">
        <f>SUMIF(77:77,I11,78:78)-SUMIF(77:77,C11,78:78)+100</f>
        <v>100</v>
      </c>
      <c r="K11" s="527"/>
      <c r="L11" s="2143"/>
      <c r="M11" s="2140"/>
      <c r="N11" s="2140"/>
      <c r="O11" s="2145"/>
      <c r="P11" s="3358" t="s">
        <v>536</v>
      </c>
      <c r="Q11" s="3179" t="str">
        <f t="shared" ref="Q11:Q17" si="6">B11</f>
        <v>用途</v>
      </c>
      <c r="R11" s="1571" t="s">
        <v>8</v>
      </c>
      <c r="S11" s="1572">
        <f t="shared" si="0"/>
        <v>100</v>
      </c>
      <c r="T11" s="1571" t="s">
        <v>8</v>
      </c>
      <c r="U11" s="1572">
        <f t="shared" si="1"/>
        <v>100</v>
      </c>
      <c r="V11" s="1571" t="s">
        <v>8</v>
      </c>
      <c r="W11" s="1572">
        <f t="shared" si="2"/>
        <v>100</v>
      </c>
      <c r="X11" s="1573"/>
      <c r="Y11" s="3304" t="s">
        <v>537</v>
      </c>
      <c r="Z11" s="3178" t="str">
        <f t="shared" ref="Z11:Z17" si="7">Q11</f>
        <v>用途</v>
      </c>
      <c r="AA11" s="1574">
        <f t="shared" si="3"/>
        <v>1</v>
      </c>
      <c r="AB11" s="1574">
        <f t="shared" si="4"/>
        <v>1</v>
      </c>
      <c r="AC11" s="1574">
        <f t="shared" si="5"/>
        <v>1</v>
      </c>
    </row>
    <row r="12" spans="1:30" s="1340" customFormat="1" ht="27">
      <c r="A12" s="2952"/>
      <c r="B12" s="2957" t="s">
        <v>2767</v>
      </c>
      <c r="C12" s="913">
        <f>'数据-取费表'!F6</f>
        <v>69.7</v>
      </c>
      <c r="D12" s="255">
        <v>100</v>
      </c>
      <c r="E12" s="532" t="s">
        <v>3034</v>
      </c>
      <c r="F12" s="255">
        <f>ROUND(100/'数据-取费表'!G16,0)</f>
        <v>100</v>
      </c>
      <c r="G12" s="532" t="s">
        <v>3034</v>
      </c>
      <c r="H12" s="255">
        <f>ROUND(100/'数据-取费表'!G16,0)</f>
        <v>100</v>
      </c>
      <c r="I12" s="532" t="s">
        <v>3034</v>
      </c>
      <c r="J12" s="255">
        <f>ROUND(100/'数据-取费表'!G16,0)</f>
        <v>100</v>
      </c>
      <c r="K12" s="534"/>
      <c r="L12" s="2146"/>
      <c r="M12" s="2140"/>
      <c r="N12" s="2140"/>
      <c r="O12" s="2147"/>
      <c r="P12" s="3358"/>
      <c r="Q12" s="3179" t="str">
        <f t="shared" si="6"/>
        <v>土地使用年限（年）</v>
      </c>
      <c r="R12" s="1571" t="s">
        <v>8</v>
      </c>
      <c r="S12" s="1572">
        <f t="shared" si="0"/>
        <v>100</v>
      </c>
      <c r="T12" s="1571" t="s">
        <v>8</v>
      </c>
      <c r="U12" s="1572">
        <f t="shared" si="1"/>
        <v>100</v>
      </c>
      <c r="V12" s="1571" t="s">
        <v>8</v>
      </c>
      <c r="W12" s="1572">
        <f t="shared" si="2"/>
        <v>100</v>
      </c>
      <c r="X12" s="1573"/>
      <c r="Y12" s="3304"/>
      <c r="Z12" s="3178" t="str">
        <f t="shared" si="7"/>
        <v>土地使用年限（年）</v>
      </c>
      <c r="AA12" s="1574">
        <f t="shared" si="3"/>
        <v>1</v>
      </c>
      <c r="AB12" s="1574">
        <f t="shared" si="4"/>
        <v>1</v>
      </c>
      <c r="AC12" s="1574">
        <f t="shared" si="5"/>
        <v>1</v>
      </c>
    </row>
    <row r="13" spans="1:30" ht="20.25">
      <c r="A13" s="2953"/>
      <c r="B13" s="2957" t="s">
        <v>2768</v>
      </c>
      <c r="C13" s="537">
        <v>2.2000000000000002</v>
      </c>
      <c r="D13" s="255">
        <v>100</v>
      </c>
      <c r="E13" s="536">
        <v>2.2000000000000002</v>
      </c>
      <c r="F13" s="255">
        <f>LOOKUP(E13,82:82,83:83)-LOOKUP(C13,82:82,83:83)+100</f>
        <v>100</v>
      </c>
      <c r="G13" s="537">
        <v>2.2000000000000002</v>
      </c>
      <c r="H13" s="255">
        <f>LOOKUP(G13,82:82,83:83)-LOOKUP(C13,82:82,83:83)+100</f>
        <v>100</v>
      </c>
      <c r="I13" s="536">
        <v>2.2000000000000002</v>
      </c>
      <c r="J13" s="255">
        <f>LOOKUP(I13,82:82,83:83)-LOOKUP(C13,82:82,83:83)+100</f>
        <v>100</v>
      </c>
      <c r="K13" s="538">
        <v>1</v>
      </c>
      <c r="L13" s="2148"/>
      <c r="M13" s="2140"/>
      <c r="N13" s="2140"/>
      <c r="O13" s="2149"/>
      <c r="P13" s="3358"/>
      <c r="Q13" s="3179" t="str">
        <f t="shared" si="6"/>
        <v>容积率</v>
      </c>
      <c r="R13" s="1571" t="s">
        <v>8</v>
      </c>
      <c r="S13" s="1572">
        <f t="shared" si="0"/>
        <v>100</v>
      </c>
      <c r="T13" s="1571" t="s">
        <v>8</v>
      </c>
      <c r="U13" s="1572">
        <f t="shared" si="1"/>
        <v>100</v>
      </c>
      <c r="V13" s="1571" t="s">
        <v>8</v>
      </c>
      <c r="W13" s="1572">
        <f t="shared" si="2"/>
        <v>100</v>
      </c>
      <c r="X13" s="1573"/>
      <c r="Y13" s="3304"/>
      <c r="Z13" s="3178" t="str">
        <f t="shared" si="7"/>
        <v>容积率</v>
      </c>
      <c r="AA13" s="1574">
        <f t="shared" si="3"/>
        <v>1</v>
      </c>
      <c r="AB13" s="1574">
        <f t="shared" si="4"/>
        <v>1</v>
      </c>
      <c r="AC13" s="1574">
        <f t="shared" si="5"/>
        <v>1</v>
      </c>
    </row>
    <row r="14" spans="1:30" s="1222" customFormat="1" ht="21" thickBot="1">
      <c r="A14" s="2950"/>
      <c r="B14" s="2959" t="s">
        <v>2769</v>
      </c>
      <c r="C14" s="2946" t="s">
        <v>3014</v>
      </c>
      <c r="D14" s="541">
        <v>100</v>
      </c>
      <c r="E14" s="1378" t="s">
        <v>3015</v>
      </c>
      <c r="F14" s="255">
        <f>SUMIF(84:84,E14,85:85)-SUMIF(84:84,C14,85:85)+100</f>
        <v>105</v>
      </c>
      <c r="G14" s="1378" t="s">
        <v>3015</v>
      </c>
      <c r="H14" s="255">
        <f>SUMIF(84:84,G14,85:85)-SUMIF(84:84,C14,85:85)+100</f>
        <v>105</v>
      </c>
      <c r="I14" s="1378" t="s">
        <v>3015</v>
      </c>
      <c r="J14" s="255">
        <f>SUMIF(84:84,I14,85:85)-SUMIF(84:84,C14,85:85)+100</f>
        <v>105</v>
      </c>
      <c r="K14" s="534"/>
      <c r="L14" s="2143"/>
      <c r="M14" s="2140"/>
      <c r="N14" s="2140"/>
      <c r="O14" s="2145"/>
      <c r="P14" s="3358"/>
      <c r="Q14" s="3179" t="str">
        <f t="shared" si="6"/>
        <v>配建</v>
      </c>
      <c r="R14" s="1571" t="s">
        <v>8</v>
      </c>
      <c r="S14" s="1572">
        <f t="shared" si="0"/>
        <v>105</v>
      </c>
      <c r="T14" s="1571" t="s">
        <v>8</v>
      </c>
      <c r="U14" s="1572">
        <f t="shared" si="1"/>
        <v>105</v>
      </c>
      <c r="V14" s="1571" t="s">
        <v>8</v>
      </c>
      <c r="W14" s="1572">
        <f t="shared" si="2"/>
        <v>105</v>
      </c>
      <c r="X14" s="1573"/>
      <c r="Y14" s="3304"/>
      <c r="Z14" s="3178" t="str">
        <f t="shared" si="7"/>
        <v>配建</v>
      </c>
      <c r="AA14" s="1574">
        <f>D14/F14</f>
        <v>0.95238095238095233</v>
      </c>
      <c r="AB14" s="1574">
        <f>D14/H14</f>
        <v>0.95238095238095233</v>
      </c>
      <c r="AC14" s="1574">
        <f>D14/J14</f>
        <v>0.95238095238095233</v>
      </c>
    </row>
    <row r="15" spans="1:30" ht="21" hidden="1" thickBot="1">
      <c r="A15" s="2954"/>
      <c r="B15" s="2960">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58"/>
      <c r="Q15" s="3179">
        <f t="shared" si="6"/>
        <v>111</v>
      </c>
      <c r="R15" s="1571" t="s">
        <v>8</v>
      </c>
      <c r="S15" s="1572">
        <f t="shared" si="0"/>
        <v>100</v>
      </c>
      <c r="T15" s="1571" t="s">
        <v>8</v>
      </c>
      <c r="U15" s="1572">
        <f t="shared" si="1"/>
        <v>100</v>
      </c>
      <c r="V15" s="1571" t="s">
        <v>8</v>
      </c>
      <c r="W15" s="1572">
        <f t="shared" si="2"/>
        <v>100</v>
      </c>
      <c r="X15" s="1573"/>
      <c r="Y15" s="3304"/>
      <c r="Z15" s="3178">
        <f t="shared" si="7"/>
        <v>111</v>
      </c>
      <c r="AA15" s="1574">
        <f>D15/F15</f>
        <v>1</v>
      </c>
      <c r="AB15" s="1574">
        <f>D15/H15</f>
        <v>1</v>
      </c>
      <c r="AC15" s="1574">
        <f>D15/J15</f>
        <v>1</v>
      </c>
    </row>
    <row r="16" spans="1:30" ht="21" hidden="1" thickBot="1">
      <c r="A16" s="2955"/>
      <c r="B16" s="2961">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58"/>
      <c r="Q16" s="3179">
        <f t="shared" si="6"/>
        <v>111</v>
      </c>
      <c r="R16" s="1571" t="s">
        <v>8</v>
      </c>
      <c r="S16" s="1572">
        <f t="shared" si="0"/>
        <v>100</v>
      </c>
      <c r="T16" s="1571" t="s">
        <v>8</v>
      </c>
      <c r="U16" s="1572">
        <f t="shared" si="1"/>
        <v>100</v>
      </c>
      <c r="V16" s="1571" t="s">
        <v>8</v>
      </c>
      <c r="W16" s="1572">
        <f t="shared" si="2"/>
        <v>100</v>
      </c>
      <c r="X16" s="1573"/>
      <c r="Y16" s="3304"/>
      <c r="Z16" s="3178">
        <f t="shared" si="7"/>
        <v>111</v>
      </c>
      <c r="AA16" s="1574">
        <f>D16/F16</f>
        <v>1</v>
      </c>
      <c r="AB16" s="1574">
        <f>D16/H16</f>
        <v>1</v>
      </c>
      <c r="AC16" s="1574">
        <f>D16/J16</f>
        <v>1</v>
      </c>
    </row>
    <row r="17" spans="1:29" ht="20.25">
      <c r="A17" s="2947" t="s">
        <v>2764</v>
      </c>
      <c r="B17" s="581" t="s">
        <v>295</v>
      </c>
      <c r="C17" s="551" t="str">
        <f>估价对象房地状况!C15</f>
        <v>一般</v>
      </c>
      <c r="D17" s="554">
        <v>100</v>
      </c>
      <c r="E17" s="555"/>
      <c r="F17" s="552">
        <f>SUMIF(90:90,E18,91:91)-SUMIF(90:90,C18,91:91)+100</f>
        <v>100</v>
      </c>
      <c r="G17" s="553"/>
      <c r="H17" s="552">
        <f>SUMIF(90:90,G18,91:91)-SUMIF(90:90,C18,91:91)+100</f>
        <v>100</v>
      </c>
      <c r="I17" s="555"/>
      <c r="J17" s="552">
        <f>SUMIF(90:90,I18,91:91)-SUMIF(90:90,C18,91:91)+100</f>
        <v>100</v>
      </c>
      <c r="K17" s="538">
        <v>2</v>
      </c>
      <c r="L17" s="2150"/>
      <c r="M17" s="2140"/>
      <c r="N17" s="2140"/>
      <c r="O17" s="2149"/>
      <c r="P17" s="3393" t="s">
        <v>541</v>
      </c>
      <c r="Q17" s="3182" t="str">
        <f t="shared" si="6"/>
        <v>居住社区成熟度</v>
      </c>
      <c r="R17" s="1576" t="s">
        <v>8</v>
      </c>
      <c r="S17" s="1577">
        <f t="shared" si="0"/>
        <v>100</v>
      </c>
      <c r="T17" s="1576" t="s">
        <v>8</v>
      </c>
      <c r="U17" s="1577">
        <f t="shared" si="1"/>
        <v>100</v>
      </c>
      <c r="V17" s="1576" t="s">
        <v>8</v>
      </c>
      <c r="W17" s="1577">
        <f t="shared" si="2"/>
        <v>100</v>
      </c>
      <c r="X17" s="3181"/>
      <c r="Y17" s="3393" t="s">
        <v>541</v>
      </c>
      <c r="Z17" s="3183" t="str">
        <f t="shared" si="7"/>
        <v>居住社区成熟度</v>
      </c>
      <c r="AA17" s="3184">
        <f t="shared" si="3"/>
        <v>1</v>
      </c>
      <c r="AB17" s="3184">
        <f t="shared" si="4"/>
        <v>1</v>
      </c>
      <c r="AC17" s="3184">
        <f t="shared" si="5"/>
        <v>1</v>
      </c>
    </row>
    <row r="18" spans="1:29" ht="20.25">
      <c r="A18" s="535"/>
      <c r="B18" s="556"/>
      <c r="C18" s="557" t="s">
        <v>3006</v>
      </c>
      <c r="D18" s="560"/>
      <c r="E18" s="557" t="s">
        <v>3006</v>
      </c>
      <c r="F18" s="558"/>
      <c r="G18" s="557" t="s">
        <v>3006</v>
      </c>
      <c r="H18" s="562"/>
      <c r="I18" s="557" t="s">
        <v>3006</v>
      </c>
      <c r="J18" s="558"/>
      <c r="K18" s="534"/>
      <c r="L18" s="2150"/>
      <c r="M18" s="2140"/>
      <c r="N18" s="2140"/>
      <c r="O18" s="2149"/>
      <c r="P18" s="3394"/>
      <c r="Q18" s="3182"/>
      <c r="R18" s="1576"/>
      <c r="S18" s="1577"/>
      <c r="T18" s="1576"/>
      <c r="U18" s="1577"/>
      <c r="V18" s="1576"/>
      <c r="W18" s="1577"/>
      <c r="X18" s="3181"/>
      <c r="Y18" s="3394"/>
      <c r="Z18" s="3183"/>
      <c r="AA18" s="3184">
        <v>1</v>
      </c>
      <c r="AB18" s="3184">
        <v>1</v>
      </c>
      <c r="AC18" s="3184">
        <v>1</v>
      </c>
    </row>
    <row r="19" spans="1:29" ht="20.25">
      <c r="A19" s="535"/>
      <c r="B19" s="563" t="s">
        <v>542</v>
      </c>
      <c r="C19" s="564" t="str">
        <f>估价对象房地状况!C16</f>
        <v>一般</v>
      </c>
      <c r="D19" s="566">
        <v>100</v>
      </c>
      <c r="E19" s="567"/>
      <c r="F19" s="562">
        <f>SUMIF(92:92,E20,93:93)-SUMIF(92:92,C20,93:93)+100</f>
        <v>100</v>
      </c>
      <c r="G19" s="565"/>
      <c r="H19" s="568">
        <f>SUMIF(92:92,G20,93:93)-SUMIF(92:92,C20,93:93)+100</f>
        <v>100</v>
      </c>
      <c r="I19" s="567"/>
      <c r="J19" s="568">
        <f>SUMIF(92:92,I20,93:93)-SUMIF(92:92,C20,93:93)+100</f>
        <v>100</v>
      </c>
      <c r="K19" s="538">
        <v>2</v>
      </c>
      <c r="L19" s="2150"/>
      <c r="M19" s="2140"/>
      <c r="N19" s="2140"/>
      <c r="O19" s="2149"/>
      <c r="P19" s="3394"/>
      <c r="Q19" s="3182" t="str">
        <f>B19</f>
        <v>商业繁华度</v>
      </c>
      <c r="R19" s="1576" t="s">
        <v>8</v>
      </c>
      <c r="S19" s="1577">
        <f>F19</f>
        <v>100</v>
      </c>
      <c r="T19" s="1576" t="s">
        <v>8</v>
      </c>
      <c r="U19" s="1577">
        <f>H19</f>
        <v>100</v>
      </c>
      <c r="V19" s="1576" t="s">
        <v>8</v>
      </c>
      <c r="W19" s="1577">
        <f>J19</f>
        <v>100</v>
      </c>
      <c r="X19" s="3181"/>
      <c r="Y19" s="3394"/>
      <c r="Z19" s="3183" t="str">
        <f>Q19</f>
        <v>商业繁华度</v>
      </c>
      <c r="AA19" s="3184">
        <f t="shared" si="3"/>
        <v>1</v>
      </c>
      <c r="AB19" s="3184">
        <f t="shared" si="4"/>
        <v>1</v>
      </c>
      <c r="AC19" s="3184">
        <f t="shared" si="5"/>
        <v>1</v>
      </c>
    </row>
    <row r="20" spans="1:29" ht="20.25">
      <c r="A20" s="535"/>
      <c r="B20" s="569"/>
      <c r="C20" s="557" t="s">
        <v>3006</v>
      </c>
      <c r="D20" s="566"/>
      <c r="E20" s="557" t="s">
        <v>3006</v>
      </c>
      <c r="F20" s="562"/>
      <c r="G20" s="557" t="s">
        <v>3006</v>
      </c>
      <c r="H20" s="558"/>
      <c r="I20" s="557" t="s">
        <v>3006</v>
      </c>
      <c r="J20" s="558"/>
      <c r="K20" s="534"/>
      <c r="L20" s="2150"/>
      <c r="M20" s="2140"/>
      <c r="N20" s="2140"/>
      <c r="O20" s="2149"/>
      <c r="P20" s="3394"/>
      <c r="Q20" s="3182"/>
      <c r="R20" s="1576"/>
      <c r="S20" s="1577"/>
      <c r="T20" s="1576"/>
      <c r="U20" s="1577"/>
      <c r="V20" s="1576"/>
      <c r="W20" s="1577"/>
      <c r="X20" s="3181"/>
      <c r="Y20" s="3394"/>
      <c r="Z20" s="3183"/>
      <c r="AA20" s="3184">
        <v>1</v>
      </c>
      <c r="AB20" s="3184">
        <v>1</v>
      </c>
      <c r="AC20" s="3184">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94"/>
      <c r="Q21" s="3182" t="str">
        <f>B21</f>
        <v>办公集聚程度</v>
      </c>
      <c r="R21" s="1576" t="s">
        <v>8</v>
      </c>
      <c r="S21" s="1577">
        <f>F21</f>
        <v>100</v>
      </c>
      <c r="T21" s="1576" t="s">
        <v>8</v>
      </c>
      <c r="U21" s="1577">
        <f>H21</f>
        <v>100</v>
      </c>
      <c r="V21" s="1576" t="s">
        <v>8</v>
      </c>
      <c r="W21" s="1577">
        <f>J21</f>
        <v>100</v>
      </c>
      <c r="X21" s="3181"/>
      <c r="Y21" s="3394"/>
      <c r="Z21" s="3183" t="str">
        <f>Q21</f>
        <v>办公集聚程度</v>
      </c>
      <c r="AA21" s="3184">
        <f t="shared" si="3"/>
        <v>1</v>
      </c>
      <c r="AB21" s="3184">
        <f t="shared" si="4"/>
        <v>1</v>
      </c>
      <c r="AC21" s="3184">
        <f t="shared" si="5"/>
        <v>1</v>
      </c>
    </row>
    <row r="22" spans="1:29" ht="20.25" hidden="1">
      <c r="A22" s="535"/>
      <c r="B22" s="569"/>
      <c r="C22" s="557"/>
      <c r="D22" s="560"/>
      <c r="E22" s="561"/>
      <c r="F22" s="558"/>
      <c r="G22" s="559"/>
      <c r="H22" s="558"/>
      <c r="I22" s="561"/>
      <c r="J22" s="558"/>
      <c r="K22" s="534"/>
      <c r="L22" s="2150"/>
      <c r="M22" s="2140"/>
      <c r="N22" s="2140"/>
      <c r="O22" s="2149"/>
      <c r="P22" s="3394"/>
      <c r="Q22" s="3182"/>
      <c r="R22" s="1576"/>
      <c r="S22" s="1577"/>
      <c r="T22" s="1576"/>
      <c r="U22" s="1577"/>
      <c r="V22" s="1576"/>
      <c r="W22" s="1577"/>
      <c r="X22" s="3181"/>
      <c r="Y22" s="3394"/>
      <c r="Z22" s="3183"/>
      <c r="AA22" s="3184">
        <v>1</v>
      </c>
      <c r="AB22" s="3184">
        <v>1</v>
      </c>
      <c r="AC22" s="3184">
        <v>1</v>
      </c>
    </row>
    <row r="23" spans="1:29" ht="20.25">
      <c r="A23" s="535"/>
      <c r="B23" s="563" t="s">
        <v>544</v>
      </c>
      <c r="C23" s="576" t="str">
        <f>估价对象房地状况!C18</f>
        <v>一般</v>
      </c>
      <c r="D23" s="566">
        <v>100</v>
      </c>
      <c r="E23" s="567"/>
      <c r="F23" s="568">
        <f>SUMIF(96:96,E24,97:97)-SUMIF(96:96,C24,97:97)+100</f>
        <v>100</v>
      </c>
      <c r="G23" s="565"/>
      <c r="H23" s="562">
        <f>SUMIF(96:96,G24,97:97)-SUMIF(96:96,C24,97:97)+100</f>
        <v>100</v>
      </c>
      <c r="I23" s="567"/>
      <c r="J23" s="562">
        <f>SUMIF(96:96,I24,97:97)-SUMIF(96:96,C24,97:97)+100</f>
        <v>100</v>
      </c>
      <c r="K23" s="538">
        <v>2</v>
      </c>
      <c r="L23" s="2150"/>
      <c r="M23" s="2140"/>
      <c r="N23" s="2140"/>
      <c r="O23" s="2149"/>
      <c r="P23" s="3394"/>
      <c r="Q23" s="3182" t="str">
        <f>B23</f>
        <v>交通便捷度</v>
      </c>
      <c r="R23" s="1576" t="s">
        <v>8</v>
      </c>
      <c r="S23" s="1577">
        <f>F23</f>
        <v>100</v>
      </c>
      <c r="T23" s="1576" t="s">
        <v>8</v>
      </c>
      <c r="U23" s="1577">
        <f>H23</f>
        <v>100</v>
      </c>
      <c r="V23" s="1576" t="s">
        <v>8</v>
      </c>
      <c r="W23" s="1577">
        <f>J23</f>
        <v>100</v>
      </c>
      <c r="X23" s="3181"/>
      <c r="Y23" s="3394"/>
      <c r="Z23" s="3183" t="str">
        <f>Q23</f>
        <v>交通便捷度</v>
      </c>
      <c r="AA23" s="3184">
        <f t="shared" si="3"/>
        <v>1</v>
      </c>
      <c r="AB23" s="3184">
        <f t="shared" si="4"/>
        <v>1</v>
      </c>
      <c r="AC23" s="3184">
        <f t="shared" si="5"/>
        <v>1</v>
      </c>
    </row>
    <row r="24" spans="1:29" ht="20.25">
      <c r="A24" s="535"/>
      <c r="B24" s="581"/>
      <c r="C24" s="557" t="s">
        <v>3006</v>
      </c>
      <c r="D24" s="560"/>
      <c r="E24" s="557" t="s">
        <v>3006</v>
      </c>
      <c r="F24" s="558"/>
      <c r="G24" s="557" t="s">
        <v>3006</v>
      </c>
      <c r="H24" s="558"/>
      <c r="I24" s="557" t="s">
        <v>3006</v>
      </c>
      <c r="J24" s="558"/>
      <c r="K24" s="534"/>
      <c r="L24" s="2150"/>
      <c r="M24" s="2140"/>
      <c r="N24" s="2140"/>
      <c r="O24" s="2149"/>
      <c r="P24" s="3394"/>
      <c r="Q24" s="3182"/>
      <c r="R24" s="1576"/>
      <c r="S24" s="1577"/>
      <c r="T24" s="1576"/>
      <c r="U24" s="1577"/>
      <c r="V24" s="1576"/>
      <c r="W24" s="1577"/>
      <c r="X24" s="3181"/>
      <c r="Y24" s="3394"/>
      <c r="Z24" s="3183"/>
      <c r="AA24" s="3184">
        <v>1</v>
      </c>
      <c r="AB24" s="3184">
        <v>1</v>
      </c>
      <c r="AC24" s="3184">
        <v>1</v>
      </c>
    </row>
    <row r="25" spans="1:29" ht="27">
      <c r="A25" s="518"/>
      <c r="B25" s="259" t="s">
        <v>545</v>
      </c>
      <c r="C25" s="576" t="str">
        <f>估价对象房地状况!C19</f>
        <v>较好</v>
      </c>
      <c r="D25" s="566">
        <v>100</v>
      </c>
      <c r="E25" s="567"/>
      <c r="F25" s="568">
        <f>SUMIF(98:98,E26,99:99)-SUMIF(98:98,C26,99:99)+100</f>
        <v>100</v>
      </c>
      <c r="G25" s="565"/>
      <c r="H25" s="562">
        <f>SUMIF(98:98,G26,99:99)-SUMIF(98:98,C26,99:99)+100</f>
        <v>100</v>
      </c>
      <c r="I25" s="567"/>
      <c r="J25" s="562">
        <f>SUMIF(98:98,I26,99:99)-SUMIF(98:98,C26,99:99)+100</f>
        <v>100</v>
      </c>
      <c r="K25" s="538">
        <v>2</v>
      </c>
      <c r="L25" s="2150"/>
      <c r="M25" s="2140"/>
      <c r="N25" s="2140"/>
      <c r="O25" s="2149"/>
      <c r="P25" s="3394"/>
      <c r="Q25" s="3182" t="str">
        <f t="shared" ref="Q25:Q39" si="8">B25</f>
        <v>区域土地利用方向</v>
      </c>
      <c r="R25" s="1576" t="s">
        <v>8</v>
      </c>
      <c r="S25" s="1577">
        <f>F25</f>
        <v>100</v>
      </c>
      <c r="T25" s="1576" t="s">
        <v>8</v>
      </c>
      <c r="U25" s="1577">
        <f>H25</f>
        <v>100</v>
      </c>
      <c r="V25" s="1576" t="s">
        <v>8</v>
      </c>
      <c r="W25" s="1577">
        <f>J25</f>
        <v>100</v>
      </c>
      <c r="X25" s="3181"/>
      <c r="Y25" s="3394"/>
      <c r="Z25" s="3183" t="str">
        <f>Q25</f>
        <v>区域土地利用方向</v>
      </c>
      <c r="AA25" s="3184">
        <f t="shared" si="3"/>
        <v>1</v>
      </c>
      <c r="AB25" s="3184">
        <f t="shared" si="4"/>
        <v>1</v>
      </c>
      <c r="AC25" s="3184">
        <f t="shared" si="5"/>
        <v>1</v>
      </c>
    </row>
    <row r="26" spans="1:29" ht="20.25">
      <c r="A26" s="518"/>
      <c r="B26" s="1009"/>
      <c r="C26" s="557" t="s">
        <v>3011</v>
      </c>
      <c r="D26" s="560"/>
      <c r="E26" s="557" t="s">
        <v>3011</v>
      </c>
      <c r="F26" s="558"/>
      <c r="G26" s="557" t="s">
        <v>3011</v>
      </c>
      <c r="H26" s="558"/>
      <c r="I26" s="557" t="s">
        <v>3011</v>
      </c>
      <c r="J26" s="558"/>
      <c r="K26" s="534"/>
      <c r="L26" s="2150"/>
      <c r="M26" s="2140"/>
      <c r="N26" s="2140"/>
      <c r="O26" s="2149"/>
      <c r="P26" s="3394"/>
      <c r="Q26" s="3182"/>
      <c r="R26" s="1576"/>
      <c r="S26" s="1577"/>
      <c r="T26" s="1576"/>
      <c r="U26" s="1577"/>
      <c r="V26" s="1576"/>
      <c r="W26" s="1577"/>
      <c r="X26" s="3181"/>
      <c r="Y26" s="3394"/>
      <c r="Z26" s="3183"/>
      <c r="AA26" s="3184"/>
      <c r="AB26" s="3184"/>
      <c r="AC26" s="3184"/>
    </row>
    <row r="27" spans="1:29" ht="27">
      <c r="A27" s="518"/>
      <c r="B27" s="581" t="s">
        <v>546</v>
      </c>
      <c r="C27" s="564" t="str">
        <f>估价对象房地状况!C20</f>
        <v>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0"/>
      <c r="M27" s="2140"/>
      <c r="N27" s="2140"/>
      <c r="O27" s="2149"/>
      <c r="P27" s="3394"/>
      <c r="Q27" s="3182" t="str">
        <f t="shared" si="8"/>
        <v>自然及人文环境状况</v>
      </c>
      <c r="R27" s="1576" t="s">
        <v>8</v>
      </c>
      <c r="S27" s="1577">
        <f>F27</f>
        <v>100</v>
      </c>
      <c r="T27" s="1576" t="s">
        <v>8</v>
      </c>
      <c r="U27" s="1577">
        <f>H27</f>
        <v>100</v>
      </c>
      <c r="V27" s="1576" t="s">
        <v>8</v>
      </c>
      <c r="W27" s="1577">
        <f>J27</f>
        <v>100</v>
      </c>
      <c r="X27" s="3181"/>
      <c r="Y27" s="3394"/>
      <c r="Z27" s="3183" t="str">
        <f>Q27</f>
        <v>自然及人文环境状况</v>
      </c>
      <c r="AA27" s="3184">
        <f t="shared" si="3"/>
        <v>1</v>
      </c>
      <c r="AB27" s="3184">
        <f t="shared" si="4"/>
        <v>1</v>
      </c>
      <c r="AC27" s="3184">
        <f t="shared" si="5"/>
        <v>1</v>
      </c>
    </row>
    <row r="28" spans="1:29" ht="20.25">
      <c r="A28" s="518"/>
      <c r="B28" s="569"/>
      <c r="C28" s="557" t="s">
        <v>3006</v>
      </c>
      <c r="D28" s="560"/>
      <c r="E28" s="557" t="s">
        <v>3006</v>
      </c>
      <c r="F28" s="558"/>
      <c r="G28" s="557" t="s">
        <v>3006</v>
      </c>
      <c r="H28" s="558"/>
      <c r="I28" s="557" t="s">
        <v>3006</v>
      </c>
      <c r="J28" s="558"/>
      <c r="K28" s="534"/>
      <c r="L28" s="2150"/>
      <c r="M28" s="2140"/>
      <c r="N28" s="2140"/>
      <c r="O28" s="2149"/>
      <c r="P28" s="3394"/>
      <c r="Q28" s="3182"/>
      <c r="R28" s="1576"/>
      <c r="S28" s="1577"/>
      <c r="T28" s="1576"/>
      <c r="U28" s="1577"/>
      <c r="V28" s="1576"/>
      <c r="W28" s="1577"/>
      <c r="X28" s="3181"/>
      <c r="Y28" s="3394"/>
      <c r="Z28" s="3183"/>
      <c r="AA28" s="3184">
        <v>1</v>
      </c>
      <c r="AB28" s="3184">
        <v>1</v>
      </c>
      <c r="AC28" s="3184">
        <v>1</v>
      </c>
    </row>
    <row r="29" spans="1:29" s="1222" customFormat="1" ht="20.25">
      <c r="A29" s="580"/>
      <c r="B29" s="2624" t="s">
        <v>2555</v>
      </c>
      <c r="C29" s="576" t="str">
        <f>估价对象房地状况!C21</f>
        <v>一般</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3"/>
      <c r="M29" s="2140"/>
      <c r="N29" s="2140"/>
      <c r="O29" s="2145"/>
      <c r="P29" s="3394"/>
      <c r="Q29" s="3179" t="str">
        <f t="shared" si="8"/>
        <v>公共配套设施</v>
      </c>
      <c r="R29" s="1571" t="s">
        <v>8</v>
      </c>
      <c r="S29" s="1572">
        <f>F29</f>
        <v>100</v>
      </c>
      <c r="T29" s="1571" t="s">
        <v>8</v>
      </c>
      <c r="U29" s="1572">
        <f>H29</f>
        <v>100</v>
      </c>
      <c r="V29" s="1571" t="s">
        <v>8</v>
      </c>
      <c r="W29" s="1572">
        <f>J29</f>
        <v>100</v>
      </c>
      <c r="X29" s="1573"/>
      <c r="Y29" s="3394"/>
      <c r="Z29" s="3178" t="str">
        <f>Q29</f>
        <v>公共配套设施</v>
      </c>
      <c r="AA29" s="3184">
        <f>D29/F29</f>
        <v>1</v>
      </c>
      <c r="AB29" s="3184">
        <f>D29/H29</f>
        <v>1</v>
      </c>
      <c r="AC29" s="3184">
        <f>D29/J29</f>
        <v>1</v>
      </c>
    </row>
    <row r="30" spans="1:29" s="1222" customFormat="1" ht="20.25">
      <c r="A30" s="580"/>
      <c r="B30" s="569"/>
      <c r="C30" s="582" t="s">
        <v>3006</v>
      </c>
      <c r="D30" s="560"/>
      <c r="E30" s="582" t="s">
        <v>3006</v>
      </c>
      <c r="F30" s="558"/>
      <c r="G30" s="582" t="s">
        <v>3006</v>
      </c>
      <c r="H30" s="558"/>
      <c r="I30" s="582" t="s">
        <v>3006</v>
      </c>
      <c r="J30" s="558"/>
      <c r="K30" s="534"/>
      <c r="L30" s="2143"/>
      <c r="M30" s="2140"/>
      <c r="N30" s="2140"/>
      <c r="O30" s="2145"/>
      <c r="P30" s="3394"/>
      <c r="Q30" s="3179"/>
      <c r="R30" s="1571"/>
      <c r="S30" s="1572"/>
      <c r="T30" s="1571"/>
      <c r="U30" s="1572"/>
      <c r="V30" s="1571"/>
      <c r="W30" s="1572"/>
      <c r="X30" s="1573"/>
      <c r="Y30" s="3394"/>
      <c r="Z30" s="3178"/>
      <c r="AA30" s="3184">
        <v>1</v>
      </c>
      <c r="AB30" s="3184">
        <v>1</v>
      </c>
      <c r="AC30" s="3184">
        <v>1</v>
      </c>
    </row>
    <row r="31" spans="1:29" s="1222" customFormat="1" ht="20.25">
      <c r="A31" s="580"/>
      <c r="B31" s="2624" t="s">
        <v>2556</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3"/>
      <c r="M31" s="2140"/>
      <c r="N31" s="2140"/>
      <c r="O31" s="2145"/>
      <c r="P31" s="3394"/>
      <c r="Q31" s="3179" t="str">
        <f t="shared" ref="Q31" si="9">B31</f>
        <v>基础设施水平</v>
      </c>
      <c r="R31" s="1571" t="s">
        <v>8</v>
      </c>
      <c r="S31" s="1572">
        <f>F31</f>
        <v>100</v>
      </c>
      <c r="T31" s="1571" t="s">
        <v>8</v>
      </c>
      <c r="U31" s="1572">
        <f>H31</f>
        <v>100</v>
      </c>
      <c r="V31" s="1571" t="s">
        <v>8</v>
      </c>
      <c r="W31" s="1572">
        <f>J31</f>
        <v>100</v>
      </c>
      <c r="X31" s="1573"/>
      <c r="Y31" s="3394"/>
      <c r="Z31" s="3178" t="str">
        <f>Q31</f>
        <v>基础设施水平</v>
      </c>
      <c r="AA31" s="3184">
        <f>D31/F31</f>
        <v>1</v>
      </c>
      <c r="AB31" s="3184">
        <f>D31/H31</f>
        <v>1</v>
      </c>
      <c r="AC31" s="3184">
        <f>D31/J31</f>
        <v>1</v>
      </c>
    </row>
    <row r="32" spans="1:29" s="1222" customFormat="1" ht="20.25">
      <c r="A32" s="580"/>
      <c r="B32" s="569"/>
      <c r="C32" s="582" t="s">
        <v>3009</v>
      </c>
      <c r="D32" s="560"/>
      <c r="E32" s="582" t="s">
        <v>3009</v>
      </c>
      <c r="F32" s="558"/>
      <c r="G32" s="582" t="s">
        <v>3009</v>
      </c>
      <c r="H32" s="558"/>
      <c r="I32" s="582" t="s">
        <v>3009</v>
      </c>
      <c r="J32" s="558"/>
      <c r="K32" s="534"/>
      <c r="L32" s="2143"/>
      <c r="M32" s="2140"/>
      <c r="N32" s="2140"/>
      <c r="O32" s="2145"/>
      <c r="P32" s="3394"/>
      <c r="Q32" s="3179"/>
      <c r="R32" s="1571"/>
      <c r="S32" s="1572"/>
      <c r="T32" s="1571"/>
      <c r="U32" s="1572"/>
      <c r="V32" s="1571"/>
      <c r="W32" s="1572"/>
      <c r="X32" s="1573"/>
      <c r="Y32" s="3394"/>
      <c r="Z32" s="3178"/>
      <c r="AA32" s="3184">
        <v>1</v>
      </c>
      <c r="AB32" s="3184">
        <v>1</v>
      </c>
      <c r="AC32" s="3184">
        <v>1</v>
      </c>
    </row>
    <row r="33" spans="1:29" ht="20.25">
      <c r="A33" s="535"/>
      <c r="B33" s="569" t="s">
        <v>548</v>
      </c>
      <c r="C33" s="583" t="s">
        <v>1665</v>
      </c>
      <c r="D33" s="578">
        <v>100</v>
      </c>
      <c r="E33" s="583" t="s">
        <v>1665</v>
      </c>
      <c r="F33" s="543">
        <f>SUMIF(106:106,E33,107:107)-SUMIF(106:106,C33,107:107)+100</f>
        <v>100</v>
      </c>
      <c r="G33" s="583" t="s">
        <v>1665</v>
      </c>
      <c r="H33" s="543">
        <f>SUMIF(106:106,G33,107:107)-SUMIF(106:106,C33,107:107)+100</f>
        <v>100</v>
      </c>
      <c r="I33" s="583" t="s">
        <v>1665</v>
      </c>
      <c r="J33" s="543">
        <f>SUMIF(106:106,I33,107:107)-SUMIF(106:106,C33,107:107)+100</f>
        <v>100</v>
      </c>
      <c r="K33" s="538">
        <v>1</v>
      </c>
      <c r="L33" s="2150"/>
      <c r="M33" s="2140"/>
      <c r="N33" s="2140"/>
      <c r="O33" s="2149"/>
      <c r="P33" s="3394"/>
      <c r="Q33" s="3182" t="str">
        <f t="shared" si="8"/>
        <v>临街状况</v>
      </c>
      <c r="R33" s="1576" t="s">
        <v>8</v>
      </c>
      <c r="S33" s="1577">
        <f t="shared" ref="S33:S47" si="10">F33</f>
        <v>100</v>
      </c>
      <c r="T33" s="1576" t="s">
        <v>8</v>
      </c>
      <c r="U33" s="1577">
        <f t="shared" ref="U33:U47" si="11">H33</f>
        <v>100</v>
      </c>
      <c r="V33" s="1576" t="s">
        <v>8</v>
      </c>
      <c r="W33" s="1577">
        <f t="shared" ref="W33:W47" si="12">J33</f>
        <v>100</v>
      </c>
      <c r="X33" s="3181"/>
      <c r="Y33" s="3394"/>
      <c r="Z33" s="3183" t="str">
        <f t="shared" ref="Z33:Z47" si="13">Q33</f>
        <v>临街状况</v>
      </c>
      <c r="AA33" s="3184">
        <f t="shared" si="3"/>
        <v>1</v>
      </c>
      <c r="AB33" s="3184">
        <f t="shared" si="4"/>
        <v>1</v>
      </c>
      <c r="AC33" s="3184">
        <f t="shared" si="5"/>
        <v>1</v>
      </c>
    </row>
    <row r="34" spans="1:29" ht="27">
      <c r="A34" s="535"/>
      <c r="B34" s="581" t="s">
        <v>549</v>
      </c>
      <c r="C34" s="565" t="s">
        <v>3035</v>
      </c>
      <c r="D34" s="566">
        <v>100</v>
      </c>
      <c r="E34" s="565" t="s">
        <v>3035</v>
      </c>
      <c r="F34" s="562">
        <f>SUMIF(108:108,E35,109:109)-SUMIF(108:108,C35,109:109)+100</f>
        <v>100</v>
      </c>
      <c r="G34" s="565" t="s">
        <v>3035</v>
      </c>
      <c r="H34" s="562">
        <f>SUMIF(108:108,G35,109:109)-SUMIF(108:108,C35,109:109)+100</f>
        <v>100</v>
      </c>
      <c r="I34" s="565" t="s">
        <v>3035</v>
      </c>
      <c r="J34" s="562">
        <f>SUMIF(108:108,I35,109:109)-SUMIF(108:108,C35,109:109)+100</f>
        <v>100</v>
      </c>
      <c r="K34" s="538">
        <v>2</v>
      </c>
      <c r="L34" s="2150"/>
      <c r="M34" s="2140"/>
      <c r="N34" s="2140"/>
      <c r="O34" s="2149"/>
      <c r="P34" s="3394"/>
      <c r="Q34" s="3182" t="str">
        <f t="shared" si="8"/>
        <v>毗邻道路的类型与等级</v>
      </c>
      <c r="R34" s="1576" t="s">
        <v>8</v>
      </c>
      <c r="S34" s="1577">
        <f t="shared" si="10"/>
        <v>100</v>
      </c>
      <c r="T34" s="1576" t="s">
        <v>8</v>
      </c>
      <c r="U34" s="1577">
        <f t="shared" si="11"/>
        <v>100</v>
      </c>
      <c r="V34" s="1576" t="s">
        <v>8</v>
      </c>
      <c r="W34" s="1577">
        <f t="shared" si="12"/>
        <v>100</v>
      </c>
      <c r="X34" s="3181"/>
      <c r="Y34" s="3394"/>
      <c r="Z34" s="3183" t="str">
        <f t="shared" si="13"/>
        <v>毗邻道路的类型与等级</v>
      </c>
      <c r="AA34" s="3184">
        <f t="shared" si="3"/>
        <v>1</v>
      </c>
      <c r="AB34" s="3184">
        <f t="shared" si="4"/>
        <v>1</v>
      </c>
      <c r="AC34" s="3184">
        <f t="shared" si="5"/>
        <v>1</v>
      </c>
    </row>
    <row r="35" spans="1:29" ht="21" thickBot="1">
      <c r="A35" s="535"/>
      <c r="B35" s="569"/>
      <c r="C35" s="557" t="s">
        <v>3016</v>
      </c>
      <c r="D35" s="560"/>
      <c r="E35" s="557" t="s">
        <v>3016</v>
      </c>
      <c r="F35" s="558"/>
      <c r="G35" s="557" t="s">
        <v>3016</v>
      </c>
      <c r="H35" s="558"/>
      <c r="I35" s="557" t="s">
        <v>3016</v>
      </c>
      <c r="J35" s="558"/>
      <c r="K35" s="584"/>
      <c r="L35" s="2150"/>
      <c r="M35" s="2140"/>
      <c r="N35" s="2140"/>
      <c r="O35" s="2149"/>
      <c r="P35" s="3394"/>
      <c r="Q35" s="3182"/>
      <c r="R35" s="1576"/>
      <c r="S35" s="1577"/>
      <c r="T35" s="1576"/>
      <c r="U35" s="1577"/>
      <c r="V35" s="1576"/>
      <c r="W35" s="1577"/>
      <c r="X35" s="3181"/>
      <c r="Y35" s="3394"/>
      <c r="Z35" s="3183"/>
      <c r="AA35" s="3184">
        <v>1</v>
      </c>
      <c r="AB35" s="3184">
        <v>1</v>
      </c>
      <c r="AC35" s="3184">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94"/>
      <c r="Q36" s="3182" t="str">
        <f t="shared" si="8"/>
        <v>土地级别</v>
      </c>
      <c r="R36" s="1576" t="s">
        <v>8</v>
      </c>
      <c r="S36" s="1577">
        <f t="shared" si="10"/>
        <v>100</v>
      </c>
      <c r="T36" s="1576" t="s">
        <v>8</v>
      </c>
      <c r="U36" s="1577">
        <f t="shared" si="11"/>
        <v>100</v>
      </c>
      <c r="V36" s="1576" t="s">
        <v>8</v>
      </c>
      <c r="W36" s="1577">
        <f t="shared" si="12"/>
        <v>100</v>
      </c>
      <c r="X36" s="3181"/>
      <c r="Y36" s="3394"/>
      <c r="Z36" s="3183" t="str">
        <f t="shared" si="13"/>
        <v>土地级别</v>
      </c>
      <c r="AA36" s="3184">
        <f t="shared" si="3"/>
        <v>1</v>
      </c>
      <c r="AB36" s="3184">
        <f t="shared" si="4"/>
        <v>1</v>
      </c>
      <c r="AC36" s="3184">
        <f t="shared" si="5"/>
        <v>1</v>
      </c>
    </row>
    <row r="37" spans="1:29" ht="21" hidden="1" thickBot="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94"/>
      <c r="Q37" s="3182">
        <f t="shared" si="8"/>
        <v>111</v>
      </c>
      <c r="R37" s="1576" t="s">
        <v>8</v>
      </c>
      <c r="S37" s="1577">
        <f t="shared" si="10"/>
        <v>100</v>
      </c>
      <c r="T37" s="1576" t="s">
        <v>8</v>
      </c>
      <c r="U37" s="1577">
        <f t="shared" si="11"/>
        <v>100</v>
      </c>
      <c r="V37" s="1576" t="s">
        <v>8</v>
      </c>
      <c r="W37" s="1577">
        <f t="shared" si="12"/>
        <v>100</v>
      </c>
      <c r="X37" s="3181"/>
      <c r="Y37" s="3394"/>
      <c r="Z37" s="3183">
        <f t="shared" si="13"/>
        <v>111</v>
      </c>
      <c r="AA37" s="3184">
        <f t="shared" si="3"/>
        <v>1</v>
      </c>
      <c r="AB37" s="3184">
        <f t="shared" si="4"/>
        <v>1</v>
      </c>
      <c r="AC37" s="3184">
        <f t="shared" si="5"/>
        <v>1</v>
      </c>
    </row>
    <row r="38" spans="1:29" ht="21" hidden="1" thickBot="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95" t="s">
        <v>551</v>
      </c>
      <c r="Q38" s="3182">
        <f t="shared" si="8"/>
        <v>111</v>
      </c>
      <c r="R38" s="1576" t="s">
        <v>8</v>
      </c>
      <c r="S38" s="1577">
        <f t="shared" si="10"/>
        <v>100</v>
      </c>
      <c r="T38" s="1576" t="s">
        <v>8</v>
      </c>
      <c r="U38" s="1577">
        <f t="shared" si="11"/>
        <v>100</v>
      </c>
      <c r="V38" s="1576" t="s">
        <v>8</v>
      </c>
      <c r="W38" s="1577">
        <f t="shared" si="12"/>
        <v>100</v>
      </c>
      <c r="X38" s="3181"/>
      <c r="Y38" s="3396" t="s">
        <v>551</v>
      </c>
      <c r="Z38" s="3183">
        <f t="shared" si="13"/>
        <v>111</v>
      </c>
      <c r="AA38" s="3184">
        <f t="shared" si="3"/>
        <v>1</v>
      </c>
      <c r="AB38" s="3184">
        <f t="shared" si="4"/>
        <v>1</v>
      </c>
      <c r="AC38" s="3184">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96"/>
      <c r="Q39" s="3182">
        <f t="shared" si="8"/>
        <v>111</v>
      </c>
      <c r="R39" s="1580" t="s">
        <v>8</v>
      </c>
      <c r="S39" s="1581">
        <f t="shared" si="10"/>
        <v>100</v>
      </c>
      <c r="T39" s="1580" t="s">
        <v>8</v>
      </c>
      <c r="U39" s="1581">
        <f t="shared" si="11"/>
        <v>100</v>
      </c>
      <c r="V39" s="1580" t="s">
        <v>8</v>
      </c>
      <c r="W39" s="1581">
        <f t="shared" si="12"/>
        <v>100</v>
      </c>
      <c r="X39" s="1582"/>
      <c r="Y39" s="3396"/>
      <c r="Z39" s="1583">
        <f t="shared" si="13"/>
        <v>111</v>
      </c>
      <c r="AA39" s="3184">
        <f t="shared" si="3"/>
        <v>1</v>
      </c>
      <c r="AB39" s="3184">
        <f t="shared" si="4"/>
        <v>1</v>
      </c>
      <c r="AC39" s="3184">
        <f t="shared" si="5"/>
        <v>1</v>
      </c>
    </row>
    <row r="40" spans="1:29" ht="20.25">
      <c r="A40" s="2944" t="s">
        <v>2765</v>
      </c>
      <c r="B40" s="598" t="s">
        <v>553</v>
      </c>
      <c r="C40" s="599">
        <f>'数据-汇总表'!D3</f>
        <v>117501</v>
      </c>
      <c r="D40" s="600">
        <v>100</v>
      </c>
      <c r="E40" s="599">
        <v>44216</v>
      </c>
      <c r="F40" s="600">
        <f>LOOKUP(E40,119:119,120:120)-LOOKUP(C40,119:119,120:120)+100</f>
        <v>98</v>
      </c>
      <c r="G40" s="599">
        <v>12422</v>
      </c>
      <c r="H40" s="600">
        <f>LOOKUP(G40,119:119,120:120)-LOOKUP(C40,119:119,120:120)+100</f>
        <v>97</v>
      </c>
      <c r="I40" s="601">
        <v>6652</v>
      </c>
      <c r="J40" s="600">
        <f>LOOKUP(I40,119:119,120:120)-LOOKUP(C40,119:119,120:120)+100</f>
        <v>96</v>
      </c>
      <c r="K40" s="584"/>
      <c r="L40" s="2150"/>
      <c r="M40" s="2140"/>
      <c r="N40" s="2140"/>
      <c r="O40" s="2149"/>
      <c r="P40" s="3396"/>
      <c r="Q40" s="3182" t="str">
        <f>B40</f>
        <v>宗地面积</v>
      </c>
      <c r="R40" s="1576" t="s">
        <v>8</v>
      </c>
      <c r="S40" s="1577">
        <f t="shared" si="10"/>
        <v>98</v>
      </c>
      <c r="T40" s="1576" t="s">
        <v>8</v>
      </c>
      <c r="U40" s="1577">
        <f t="shared" si="11"/>
        <v>97</v>
      </c>
      <c r="V40" s="1576" t="s">
        <v>8</v>
      </c>
      <c r="W40" s="1577">
        <f t="shared" si="12"/>
        <v>96</v>
      </c>
      <c r="X40" s="3181"/>
      <c r="Y40" s="3396"/>
      <c r="Z40" s="3183" t="str">
        <f t="shared" si="13"/>
        <v>宗地面积</v>
      </c>
      <c r="AA40" s="3184">
        <f t="shared" si="3"/>
        <v>1.0204081632653061</v>
      </c>
      <c r="AB40" s="3184">
        <f t="shared" si="4"/>
        <v>1.0309278350515463</v>
      </c>
      <c r="AC40" s="3184">
        <f t="shared" si="5"/>
        <v>1.0416666666666667</v>
      </c>
    </row>
    <row r="41" spans="1:29" ht="20.25">
      <c r="A41" s="597"/>
      <c r="B41" s="530" t="s">
        <v>554</v>
      </c>
      <c r="C41" s="602" t="s">
        <v>3006</v>
      </c>
      <c r="D41" s="543">
        <v>100</v>
      </c>
      <c r="E41" s="602" t="s">
        <v>3006</v>
      </c>
      <c r="F41" s="543">
        <f>SUMIF(121:121,E41,122:122)-SUMIF(121:121,C41,122:122)+100</f>
        <v>100</v>
      </c>
      <c r="G41" s="602" t="s">
        <v>3006</v>
      </c>
      <c r="H41" s="543">
        <f>SUMIF(121:121,G41,122:122)-SUMIF(121:121,C41,122:122)+100</f>
        <v>100</v>
      </c>
      <c r="I41" s="602" t="s">
        <v>3006</v>
      </c>
      <c r="J41" s="543">
        <f>SUMIF(121:121,I41,122:122)-SUMIF(121:121,C41,122:122)+100</f>
        <v>100</v>
      </c>
      <c r="K41" s="587">
        <v>2</v>
      </c>
      <c r="L41" s="2150"/>
      <c r="M41" s="2140"/>
      <c r="N41" s="2140"/>
      <c r="O41" s="2149"/>
      <c r="P41" s="3396"/>
      <c r="Q41" s="3182" t="str">
        <f t="shared" ref="Q41:Q47" si="14">B41</f>
        <v>宗地形状</v>
      </c>
      <c r="R41" s="1576" t="s">
        <v>8</v>
      </c>
      <c r="S41" s="1577">
        <f t="shared" si="10"/>
        <v>100</v>
      </c>
      <c r="T41" s="1576" t="s">
        <v>8</v>
      </c>
      <c r="U41" s="1577">
        <f t="shared" si="11"/>
        <v>100</v>
      </c>
      <c r="V41" s="1576" t="s">
        <v>8</v>
      </c>
      <c r="W41" s="1577">
        <f t="shared" si="12"/>
        <v>100</v>
      </c>
      <c r="X41" s="3181"/>
      <c r="Y41" s="3396"/>
      <c r="Z41" s="3183" t="str">
        <f t="shared" si="13"/>
        <v>宗地形状</v>
      </c>
      <c r="AA41" s="3184">
        <f t="shared" si="3"/>
        <v>1</v>
      </c>
      <c r="AB41" s="3184">
        <f t="shared" si="4"/>
        <v>1</v>
      </c>
      <c r="AC41" s="3184">
        <f t="shared" si="5"/>
        <v>1</v>
      </c>
    </row>
    <row r="42" spans="1:29" ht="20.25">
      <c r="A42" s="597"/>
      <c r="B42" s="530" t="s">
        <v>555</v>
      </c>
      <c r="C42" s="602" t="s">
        <v>3036</v>
      </c>
      <c r="D42" s="543">
        <v>100</v>
      </c>
      <c r="E42" s="602" t="s">
        <v>3036</v>
      </c>
      <c r="F42" s="543">
        <f>SUMIF(123:123,E42,124:124)-SUMIF(123:123,C42,124:124)+100</f>
        <v>100</v>
      </c>
      <c r="G42" s="602" t="s">
        <v>3036</v>
      </c>
      <c r="H42" s="543">
        <f>SUMIF(123:123,G42,124:124)-SUMIF(123:123,C42,124:124)+100</f>
        <v>100</v>
      </c>
      <c r="I42" s="602" t="s">
        <v>3036</v>
      </c>
      <c r="J42" s="543">
        <f>SUMIF(123:123,I42,124:124)-SUMIF(123:123,C42,124:124)+100</f>
        <v>100</v>
      </c>
      <c r="K42" s="587">
        <v>2</v>
      </c>
      <c r="L42" s="2150"/>
      <c r="M42" s="2140"/>
      <c r="N42" s="2140"/>
      <c r="O42" s="2149"/>
      <c r="P42" s="3396"/>
      <c r="Q42" s="3182" t="str">
        <f t="shared" si="14"/>
        <v>临街宽度及深度</v>
      </c>
      <c r="R42" s="1576" t="s">
        <v>8</v>
      </c>
      <c r="S42" s="1577">
        <f t="shared" si="10"/>
        <v>100</v>
      </c>
      <c r="T42" s="1576" t="s">
        <v>8</v>
      </c>
      <c r="U42" s="1577">
        <f t="shared" si="11"/>
        <v>100</v>
      </c>
      <c r="V42" s="1576" t="s">
        <v>8</v>
      </c>
      <c r="W42" s="1577">
        <f t="shared" si="12"/>
        <v>100</v>
      </c>
      <c r="X42" s="3181"/>
      <c r="Y42" s="3396"/>
      <c r="Z42" s="3183" t="str">
        <f t="shared" si="13"/>
        <v>临街宽度及深度</v>
      </c>
      <c r="AA42" s="3184">
        <f t="shared" si="3"/>
        <v>1</v>
      </c>
      <c r="AB42" s="3184">
        <f t="shared" si="4"/>
        <v>1</v>
      </c>
      <c r="AC42" s="3184">
        <f t="shared" si="5"/>
        <v>1</v>
      </c>
    </row>
    <row r="43" spans="1:29" s="1222" customFormat="1" ht="20.25">
      <c r="A43" s="603"/>
      <c r="B43" s="1899" t="s">
        <v>2429</v>
      </c>
      <c r="C43" s="604" t="s">
        <v>3031</v>
      </c>
      <c r="D43" s="255">
        <v>100</v>
      </c>
      <c r="E43" s="604" t="s">
        <v>3031</v>
      </c>
      <c r="F43" s="543">
        <f>SUMIF(125:125,E43,126:126)-SUMIF(125:125,C43,126:126)+100</f>
        <v>100</v>
      </c>
      <c r="G43" s="604" t="s">
        <v>3031</v>
      </c>
      <c r="H43" s="543">
        <f>SUMIF(125:125,G43,126:126)-SUMIF(125:125,C43,126:126)+100</f>
        <v>100</v>
      </c>
      <c r="I43" s="604" t="s">
        <v>3031</v>
      </c>
      <c r="J43" s="543">
        <f>SUMIF(125:125,I43,126:126)-SUMIF(125:125,C43,126:126)+100</f>
        <v>100</v>
      </c>
      <c r="K43" s="587">
        <v>1</v>
      </c>
      <c r="L43" s="2143"/>
      <c r="M43" s="2140"/>
      <c r="N43" s="2140"/>
      <c r="O43" s="2145"/>
      <c r="P43" s="3396"/>
      <c r="Q43" s="3182" t="str">
        <f t="shared" si="14"/>
        <v>宗地开发程度</v>
      </c>
      <c r="R43" s="1571" t="s">
        <v>8</v>
      </c>
      <c r="S43" s="1572">
        <f t="shared" si="10"/>
        <v>100</v>
      </c>
      <c r="T43" s="1571" t="s">
        <v>8</v>
      </c>
      <c r="U43" s="1572">
        <f t="shared" si="11"/>
        <v>100</v>
      </c>
      <c r="V43" s="1571" t="s">
        <v>8</v>
      </c>
      <c r="W43" s="1572">
        <f t="shared" si="12"/>
        <v>100</v>
      </c>
      <c r="X43" s="1573"/>
      <c r="Y43" s="3396"/>
      <c r="Z43" s="3178" t="str">
        <f t="shared" si="13"/>
        <v>宗地开发程度</v>
      </c>
      <c r="AA43" s="1574">
        <f t="shared" si="3"/>
        <v>1</v>
      </c>
      <c r="AB43" s="1574">
        <f t="shared" si="4"/>
        <v>1</v>
      </c>
      <c r="AC43" s="1574">
        <f t="shared" si="5"/>
        <v>1</v>
      </c>
    </row>
    <row r="44" spans="1:29" ht="21" thickBot="1">
      <c r="A44" s="597"/>
      <c r="B44" s="530" t="s">
        <v>556</v>
      </c>
      <c r="C44" s="602" t="s">
        <v>3011</v>
      </c>
      <c r="D44" s="543">
        <v>100</v>
      </c>
      <c r="E44" s="602" t="s">
        <v>3011</v>
      </c>
      <c r="F44" s="543">
        <f>SUMIF(127:127,E44,128:128)-SUMIF(127:127,C44,128:128)+100</f>
        <v>100</v>
      </c>
      <c r="G44" s="602" t="s">
        <v>3011</v>
      </c>
      <c r="H44" s="543">
        <f>SUMIF(127:127,G44,128:128)-SUMIF(127:127,C44,128:128)+100</f>
        <v>100</v>
      </c>
      <c r="I44" s="602" t="s">
        <v>3011</v>
      </c>
      <c r="J44" s="543">
        <f>SUMIF(127:127,I44,128:128)-SUMIF(127:127,C44,128:128)+100</f>
        <v>100</v>
      </c>
      <c r="K44" s="587">
        <v>2</v>
      </c>
      <c r="L44" s="2150"/>
      <c r="M44" s="2140"/>
      <c r="N44" s="2140"/>
      <c r="O44" s="2149"/>
      <c r="P44" s="3396" t="s">
        <v>551</v>
      </c>
      <c r="Q44" s="3182" t="str">
        <f t="shared" si="14"/>
        <v>工程地质条件</v>
      </c>
      <c r="R44" s="1576" t="s">
        <v>8</v>
      </c>
      <c r="S44" s="1577">
        <f t="shared" si="10"/>
        <v>100</v>
      </c>
      <c r="T44" s="1576" t="s">
        <v>8</v>
      </c>
      <c r="U44" s="1577">
        <f t="shared" si="11"/>
        <v>100</v>
      </c>
      <c r="V44" s="1576" t="s">
        <v>8</v>
      </c>
      <c r="W44" s="1577">
        <f t="shared" si="12"/>
        <v>100</v>
      </c>
      <c r="X44" s="3181"/>
      <c r="Y44" s="3396" t="s">
        <v>551</v>
      </c>
      <c r="Z44" s="3183" t="str">
        <f t="shared" si="13"/>
        <v>工程地质条件</v>
      </c>
      <c r="AA44" s="3184">
        <f t="shared" si="3"/>
        <v>1</v>
      </c>
      <c r="AB44" s="3184">
        <f t="shared" si="4"/>
        <v>1</v>
      </c>
      <c r="AC44" s="3184">
        <f t="shared" si="5"/>
        <v>1</v>
      </c>
    </row>
    <row r="45" spans="1:29" ht="21" hidden="1" thickBot="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96"/>
      <c r="Q45" s="3182">
        <f t="shared" si="14"/>
        <v>111</v>
      </c>
      <c r="R45" s="1576" t="s">
        <v>8</v>
      </c>
      <c r="S45" s="1577">
        <f t="shared" si="10"/>
        <v>100</v>
      </c>
      <c r="T45" s="1576" t="s">
        <v>8</v>
      </c>
      <c r="U45" s="1577">
        <f t="shared" si="11"/>
        <v>100</v>
      </c>
      <c r="V45" s="1576" t="s">
        <v>8</v>
      </c>
      <c r="W45" s="1577">
        <f t="shared" si="12"/>
        <v>100</v>
      </c>
      <c r="X45" s="3181"/>
      <c r="Y45" s="3396"/>
      <c r="Z45" s="3183">
        <f t="shared" si="13"/>
        <v>111</v>
      </c>
      <c r="AA45" s="3184">
        <f t="shared" si="3"/>
        <v>1</v>
      </c>
      <c r="AB45" s="3184">
        <f t="shared" si="4"/>
        <v>1</v>
      </c>
      <c r="AC45" s="3184">
        <f t="shared" si="5"/>
        <v>1</v>
      </c>
    </row>
    <row r="46" spans="1:29" ht="21" hidden="1" thickBot="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96"/>
      <c r="Q46" s="3182">
        <f t="shared" si="14"/>
        <v>111</v>
      </c>
      <c r="R46" s="1576" t="s">
        <v>8</v>
      </c>
      <c r="S46" s="1577">
        <f t="shared" si="10"/>
        <v>100</v>
      </c>
      <c r="T46" s="1576" t="s">
        <v>8</v>
      </c>
      <c r="U46" s="1577">
        <f t="shared" si="11"/>
        <v>100</v>
      </c>
      <c r="V46" s="1576" t="s">
        <v>8</v>
      </c>
      <c r="W46" s="1577">
        <f t="shared" si="12"/>
        <v>100</v>
      </c>
      <c r="X46" s="3181"/>
      <c r="Y46" s="3396"/>
      <c r="Z46" s="3183">
        <f t="shared" si="13"/>
        <v>111</v>
      </c>
      <c r="AA46" s="3184">
        <f t="shared" si="3"/>
        <v>1</v>
      </c>
      <c r="AB46" s="3184">
        <f t="shared" si="4"/>
        <v>1</v>
      </c>
      <c r="AC46" s="3184">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96"/>
      <c r="Q47" s="3182">
        <f t="shared" si="14"/>
        <v>111</v>
      </c>
      <c r="R47" s="1580" t="s">
        <v>8</v>
      </c>
      <c r="S47" s="1581">
        <f t="shared" si="10"/>
        <v>100</v>
      </c>
      <c r="T47" s="1580" t="s">
        <v>8</v>
      </c>
      <c r="U47" s="1581">
        <f t="shared" si="11"/>
        <v>100</v>
      </c>
      <c r="V47" s="1580" t="s">
        <v>8</v>
      </c>
      <c r="W47" s="1581">
        <f t="shared" si="12"/>
        <v>100</v>
      </c>
      <c r="X47" s="1582"/>
      <c r="Y47" s="3396"/>
      <c r="Z47" s="1583">
        <f t="shared" si="13"/>
        <v>111</v>
      </c>
      <c r="AA47" s="3184">
        <f t="shared" si="3"/>
        <v>1</v>
      </c>
      <c r="AB47" s="3184">
        <f t="shared" si="4"/>
        <v>1</v>
      </c>
      <c r="AC47" s="3184">
        <f t="shared" si="5"/>
        <v>1</v>
      </c>
    </row>
    <row r="48" spans="1:29" ht="20.25">
      <c r="A48" s="610" t="s">
        <v>557</v>
      </c>
      <c r="B48" s="611" t="s">
        <v>3037</v>
      </c>
      <c r="C48" s="612" t="s">
        <v>1</v>
      </c>
      <c r="D48" s="613"/>
      <c r="E48" s="614">
        <v>2423.5500000000002</v>
      </c>
      <c r="F48" s="615"/>
      <c r="G48" s="616">
        <v>2325.15</v>
      </c>
      <c r="H48" s="617"/>
      <c r="I48" s="614">
        <v>2666</v>
      </c>
      <c r="J48" s="617"/>
      <c r="K48" s="1342"/>
      <c r="L48" s="2152"/>
      <c r="M48" s="2140"/>
      <c r="N48" s="2140"/>
      <c r="O48" s="2153"/>
      <c r="P48" s="3358" t="str">
        <f>A48</f>
        <v>成交单价</v>
      </c>
      <c r="Q48" s="3358"/>
      <c r="R48" s="3359">
        <f>E48</f>
        <v>2423.5500000000002</v>
      </c>
      <c r="S48" s="3359"/>
      <c r="T48" s="3359">
        <f>G48</f>
        <v>2325.15</v>
      </c>
      <c r="U48" s="3359"/>
      <c r="V48" s="3359">
        <f>I48</f>
        <v>2666</v>
      </c>
      <c r="W48" s="3359"/>
      <c r="X48" s="1562"/>
      <c r="Y48" s="1584"/>
      <c r="Z48" s="1562"/>
      <c r="AA48" s="1562"/>
      <c r="AB48" s="1562"/>
      <c r="AC48" s="1562"/>
    </row>
    <row r="49" spans="1:29" ht="21" thickBot="1">
      <c r="A49" s="618" t="s">
        <v>2703</v>
      </c>
      <c r="B49" s="619"/>
      <c r="C49" s="620">
        <f>R50</f>
        <v>2428</v>
      </c>
      <c r="D49" s="621"/>
      <c r="E49" s="620">
        <f>R49</f>
        <v>2355</v>
      </c>
      <c r="F49" s="622"/>
      <c r="G49" s="623">
        <f>T49</f>
        <v>2283</v>
      </c>
      <c r="H49" s="621"/>
      <c r="I49" s="620">
        <f>V49</f>
        <v>2645</v>
      </c>
      <c r="J49" s="621"/>
      <c r="K49" s="1343"/>
      <c r="L49" s="2152"/>
      <c r="M49" s="2140"/>
      <c r="N49" s="2140"/>
      <c r="O49" s="2153"/>
      <c r="P49" s="3358" t="str">
        <f>A49</f>
        <v>比较价格（元/平方米）</v>
      </c>
      <c r="Q49" s="3358"/>
      <c r="R49" s="3360">
        <f>ROUND(PRODUCT(R48,AA9:AA47),0)</f>
        <v>2355</v>
      </c>
      <c r="S49" s="3360"/>
      <c r="T49" s="3360">
        <f>ROUND(PRODUCT(T48,AB9:AB47),0)</f>
        <v>2283</v>
      </c>
      <c r="U49" s="3360"/>
      <c r="V49" s="3360">
        <f>ROUND(PRODUCT(V48,AC9:AC47),0)</f>
        <v>2645</v>
      </c>
      <c r="W49" s="3360"/>
      <c r="X49" s="1562"/>
      <c r="Y49" s="1562"/>
      <c r="Z49" s="1562"/>
      <c r="AA49" s="1562"/>
      <c r="AB49" s="1562"/>
      <c r="AC49" s="1562"/>
    </row>
    <row r="50" spans="1:29" ht="21" thickBot="1">
      <c r="A50" s="624" t="s">
        <v>2936</v>
      </c>
      <c r="B50" s="625"/>
      <c r="C50" s="626">
        <f>R50</f>
        <v>2428</v>
      </c>
      <c r="D50" s="626"/>
      <c r="E50" s="626"/>
      <c r="F50" s="626"/>
      <c r="G50" s="626"/>
      <c r="H50" s="626"/>
      <c r="I50" s="626"/>
      <c r="J50" s="626"/>
      <c r="K50" s="1344"/>
      <c r="L50" s="2152"/>
      <c r="M50" s="2140"/>
      <c r="N50" s="2140"/>
      <c r="O50" s="2153"/>
      <c r="P50" s="3355" t="str">
        <f>A50</f>
        <v>估价对象XX用房的比较价格（楼面单价，元/平方米）</v>
      </c>
      <c r="Q50" s="3356"/>
      <c r="R50" s="3357">
        <f>ROUND(AVERAGE(R49:V49),0)</f>
        <v>2428</v>
      </c>
      <c r="S50" s="3357"/>
      <c r="T50" s="3357"/>
      <c r="U50" s="3357"/>
      <c r="V50" s="3357"/>
      <c r="W50" s="3357"/>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2.9108280254777075E-2</v>
      </c>
      <c r="F53" s="630" t="str">
        <f>IF(OR(E53&gt;=0.3,E53&lt;=-0.3),"超过30%","")</f>
        <v/>
      </c>
      <c r="G53" s="629">
        <f>IF(G48&lt;G49,G49/G48-1,G48/G49-1)</f>
        <v>1.846254927726676E-2</v>
      </c>
      <c r="H53" s="630" t="str">
        <f>IF(OR(G53&gt;=0.3,G53&lt;=-0.3),"超过30%","")</f>
        <v/>
      </c>
      <c r="I53" s="629">
        <f>IF(I48&lt;I49,I49/I48-1,I48/I49-1)</f>
        <v>7.9395085066162885E-3</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3.1537450722733285E-2</v>
      </c>
      <c r="F54" s="630" t="str">
        <f>IF(OR(E54&gt;=0.2,E54&lt;=-0.2),"超过20%","")</f>
        <v/>
      </c>
      <c r="G54" s="629">
        <f>IF(G49&lt;I49,I49/G49-1,G49/I49-1)</f>
        <v>0.15856329391152002</v>
      </c>
      <c r="H54" s="630" t="str">
        <f>IF(OR(G54&gt;=0.2,G54&lt;=-0.2),"超过20%","")</f>
        <v/>
      </c>
      <c r="I54" s="629">
        <f>IF(I49&lt;E49,E49/I49-1,I49/E49-1)</f>
        <v>0.12314225053078554</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f>IF(E48&lt;G48,G48/E48-1,E48/G48-1)</f>
        <v>4.2319850332236619E-2</v>
      </c>
      <c r="F55" s="630" t="str">
        <f>IF(OR(E55&gt;=0.3,E55&lt;=-0.3),"超过30%","")</f>
        <v/>
      </c>
      <c r="G55" s="629">
        <f>IF(G48&lt;I48,I48/G48-1,G48/I48-1)</f>
        <v>0.14659269294454114</v>
      </c>
      <c r="H55" s="630" t="str">
        <f>IF(OR(G55&gt;=0.3,G55&lt;=-0.3),"超过30%","")</f>
        <v/>
      </c>
      <c r="I55" s="629">
        <f>IF(I48&lt;E48,E48/I48-1,I48/E48-1)</f>
        <v>0.10003919869612754</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561</v>
      </c>
      <c r="B57" s="633" t="s">
        <v>562</v>
      </c>
      <c r="C57" s="1563" t="s">
        <v>1728</v>
      </c>
      <c r="D57" s="2235" t="s">
        <v>2297</v>
      </c>
      <c r="E57" s="634" t="s">
        <v>563</v>
      </c>
      <c r="F57" s="635" t="s">
        <v>564</v>
      </c>
      <c r="G57" s="3385" t="s">
        <v>2285</v>
      </c>
      <c r="H57" s="3386"/>
      <c r="I57" s="1558" t="s">
        <v>1726</v>
      </c>
      <c r="J57" s="1558" t="str">
        <f>项目基本情况!F41</f>
        <v>贵州省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565</v>
      </c>
      <c r="B58" s="637">
        <f>C50</f>
        <v>2428</v>
      </c>
      <c r="C58" s="638">
        <v>1</v>
      </c>
      <c r="D58" s="2236">
        <v>1</v>
      </c>
      <c r="E58" s="638">
        <f>'数据-汇总表'!E8+'数据-汇总表'!E9</f>
        <v>258502.2</v>
      </c>
      <c r="F58" s="639">
        <f t="shared" ref="F58:F67" si="15">ROUND(B58*E58/10000,0)</f>
        <v>62764</v>
      </c>
      <c r="G58" s="3387"/>
      <c r="H58" s="3388"/>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566</v>
      </c>
      <c r="B59" s="641">
        <f>ROUND($C$50*C59*D59,0)</f>
        <v>0</v>
      </c>
      <c r="C59" s="381">
        <f t="shared" ref="C59:C67" si="16">IF($C$57="北京市系数",I59,J59)</f>
        <v>0</v>
      </c>
      <c r="D59" s="2237">
        <v>0.25</v>
      </c>
      <c r="E59" s="642">
        <v>0</v>
      </c>
      <c r="F59" s="639">
        <f t="shared" si="15"/>
        <v>0</v>
      </c>
      <c r="G59" s="3389" t="s">
        <v>2286</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567</v>
      </c>
      <c r="B60" s="641">
        <f t="shared" ref="B60:B67" si="17">ROUND($C$50*C60*D60,0)</f>
        <v>0</v>
      </c>
      <c r="C60" s="381">
        <f t="shared" si="16"/>
        <v>0</v>
      </c>
      <c r="D60" s="2237">
        <v>0.25</v>
      </c>
      <c r="E60" s="642">
        <v>0</v>
      </c>
      <c r="F60" s="639">
        <f t="shared" si="15"/>
        <v>0</v>
      </c>
      <c r="G60" s="3389"/>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568</v>
      </c>
      <c r="B61" s="641">
        <f t="shared" si="17"/>
        <v>0</v>
      </c>
      <c r="C61" s="381">
        <f t="shared" si="16"/>
        <v>0</v>
      </c>
      <c r="D61" s="2237">
        <v>0.25</v>
      </c>
      <c r="E61" s="642">
        <v>0</v>
      </c>
      <c r="F61" s="639">
        <f t="shared" si="15"/>
        <v>0</v>
      </c>
      <c r="G61" s="3389"/>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569</v>
      </c>
      <c r="B62" s="641">
        <f t="shared" si="17"/>
        <v>0</v>
      </c>
      <c r="C62" s="381">
        <f t="shared" si="16"/>
        <v>0</v>
      </c>
      <c r="D62" s="2237">
        <v>0.25</v>
      </c>
      <c r="E62" s="642">
        <v>0</v>
      </c>
      <c r="F62" s="639">
        <f t="shared" si="15"/>
        <v>0</v>
      </c>
      <c r="G62" s="3389"/>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2332</v>
      </c>
      <c r="B63" s="641">
        <f t="shared" si="17"/>
        <v>0</v>
      </c>
      <c r="C63" s="381">
        <f t="shared" si="16"/>
        <v>0</v>
      </c>
      <c r="D63" s="2237">
        <v>0.25</v>
      </c>
      <c r="E63" s="644">
        <f>'数据-汇总表'!E11</f>
        <v>0</v>
      </c>
      <c r="F63" s="639">
        <f t="shared" si="15"/>
        <v>0</v>
      </c>
      <c r="G63" s="3180" t="s">
        <v>2287</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570</v>
      </c>
      <c r="B64" s="641">
        <f t="shared" si="17"/>
        <v>0</v>
      </c>
      <c r="C64" s="381">
        <f t="shared" si="16"/>
        <v>0</v>
      </c>
      <c r="D64" s="2237">
        <v>0.25</v>
      </c>
      <c r="E64" s="644">
        <f>'数据-汇总表'!E12</f>
        <v>0</v>
      </c>
      <c r="F64" s="639">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572</v>
      </c>
      <c r="B66" s="641">
        <f t="shared" si="17"/>
        <v>0</v>
      </c>
      <c r="C66" s="381">
        <f t="shared" si="16"/>
        <v>0</v>
      </c>
      <c r="D66" s="2237">
        <v>0.25</v>
      </c>
      <c r="E66" s="644">
        <f>'数据-汇总表'!E14</f>
        <v>0</v>
      </c>
      <c r="F66" s="639">
        <f t="shared" si="15"/>
        <v>0</v>
      </c>
      <c r="G66" s="3180" t="s">
        <v>2286</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574</v>
      </c>
      <c r="B68" s="646" t="s">
        <v>17</v>
      </c>
      <c r="C68" s="646" t="s">
        <v>18</v>
      </c>
      <c r="D68" s="646" t="s">
        <v>2298</v>
      </c>
      <c r="E68" s="646">
        <f>IF(B48="楼面地价",SUM(E58:E67),'数据-汇总表'!D3)</f>
        <v>258502.2</v>
      </c>
      <c r="F68" s="647">
        <f>IF(B48="楼面地价",SUM(F58:F67),ROUND(C50*E68/10000,0))</f>
        <v>62764</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2017-9-1</v>
      </c>
      <c r="D70" s="2836">
        <f>EDATE(C70,-3)</f>
        <v>42887</v>
      </c>
      <c r="E70" s="2836">
        <f t="shared" ref="E70:N70" si="18">EDATE(D70,-3)</f>
        <v>42795</v>
      </c>
      <c r="F70" s="2836">
        <f t="shared" si="18"/>
        <v>42705</v>
      </c>
      <c r="G70" s="2836">
        <f t="shared" si="18"/>
        <v>42614</v>
      </c>
      <c r="H70" s="2836">
        <f t="shared" si="18"/>
        <v>42522</v>
      </c>
      <c r="I70" s="2836">
        <f t="shared" si="18"/>
        <v>42430</v>
      </c>
      <c r="J70" s="2836">
        <f t="shared" si="18"/>
        <v>42339</v>
      </c>
      <c r="K70" s="2836">
        <f t="shared" si="18"/>
        <v>42248</v>
      </c>
      <c r="L70" s="2836">
        <f t="shared" si="18"/>
        <v>42156</v>
      </c>
      <c r="M70" s="2836">
        <f t="shared" si="18"/>
        <v>42064</v>
      </c>
      <c r="N70" s="2836">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1" t="s">
        <v>2539</v>
      </c>
      <c r="B72" s="2602"/>
      <c r="C72" s="2838"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3" t="s">
        <v>2657</v>
      </c>
      <c r="B73" s="482" t="str">
        <f>"北京市平均增长率"&amp;TEXT(SUMIF(基准地价!N21:N25,A73,基准地价!P21:P25),"0.00%")</f>
        <v>北京市平均增长率2.46%</v>
      </c>
      <c r="C73" s="897">
        <v>100</v>
      </c>
      <c r="D73" s="733"/>
      <c r="E73" s="733"/>
      <c r="F73" s="733"/>
      <c r="G73" s="733"/>
      <c r="H73" s="733"/>
      <c r="I73" s="733"/>
      <c r="J73" s="733"/>
      <c r="K73" s="733"/>
      <c r="L73" s="733"/>
      <c r="M73" s="2829"/>
      <c r="N73" s="2830"/>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3" t="s">
        <v>2656</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c r="A77" s="667" t="s">
        <v>578</v>
      </c>
      <c r="B77" s="668" t="s">
        <v>535</v>
      </c>
      <c r="C77" s="3168" t="s">
        <v>3013</v>
      </c>
      <c r="D77" s="60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1</v>
      </c>
      <c r="E82" s="544">
        <v>2</v>
      </c>
      <c r="F82" s="544">
        <v>3</v>
      </c>
      <c r="G82" s="544">
        <v>4</v>
      </c>
      <c r="H82" s="544">
        <v>5</v>
      </c>
      <c r="I82" s="544"/>
      <c r="J82" s="544"/>
      <c r="K82" s="687"/>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9" t="s">
        <v>3014</v>
      </c>
      <c r="D84" s="1379" t="s">
        <v>3015</v>
      </c>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100</v>
      </c>
      <c r="D85" s="674">
        <v>105</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98</v>
      </c>
      <c r="E91" s="682">
        <f>D91-$K17</f>
        <v>96</v>
      </c>
      <c r="F91" s="682">
        <f>E91-$K17</f>
        <v>94</v>
      </c>
      <c r="G91" s="682">
        <f>F91-$K17</f>
        <v>92</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30" t="s">
        <v>2556</v>
      </c>
      <c r="C104" s="2631" t="s">
        <v>2558</v>
      </c>
      <c r="D104" s="2631" t="s">
        <v>2559</v>
      </c>
      <c r="E104" s="2631" t="s">
        <v>2560</v>
      </c>
      <c r="F104" s="2631" t="s">
        <v>2561</v>
      </c>
      <c r="G104" s="2631"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3169" t="s">
        <v>3017</v>
      </c>
      <c r="D108" s="691"/>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5">C119&amp;"(含)"&amp;"-"&amp;D119</f>
        <v>0(含)-10000</v>
      </c>
      <c r="D118" s="707" t="str">
        <f t="shared" si="25"/>
        <v>10000(含)-20000</v>
      </c>
      <c r="E118" s="707" t="str">
        <f t="shared" si="25"/>
        <v>20000(含)-50000</v>
      </c>
      <c r="F118" s="707" t="str">
        <f t="shared" si="25"/>
        <v>50000(含)-100000</v>
      </c>
      <c r="G118" s="707" t="str">
        <f t="shared" si="25"/>
        <v>100000(含)-200000</v>
      </c>
      <c r="H118" s="707" t="str">
        <f t="shared" si="25"/>
        <v>200000(含)-500000</v>
      </c>
      <c r="I118" s="707" t="str">
        <f t="shared" si="25"/>
        <v>500000(含)-</v>
      </c>
      <c r="J118" s="3126" t="str">
        <f t="shared" si="25"/>
        <v>(含)-</v>
      </c>
      <c r="K118" s="3126" t="str">
        <f t="shared" si="25"/>
        <v>(含)-</v>
      </c>
      <c r="L118" s="3127" t="str">
        <f t="shared" si="25"/>
        <v>(含)-</v>
      </c>
      <c r="M118" s="3128"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20000</v>
      </c>
      <c r="F119" s="733">
        <v>50000</v>
      </c>
      <c r="G119" s="733">
        <v>100000</v>
      </c>
      <c r="H119" s="733">
        <v>200000</v>
      </c>
      <c r="I119" s="733">
        <v>500000</v>
      </c>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C120+1</f>
        <v>101</v>
      </c>
      <c r="E120" s="729">
        <f t="shared" ref="E120:I120" si="26">D120+1</f>
        <v>102</v>
      </c>
      <c r="F120" s="729">
        <f t="shared" si="26"/>
        <v>103</v>
      </c>
      <c r="G120" s="729">
        <f t="shared" si="26"/>
        <v>104</v>
      </c>
      <c r="H120" s="729">
        <f t="shared" si="26"/>
        <v>105</v>
      </c>
      <c r="I120" s="729">
        <f t="shared" si="26"/>
        <v>106</v>
      </c>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70" t="s">
        <v>3020</v>
      </c>
      <c r="D121" s="3170" t="s">
        <v>3019</v>
      </c>
      <c r="E121" s="3170" t="s">
        <v>3021</v>
      </c>
      <c r="F121" s="3170" t="s">
        <v>3023</v>
      </c>
      <c r="G121" s="3170" t="s">
        <v>3025</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7">C122-$K41</f>
        <v>98</v>
      </c>
      <c r="E122" s="682">
        <f t="shared" si="27"/>
        <v>96</v>
      </c>
      <c r="F122" s="682">
        <f t="shared" si="27"/>
        <v>94</v>
      </c>
      <c r="G122" s="682">
        <f t="shared" si="27"/>
        <v>92</v>
      </c>
      <c r="H122" s="682">
        <f t="shared" si="27"/>
        <v>90</v>
      </c>
      <c r="I122" s="682">
        <f t="shared" si="27"/>
        <v>88</v>
      </c>
      <c r="J122" s="682">
        <f t="shared" si="27"/>
        <v>86</v>
      </c>
      <c r="K122" s="682">
        <f t="shared" si="27"/>
        <v>84</v>
      </c>
      <c r="L122" s="682">
        <f t="shared" si="27"/>
        <v>82</v>
      </c>
      <c r="M122" s="683">
        <f t="shared" si="27"/>
        <v>80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3169" t="s">
        <v>3026</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8">C124-$K42</f>
        <v>98</v>
      </c>
      <c r="E124" s="682">
        <f t="shared" si="28"/>
        <v>96</v>
      </c>
      <c r="F124" s="682">
        <f t="shared" si="28"/>
        <v>94</v>
      </c>
      <c r="G124" s="682">
        <f t="shared" si="28"/>
        <v>92</v>
      </c>
      <c r="H124" s="682">
        <f t="shared" si="28"/>
        <v>90</v>
      </c>
      <c r="I124" s="682">
        <f t="shared" si="28"/>
        <v>88</v>
      </c>
      <c r="J124" s="682">
        <f t="shared" si="28"/>
        <v>86</v>
      </c>
      <c r="K124" s="682">
        <f t="shared" si="28"/>
        <v>84</v>
      </c>
      <c r="L124" s="682">
        <f t="shared" si="28"/>
        <v>82</v>
      </c>
      <c r="M124" s="683">
        <f t="shared" si="28"/>
        <v>80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2430</v>
      </c>
      <c r="C125" s="1379" t="s">
        <v>2558</v>
      </c>
      <c r="D125" s="1379" t="s">
        <v>2559</v>
      </c>
      <c r="E125" s="1379" t="s">
        <v>2560</v>
      </c>
      <c r="F125" s="1379" t="s">
        <v>2561</v>
      </c>
      <c r="G125" s="1379" t="s">
        <v>2562</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3169" t="s">
        <v>3033</v>
      </c>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0">C128-$K44</f>
        <v>98</v>
      </c>
      <c r="E128" s="682">
        <f t="shared" si="30"/>
        <v>96</v>
      </c>
      <c r="F128" s="682">
        <f t="shared" si="30"/>
        <v>94</v>
      </c>
      <c r="G128" s="682">
        <f t="shared" si="30"/>
        <v>92</v>
      </c>
      <c r="H128" s="682">
        <f t="shared" si="30"/>
        <v>90</v>
      </c>
      <c r="I128" s="682">
        <f t="shared" si="30"/>
        <v>88</v>
      </c>
      <c r="J128" s="682">
        <f t="shared" si="30"/>
        <v>86</v>
      </c>
      <c r="K128" s="682">
        <f t="shared" si="30"/>
        <v>84</v>
      </c>
      <c r="L128" s="682">
        <f t="shared" si="30"/>
        <v>82</v>
      </c>
      <c r="M128" s="683">
        <f t="shared" si="30"/>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33"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90" t="str">
        <f>项目基本情况!B1</f>
        <v>贵州省花溪区贵筑社区尖山村贵阳恒大凯源旅游开发有限公司出让国有建设用地使用权抵押价格预评估</v>
      </c>
      <c r="C37" s="3190"/>
      <c r="D37" s="3190"/>
      <c r="E37" s="3190"/>
      <c r="F37" s="3190"/>
      <c r="G37" s="3190"/>
      <c r="H37" s="3190"/>
      <c r="I37" s="3190"/>
    </row>
    <row r="38" spans="1:9">
      <c r="A38" s="1659"/>
      <c r="B38" s="1659"/>
    </row>
    <row r="39" spans="1:9">
      <c r="A39" s="1657" t="s">
        <v>1906</v>
      </c>
      <c r="B39" s="1657" t="s">
        <v>2050</v>
      </c>
    </row>
    <row r="40" spans="1:9">
      <c r="A40" s="1657"/>
      <c r="B40" s="1657" t="str">
        <f>项目基本情况!B5</f>
        <v>贵阳恒大凯源旅游开发有限公司</v>
      </c>
    </row>
    <row r="41" spans="1:9">
      <c r="A41" s="1657"/>
      <c r="B41" s="1657"/>
    </row>
    <row r="42" spans="1:9">
      <c r="A42" s="1657" t="s">
        <v>1906</v>
      </c>
      <c r="B42" s="1657" t="s">
        <v>2051</v>
      </c>
    </row>
    <row r="43" spans="1:9">
      <c r="A43" s="1657"/>
      <c r="B43" s="1657" t="s">
        <v>1908</v>
      </c>
    </row>
    <row r="44" spans="1:9">
      <c r="A44" s="1657"/>
      <c r="B44" s="1657"/>
    </row>
    <row r="45" spans="1:9">
      <c r="A45" s="1657" t="s">
        <v>1906</v>
      </c>
      <c r="B45" s="1657" t="s">
        <v>2049</v>
      </c>
    </row>
    <row r="46" spans="1:9" s="1657" customFormat="1" ht="12.75">
      <c r="B46" s="1657" t="str">
        <f>项目基本情况!K4</f>
        <v>梁津、欧红伟</v>
      </c>
    </row>
    <row r="47" spans="1:9">
      <c r="A47" s="1657"/>
      <c r="B47" s="1657"/>
    </row>
    <row r="48" spans="1:9">
      <c r="A48" s="1657" t="s">
        <v>1906</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5">
        <f>MATCH(B1,'数据-取费表'!A6:A16,0)+5</f>
        <v>8</v>
      </c>
    </row>
    <row r="2" spans="1:31" s="2045" customFormat="1" ht="18" customHeight="1">
      <c r="A2" s="2109" t="s">
        <v>467</v>
      </c>
      <c r="B2" s="2113">
        <f ca="1">C36</f>
        <v>62519</v>
      </c>
      <c r="C2" s="2112"/>
      <c r="D2" s="2112"/>
      <c r="E2" s="2112"/>
      <c r="F2" s="2112"/>
      <c r="G2" s="2112"/>
      <c r="H2" s="2112"/>
      <c r="I2" s="2112"/>
      <c r="J2" s="2112"/>
      <c r="K2" s="2112"/>
    </row>
    <row r="3" spans="1:31" s="2045" customFormat="1" ht="18" customHeight="1">
      <c r="A3" s="2114" t="s">
        <v>1688</v>
      </c>
      <c r="B3" s="2115">
        <f ca="1">ROUND(B2*10000/IF(B1="",'数据-汇总表'!E3,INDIRECT("'数据-取费表'!K"&amp;$K$1)),0)</f>
        <v>2419</v>
      </c>
      <c r="C3" s="2112"/>
      <c r="D3" s="2112"/>
      <c r="E3" s="2112"/>
      <c r="F3" s="2112"/>
      <c r="G3" s="2112"/>
      <c r="H3" s="2112"/>
      <c r="I3" s="2112"/>
      <c r="J3" s="2112"/>
      <c r="K3" s="2112"/>
    </row>
    <row r="4" spans="1:31" s="2045" customFormat="1" ht="18" customHeight="1">
      <c r="A4" s="429" t="s">
        <v>468</v>
      </c>
      <c r="B4" s="430">
        <f ca="1">ROUND(B2*10000/IF(B1="",'数据-汇总表'!D3,INDIRECT("'数据-取费表'!R"&amp;$K$1)),0)</f>
        <v>5321</v>
      </c>
      <c r="C4" s="431"/>
      <c r="D4" s="425"/>
      <c r="E4" s="425"/>
      <c r="F4" s="425"/>
      <c r="G4" s="425"/>
      <c r="H4" s="425"/>
      <c r="I4" s="425"/>
      <c r="J4" s="425"/>
      <c r="K4" s="425"/>
    </row>
    <row r="5" spans="1:31" s="2045" customFormat="1" ht="18" customHeight="1" thickBot="1">
      <c r="A5" s="432"/>
      <c r="B5" s="433">
        <f ca="1">ROUND(B2/(IF(B1="",'数据-汇总表'!D3,INDIRECT("'数据-取费表'!R"&amp;$K$1))/666.67),0)</f>
        <v>355</v>
      </c>
      <c r="C5" s="434" t="s">
        <v>469</v>
      </c>
      <c r="D5" s="425"/>
      <c r="E5" s="425"/>
      <c r="F5" s="425"/>
      <c r="G5" s="425"/>
      <c r="H5" s="425"/>
      <c r="I5" s="425"/>
      <c r="J5" s="425"/>
      <c r="K5" s="425"/>
    </row>
    <row r="6" spans="1:31" s="2119" customFormat="1" ht="16.5" customHeight="1">
      <c r="A6" s="2865" t="s">
        <v>1847</v>
      </c>
      <c r="B6" s="2866"/>
      <c r="C6" s="2867">
        <f ca="1">SUM(C10:K10)</f>
        <v>158711</v>
      </c>
      <c r="D6" s="2866"/>
      <c r="E6" s="2866"/>
      <c r="F6" s="2866"/>
      <c r="G6" s="2866"/>
      <c r="H6" s="2866"/>
      <c r="I6" s="2866"/>
      <c r="J6" s="2866"/>
      <c r="K6" s="2868"/>
    </row>
    <row r="7" spans="1:31" s="2121" customFormat="1" ht="15">
      <c r="A7" s="2869" t="s">
        <v>470</v>
      </c>
      <c r="B7" s="2870" t="s">
        <v>471</v>
      </c>
      <c r="C7" s="439" t="s">
        <v>3000</v>
      </c>
      <c r="D7" s="439" t="s">
        <v>3003</v>
      </c>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1850</v>
      </c>
      <c r="B8" s="261" t="s">
        <v>472</v>
      </c>
      <c r="C8" s="2871">
        <v>6000</v>
      </c>
      <c r="D8" s="2871">
        <f ca="1">不动产收益法!B3</f>
        <v>8793</v>
      </c>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1851</v>
      </c>
      <c r="B9" s="261" t="s">
        <v>473</v>
      </c>
      <c r="C9" s="444">
        <f>SUMIF('数据-汇总表'!$C19:$C33,'剩余法-待开发'!C7,'数据-汇总表'!$E19:$E33)</f>
        <v>245577</v>
      </c>
      <c r="D9" s="444">
        <f>SUMIF('数据-汇总表'!$C19:$C33,'剩余法-待开发'!D7,'数据-汇总表'!$E19:$E33)</f>
        <v>12925.200000000012</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1852</v>
      </c>
      <c r="B10" s="2859" t="s">
        <v>474</v>
      </c>
      <c r="C10" s="3064">
        <f>ROUND(C8*C9/10000,0)</f>
        <v>147346</v>
      </c>
      <c r="D10" s="3064">
        <f ca="1">不动产收益法!B2</f>
        <v>11365</v>
      </c>
      <c r="E10" s="3064"/>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1848</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1853</v>
      </c>
      <c r="B13" s="2880" t="s">
        <v>479</v>
      </c>
      <c r="C13" s="453">
        <f ca="1">IF(B1="",'数据-取费表'!P16,INDIRECT("'数据-取费表'!p"&amp;$K$1)+INDIRECT("'数据-取费表'!t"&amp;$K$1))</f>
        <v>39422</v>
      </c>
      <c r="D13" s="2881"/>
      <c r="E13" s="2882"/>
      <c r="F13" s="2883"/>
      <c r="G13" s="2849"/>
      <c r="H13" s="2850"/>
      <c r="I13" s="2850"/>
      <c r="J13" s="2850"/>
      <c r="K13" s="2851"/>
    </row>
    <row r="14" spans="1:31" s="2124" customFormat="1" ht="13.5" customHeight="1">
      <c r="A14" s="2879" t="s">
        <v>1854</v>
      </c>
      <c r="B14" s="2880" t="s">
        <v>480</v>
      </c>
      <c r="C14" s="53">
        <f ca="1">ROUND(C13*F14,0)</f>
        <v>1971</v>
      </c>
      <c r="D14" s="2881"/>
      <c r="E14" s="2882"/>
      <c r="F14" s="2884">
        <f>'数据-取费表'!B33</f>
        <v>0.05</v>
      </c>
      <c r="G14" s="2849" t="s">
        <v>481</v>
      </c>
      <c r="H14" s="2850"/>
      <c r="I14" s="2850"/>
      <c r="J14" s="2850"/>
      <c r="K14" s="2851"/>
    </row>
    <row r="15" spans="1:31" s="2124" customFormat="1" ht="13.5" customHeight="1">
      <c r="A15" s="2879" t="s">
        <v>1855</v>
      </c>
      <c r="B15" s="2880" t="s">
        <v>482</v>
      </c>
      <c r="C15" s="53">
        <f ca="1">ROUND(IF(B1="",SUMIF('数据-取费表'!C:C,"住宅",'数据-取费表'!P:P)*F15,IF(INDIRECT("'数据-取费表'!c"&amp;$K$1)="住宅",INDIRECT("'数据-取费表'!P"&amp;$K$1)*F15,0)),0)</f>
        <v>1842</v>
      </c>
      <c r="D15" s="2881"/>
      <c r="E15" s="2882"/>
      <c r="F15" s="2884">
        <f>'数据-取费表'!B34</f>
        <v>0.05</v>
      </c>
      <c r="G15" s="2849" t="s">
        <v>483</v>
      </c>
      <c r="H15" s="2850"/>
      <c r="I15" s="2850"/>
      <c r="J15" s="2850"/>
      <c r="K15" s="2851"/>
    </row>
    <row r="16" spans="1:31" s="2125" customFormat="1" ht="13.5" customHeight="1">
      <c r="A16" s="2879" t="s">
        <v>1856</v>
      </c>
      <c r="B16" s="2880" t="s">
        <v>484</v>
      </c>
      <c r="C16" s="53">
        <f ca="1">ROUND(D16*E16/10000,0)</f>
        <v>5170</v>
      </c>
      <c r="D16" s="2881">
        <f ca="1">IF(B1="",'数据-汇总表'!E3,INDIRECT("'数据-取费表'!K"&amp;$K$1)+INDIRECT("'数据-取费表'!S"&amp;$K$1))</f>
        <v>258502.2</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1857</v>
      </c>
      <c r="B17" s="2880" t="s">
        <v>485</v>
      </c>
      <c r="C17" s="2885">
        <f ca="1">ROUND(C13*F17,0)</f>
        <v>591</v>
      </c>
      <c r="D17" s="478"/>
      <c r="E17" s="2885"/>
      <c r="F17" s="2886">
        <f>'数据-取费表'!B36</f>
        <v>1.4999999999999999E-2</v>
      </c>
      <c r="G17" s="261" t="s">
        <v>486</v>
      </c>
      <c r="H17" s="2852"/>
      <c r="I17" s="2852"/>
      <c r="J17" s="2852"/>
      <c r="K17" s="279"/>
    </row>
    <row r="18" spans="1:14" s="2124" customFormat="1" ht="13.5" customHeight="1">
      <c r="A18" s="2887" t="s">
        <v>1858</v>
      </c>
      <c r="B18" s="2888" t="s">
        <v>487</v>
      </c>
      <c r="C18" s="2889">
        <f ca="1">SUM(C13:C17)</f>
        <v>48996</v>
      </c>
      <c r="D18" s="2890"/>
      <c r="E18" s="471"/>
      <c r="F18" s="471"/>
      <c r="G18" s="2853" t="s">
        <v>2435</v>
      </c>
      <c r="H18" s="2854"/>
      <c r="I18" s="2854"/>
      <c r="J18" s="2854"/>
      <c r="K18" s="2855"/>
    </row>
    <row r="19" spans="1:14" s="2124" customFormat="1" ht="13.5" customHeight="1">
      <c r="A19" s="2887" t="s">
        <v>1859</v>
      </c>
      <c r="B19" s="2888" t="s">
        <v>488</v>
      </c>
      <c r="C19" s="2845">
        <f ca="1">ROUND(D19*E19/10000,0)</f>
        <v>5170</v>
      </c>
      <c r="D19" s="2891">
        <f ca="1">D16</f>
        <v>258502.2</v>
      </c>
      <c r="E19" s="2845">
        <f>'数据-取费表'!B32</f>
        <v>200</v>
      </c>
      <c r="F19" s="471"/>
      <c r="G19" s="2849" t="s">
        <v>489</v>
      </c>
      <c r="H19" s="2850"/>
      <c r="I19" s="2854"/>
      <c r="J19" s="2854"/>
      <c r="K19" s="2855"/>
    </row>
    <row r="20" spans="1:14" s="2124" customFormat="1" ht="13.5" customHeight="1">
      <c r="A20" s="2887" t="s">
        <v>1860</v>
      </c>
      <c r="B20" s="2888" t="s">
        <v>490</v>
      </c>
      <c r="C20" s="2845">
        <f ca="1">C21+C22-IF(B1="",'数据-取费表'!B29,IF(G20="已全部缴纳",C21+C22,H20))</f>
        <v>1293</v>
      </c>
      <c r="D20" s="2891"/>
      <c r="E20" s="2845"/>
      <c r="F20" s="2892"/>
      <c r="G20" s="3123"/>
      <c r="H20" s="2847"/>
      <c r="I20" s="2848" t="s">
        <v>2661</v>
      </c>
      <c r="J20" s="2854"/>
      <c r="K20" s="2855"/>
    </row>
    <row r="21" spans="1:14" s="2124" customFormat="1" ht="13.5" customHeight="1">
      <c r="A21" s="2879" t="s">
        <v>1861</v>
      </c>
      <c r="B21" s="2880" t="s">
        <v>491</v>
      </c>
      <c r="C21" s="53">
        <f ca="1">ROUND(D21*E21/10000,0)</f>
        <v>1228</v>
      </c>
      <c r="D21" s="2881">
        <f ca="1">IF(B1="",'数据-汇总表'!E5,IF(INDIRECT("'数据-取费表'!c"&amp;$K$1)="住宅",INDIRECT("'数据-取费表'!k"&amp;$K$1),0))</f>
        <v>245577</v>
      </c>
      <c r="E21" s="53">
        <f>'数据-取费表'!B27</f>
        <v>50</v>
      </c>
      <c r="F21" s="2884"/>
      <c r="G21" s="26"/>
      <c r="H21" s="51"/>
      <c r="I21" s="51"/>
      <c r="J21" s="51"/>
      <c r="K21" s="2856"/>
    </row>
    <row r="22" spans="1:14" s="2124" customFormat="1" ht="13.5" customHeight="1">
      <c r="A22" s="2879" t="s">
        <v>1862</v>
      </c>
      <c r="B22" s="2880" t="s">
        <v>492</v>
      </c>
      <c r="C22" s="53">
        <f ca="1">ROUND(D22*E22/10000,0)</f>
        <v>65</v>
      </c>
      <c r="D22" s="2881">
        <f ca="1">IF(B1="",'数据-汇总表'!E6,IF(INDIRECT("'数据-取费表'!c"&amp;$K$1)="住宅",INDIRECT("'数据-取费表'!s"&amp;$K$1),INDIRECT("'数据-取费表'!k"&amp;$K$1)+INDIRECT("'数据-取费表'!s"&amp;$K$1)))</f>
        <v>12925.200000000012</v>
      </c>
      <c r="E22" s="53">
        <f>'数据-取费表'!B28</f>
        <v>50</v>
      </c>
      <c r="F22" s="2884"/>
      <c r="G22" s="26"/>
      <c r="H22" s="51"/>
      <c r="I22" s="51"/>
      <c r="J22" s="51"/>
      <c r="K22" s="2856"/>
    </row>
    <row r="23" spans="1:14" s="2124" customFormat="1" ht="13.5" customHeight="1">
      <c r="A23" s="2887" t="s">
        <v>1863</v>
      </c>
      <c r="B23" s="3070" t="s">
        <v>2844</v>
      </c>
      <c r="C23" s="2889">
        <f ca="1">ROUND((C18+C19+C20)*F23,0)</f>
        <v>1109</v>
      </c>
      <c r="D23" s="471"/>
      <c r="E23" s="471"/>
      <c r="F23" s="2893">
        <f>'数据-取费表'!B37</f>
        <v>0.02</v>
      </c>
      <c r="G23" s="2849" t="s">
        <v>2436</v>
      </c>
      <c r="H23" s="2850"/>
      <c r="I23" s="2850"/>
      <c r="J23" s="2850"/>
      <c r="K23" s="2851"/>
      <c r="L23" s="2126"/>
      <c r="M23" s="2126"/>
      <c r="N23" s="2126"/>
    </row>
    <row r="24" spans="1:14" s="2124" customFormat="1" ht="13.5" customHeight="1">
      <c r="A24" s="2887" t="s">
        <v>1864</v>
      </c>
      <c r="B24" s="3070" t="s">
        <v>2847</v>
      </c>
      <c r="C24" s="2889">
        <f ca="1">ROUND(C6*F24,0)</f>
        <v>3174</v>
      </c>
      <c r="D24" s="478"/>
      <c r="E24" s="476"/>
      <c r="F24" s="2893">
        <f>'数据-取费表'!B38</f>
        <v>0.02</v>
      </c>
      <c r="G24" s="2858" t="s">
        <v>499</v>
      </c>
      <c r="H24" s="2852"/>
      <c r="I24" s="2852"/>
      <c r="J24" s="2852"/>
      <c r="K24" s="279"/>
      <c r="L24" s="2126"/>
      <c r="M24" s="2126"/>
      <c r="N24" s="2126"/>
    </row>
    <row r="25" spans="1:14" s="2127" customFormat="1" ht="13.5" customHeight="1">
      <c r="A25" s="2887" t="s">
        <v>1865</v>
      </c>
      <c r="B25" s="3070" t="s">
        <v>2845</v>
      </c>
      <c r="C25" s="470">
        <f>ROUND(F25/(1+'数据-取费表'!C42),4)</f>
        <v>2.9000000000000001E-2</v>
      </c>
      <c r="D25" s="465" t="s">
        <v>2839</v>
      </c>
      <c r="E25" s="472"/>
      <c r="F25" s="2893">
        <f>'数据-取费表'!B48+'数据-取费表'!B49</f>
        <v>3.0499999999999999E-2</v>
      </c>
      <c r="G25" s="2857" t="s">
        <v>2293</v>
      </c>
      <c r="H25" s="2850"/>
      <c r="I25" s="2850"/>
      <c r="J25" s="2850"/>
      <c r="K25" s="2851"/>
    </row>
    <row r="26" spans="1:14" s="2126" customFormat="1" ht="13.5" customHeight="1">
      <c r="A26" s="2887" t="s">
        <v>1866</v>
      </c>
      <c r="B26" s="3071" t="s">
        <v>2846</v>
      </c>
      <c r="C26" s="2894">
        <f ca="1">C28</f>
        <v>4307</v>
      </c>
      <c r="D26" s="470">
        <f ca="1">C27</f>
        <v>0.1537</v>
      </c>
      <c r="E26" s="472" t="s">
        <v>495</v>
      </c>
      <c r="F26" s="474">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6" t="s">
        <v>1861</v>
      </c>
      <c r="B27" s="2895" t="s">
        <v>496</v>
      </c>
      <c r="C27" s="2896">
        <f ca="1">ROUND(IF('数据-取费表'!B22&lt;=1,(1+C25)*F26*'数据-取费表'!B24,(1+C25)*(POWER((1+F26),'数据-取费表'!B24)-1)),4)</f>
        <v>0.1537</v>
      </c>
      <c r="D27" s="475"/>
      <c r="E27" s="476"/>
      <c r="F27" s="477"/>
      <c r="G27" s="2605" t="str">
        <f>IF('数据-取费表'!B22&lt;=1,"（1+取得税费率/(1+5%)）×年利率×建设期","（1+取得税费率）/(1+5%)×((1+年利率)^建设期-1)")</f>
        <v>（1+取得税费率）/(1+5%)×((1+年利率)^建设期-1)</v>
      </c>
      <c r="H27" s="2852"/>
      <c r="I27" s="2852"/>
      <c r="J27" s="2852"/>
      <c r="K27" s="279"/>
    </row>
    <row r="28" spans="1:14" s="2128" customFormat="1" ht="13.5" customHeight="1">
      <c r="A28" s="806" t="s">
        <v>1862</v>
      </c>
      <c r="B28" s="2895" t="s">
        <v>2848</v>
      </c>
      <c r="C28" s="2897">
        <f ca="1">ROUND(IF('数据-取费表'!B22&lt;=1,(C18+C19+C20+C23+C24)*F26*'数据-取费表'!B24/2,(C18+C19+C20+C23+C24)*(POWER((1+F26),'数据-取费表'!B24/2)-1)),0)</f>
        <v>4307</v>
      </c>
      <c r="D28" s="475"/>
      <c r="E28" s="476"/>
      <c r="F28" s="477"/>
      <c r="G28" s="2605" t="str">
        <f>IF('数据-取费表'!B22&lt;=1,"（1）-（4）项×年利率×建设期÷2","（1）-（4）项×((1+年利率)^(建设期÷2)-1)")</f>
        <v>（1）-（4）项×((1+年利率)^(建设期÷2)-1)</v>
      </c>
      <c r="H28" s="2852"/>
      <c r="I28" s="2852"/>
      <c r="J28" s="2852"/>
      <c r="K28" s="279"/>
    </row>
    <row r="29" spans="1:14" s="2128" customFormat="1" ht="13.5" customHeight="1">
      <c r="A29" s="2898" t="s">
        <v>1867</v>
      </c>
      <c r="B29" s="2888" t="s">
        <v>497</v>
      </c>
      <c r="C29" s="2889">
        <f ca="1">ROUND(C6*F29/(1+'数据-取费表'!C42),0)</f>
        <v>8313</v>
      </c>
      <c r="D29" s="471"/>
      <c r="E29" s="471"/>
      <c r="F29" s="3072">
        <f>'数据-取费表'!B41</f>
        <v>5.5000000000000007E-2</v>
      </c>
      <c r="G29" s="2858" t="s">
        <v>498</v>
      </c>
      <c r="H29" s="2850"/>
      <c r="I29" s="2850"/>
      <c r="J29" s="2850"/>
      <c r="K29" s="2851"/>
    </row>
    <row r="30" spans="1:14" s="2129" customFormat="1" ht="13.5" customHeight="1">
      <c r="A30" s="1638" t="s">
        <v>1868</v>
      </c>
      <c r="B30" s="2899" t="s">
        <v>500</v>
      </c>
      <c r="C30" s="2894">
        <f ca="1">C31</f>
        <v>72362</v>
      </c>
      <c r="D30" s="480">
        <f ca="1">C32</f>
        <v>0.1827</v>
      </c>
      <c r="E30" s="472" t="s">
        <v>495</v>
      </c>
      <c r="F30" s="474"/>
      <c r="G30" s="2849" t="s">
        <v>501</v>
      </c>
      <c r="H30" s="2850"/>
      <c r="I30" s="2850"/>
      <c r="J30" s="2850"/>
      <c r="K30" s="2851"/>
    </row>
    <row r="31" spans="1:14" s="2128" customFormat="1" ht="13.5" customHeight="1">
      <c r="A31" s="806" t="s">
        <v>1861</v>
      </c>
      <c r="B31" s="2895"/>
      <c r="C31" s="453">
        <f ca="1">C18+C19+C20+C23+C24+C26+C29</f>
        <v>72362</v>
      </c>
      <c r="D31" s="475"/>
      <c r="E31" s="476"/>
      <c r="F31" s="477"/>
      <c r="G31" s="261"/>
      <c r="H31" s="2852"/>
      <c r="I31" s="2852"/>
      <c r="J31" s="2852"/>
      <c r="K31" s="279"/>
    </row>
    <row r="32" spans="1:14" s="2128" customFormat="1" ht="13.5" customHeight="1">
      <c r="A32" s="806" t="s">
        <v>1862</v>
      </c>
      <c r="B32" s="2895"/>
      <c r="C32" s="53">
        <f ca="1">ROUND(C25+D26,4)</f>
        <v>0.1827</v>
      </c>
      <c r="D32" s="475"/>
      <c r="E32" s="476"/>
      <c r="F32" s="477"/>
      <c r="G32" s="261"/>
      <c r="H32" s="2852"/>
      <c r="I32" s="2852"/>
      <c r="J32" s="2852"/>
      <c r="K32" s="279"/>
    </row>
    <row r="33" spans="1:11" s="2130" customFormat="1" ht="13.5" customHeight="1">
      <c r="A33" s="3069" t="s">
        <v>2843</v>
      </c>
      <c r="B33" s="3067" t="s">
        <v>2841</v>
      </c>
      <c r="C33" s="481">
        <f ca="1">C35</f>
        <v>5974</v>
      </c>
      <c r="D33" s="470">
        <f ca="1">C34</f>
        <v>0.10290000000000001</v>
      </c>
      <c r="E33" s="472" t="s">
        <v>495</v>
      </c>
      <c r="F33" s="482">
        <f ca="1">IF(B1="",'数据-取费表'!Q16,INDIRECT("'数据-取费表'!q"&amp;$K$1))</f>
        <v>0.1</v>
      </c>
      <c r="G33" s="2853"/>
      <c r="H33" s="2854"/>
      <c r="I33" s="2854"/>
      <c r="J33" s="2854"/>
      <c r="K33" s="2855"/>
    </row>
    <row r="34" spans="1:11" s="2131" customFormat="1" ht="13.5" customHeight="1">
      <c r="A34" s="378" t="s">
        <v>1861</v>
      </c>
      <c r="B34" s="2900" t="s">
        <v>502</v>
      </c>
      <c r="C34" s="475">
        <f ca="1">ROUND((1+C25)*F33,4)</f>
        <v>0.10290000000000001</v>
      </c>
      <c r="D34" s="475"/>
      <c r="E34" s="476"/>
      <c r="F34" s="483"/>
      <c r="G34" s="261" t="s">
        <v>2294</v>
      </c>
      <c r="H34" s="2852"/>
      <c r="I34" s="2852"/>
      <c r="J34" s="2852"/>
      <c r="K34" s="279"/>
    </row>
    <row r="35" spans="1:11" s="2131" customFormat="1" ht="13.5" customHeight="1" thickBot="1">
      <c r="A35" s="1639" t="s">
        <v>1862</v>
      </c>
      <c r="B35" s="3068" t="s">
        <v>2849</v>
      </c>
      <c r="C35" s="1631">
        <f ca="1">ROUND((C18+C19+C20+C23+C24)*F33,0)</f>
        <v>5974</v>
      </c>
      <c r="D35" s="1632"/>
      <c r="E35" s="2901"/>
      <c r="F35" s="1633"/>
      <c r="G35" s="2859"/>
      <c r="H35" s="2860"/>
      <c r="I35" s="2860"/>
      <c r="J35" s="2860"/>
      <c r="K35" s="2861"/>
    </row>
    <row r="36" spans="1:11" s="2090" customFormat="1" ht="13.5" customHeight="1" thickBot="1">
      <c r="A36" s="284" t="s">
        <v>1849</v>
      </c>
      <c r="B36" s="2863"/>
      <c r="C36" s="2902">
        <f ca="1">ROUND((C6-C30-C33)/(1+D30+D33),0)</f>
        <v>62519</v>
      </c>
      <c r="D36" s="2863"/>
      <c r="E36" s="2863"/>
      <c r="F36" s="2863"/>
      <c r="G36" s="2862" t="s">
        <v>2850</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466</v>
      </c>
      <c r="B1" s="2846"/>
      <c r="C1" s="2112"/>
      <c r="D1" s="2112"/>
      <c r="E1" s="2112"/>
      <c r="F1" s="2112"/>
      <c r="G1" s="2112"/>
      <c r="H1" s="2112"/>
      <c r="I1" s="2112"/>
      <c r="J1" s="2112"/>
      <c r="K1" s="425">
        <f>MATCH(B1,'数据-取费表'!A6:A16,0)+5</f>
        <v>8</v>
      </c>
    </row>
    <row r="2" spans="1:41" s="2045" customFormat="1" ht="18" customHeight="1">
      <c r="A2" s="426" t="s">
        <v>467</v>
      </c>
      <c r="B2" s="427">
        <f ca="1">C32</f>
        <v>0</v>
      </c>
      <c r="C2" s="2112"/>
      <c r="D2" s="2112"/>
      <c r="E2" s="2112"/>
      <c r="F2" s="2112"/>
      <c r="G2" s="2112"/>
      <c r="H2" s="2112"/>
      <c r="I2" s="2112"/>
      <c r="J2" s="2112"/>
      <c r="K2" s="2112"/>
    </row>
    <row r="3" spans="1:41" s="2045" customFormat="1" ht="18" customHeight="1">
      <c r="A3" s="1383" t="s">
        <v>1688</v>
      </c>
      <c r="B3" s="428">
        <f ca="1">ROUND(B2*10000/IF(B1="",'数据-汇总表'!E3,INDIRECT("'数据-取费表'!K"&amp;$K$1)),0)</f>
        <v>0</v>
      </c>
      <c r="C3" s="2112"/>
      <c r="D3" s="2112"/>
      <c r="E3" s="2112"/>
      <c r="F3" s="2112"/>
      <c r="G3" s="2112"/>
      <c r="H3" s="2112"/>
      <c r="I3" s="2112"/>
      <c r="J3" s="2112"/>
      <c r="K3" s="2112"/>
    </row>
    <row r="4" spans="1:41" s="2045" customFormat="1" ht="18" customHeight="1">
      <c r="A4" s="429" t="s">
        <v>468</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469</v>
      </c>
      <c r="D5" s="2112"/>
      <c r="E5" s="2112"/>
      <c r="F5" s="2112"/>
      <c r="G5" s="2112"/>
      <c r="H5" s="2112"/>
      <c r="I5" s="2112"/>
      <c r="J5" s="2112"/>
      <c r="K5" s="2112"/>
    </row>
    <row r="6" spans="1:41" s="2119" customFormat="1" ht="16.5" customHeight="1">
      <c r="A6" s="435" t="s">
        <v>2662</v>
      </c>
      <c r="B6" s="436"/>
      <c r="C6" s="1626">
        <f>SUM(C10:K10)</f>
        <v>0</v>
      </c>
      <c r="D6" s="2117"/>
      <c r="E6" s="2117"/>
      <c r="F6" s="2117"/>
      <c r="G6" s="2117"/>
      <c r="H6" s="2117"/>
      <c r="I6" s="2117"/>
      <c r="J6" s="2117"/>
      <c r="K6" s="2118"/>
    </row>
    <row r="7" spans="1:41" s="2121" customFormat="1" ht="15">
      <c r="A7" s="437" t="s">
        <v>470</v>
      </c>
      <c r="B7" s="438" t="s">
        <v>471</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41" t="s">
        <v>472</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4" customFormat="1" ht="13.5" customHeight="1">
      <c r="A13" s="1636" t="s">
        <v>1853</v>
      </c>
      <c r="B13" s="452" t="s">
        <v>479</v>
      </c>
      <c r="C13" s="453">
        <f ca="1">IF(B1="",'数据-取费表'!M16,INDIRECT("'数据-取费表'!M"&amp;$K$1)+INDIRECT("'数据-取费表'!t"&amp;$K$1))</f>
        <v>39422</v>
      </c>
      <c r="D13" s="454"/>
      <c r="E13" s="368"/>
      <c r="F13" s="455"/>
      <c r="G13" s="447"/>
      <c r="H13" s="450"/>
      <c r="I13" s="450"/>
      <c r="J13" s="450"/>
      <c r="K13" s="451"/>
    </row>
    <row r="14" spans="1:41" s="2124" customFormat="1" ht="13.5" customHeight="1">
      <c r="A14" s="1636" t="s">
        <v>1854</v>
      </c>
      <c r="B14" s="452" t="s">
        <v>480</v>
      </c>
      <c r="C14" s="53">
        <f ca="1">ROUND(C13*F14,0)</f>
        <v>1971</v>
      </c>
      <c r="D14" s="454"/>
      <c r="E14" s="368"/>
      <c r="F14" s="456">
        <f>'数据-取费表'!B33</f>
        <v>0.05</v>
      </c>
      <c r="G14" s="447" t="s">
        <v>503</v>
      </c>
      <c r="H14" s="450"/>
      <c r="I14" s="450"/>
      <c r="J14" s="450"/>
      <c r="K14" s="451"/>
    </row>
    <row r="15" spans="1:41" s="2124" customFormat="1" ht="13.5" customHeight="1">
      <c r="A15" s="1636" t="s">
        <v>1855</v>
      </c>
      <c r="B15" s="452" t="s">
        <v>482</v>
      </c>
      <c r="C15" s="53">
        <f ca="1">ROUND(IF(B1="",SUMIF('数据-取费表'!C:C,"住宅",'数据-取费表'!M:M)*F15,IF(INDIRECT("'数据-取费表'!c"&amp;$K$1)="住宅",INDIRECT("'数据-取费表'!M"&amp;$K$1)*F15,0)),0)</f>
        <v>1842</v>
      </c>
      <c r="D15" s="454"/>
      <c r="E15" s="368"/>
      <c r="F15" s="456">
        <f>'数据-取费表'!B34</f>
        <v>0.05</v>
      </c>
      <c r="G15" s="447" t="s">
        <v>503</v>
      </c>
      <c r="H15" s="450"/>
      <c r="I15" s="450"/>
      <c r="J15" s="450"/>
      <c r="K15" s="451"/>
    </row>
    <row r="16" spans="1:41" s="2125" customFormat="1" ht="13.5" customHeight="1">
      <c r="A16" s="1636" t="s">
        <v>1856</v>
      </c>
      <c r="B16" s="452" t="s">
        <v>484</v>
      </c>
      <c r="C16" s="53">
        <f ca="1">ROUND(D16*E16/10000,0)</f>
        <v>5170</v>
      </c>
      <c r="D16" s="454">
        <f ca="1">IF(B1="",'数据-汇总表'!E3,INDIRECT("'数据-取费表'!K"&amp;$K$1)+INDIRECT("'数据-取费表'!S"&amp;$K$1))</f>
        <v>258502.2</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52" t="s">
        <v>485</v>
      </c>
      <c r="C17" s="457">
        <f ca="1">ROUND(C13*F17,0)</f>
        <v>591</v>
      </c>
      <c r="D17" s="458"/>
      <c r="E17" s="457"/>
      <c r="F17" s="459">
        <f>'数据-取费表'!B36</f>
        <v>1.4999999999999999E-2</v>
      </c>
      <c r="G17" s="447" t="s">
        <v>503</v>
      </c>
      <c r="H17" s="460"/>
      <c r="I17" s="460"/>
      <c r="J17" s="460"/>
      <c r="K17" s="461"/>
    </row>
    <row r="18" spans="1:14" s="2127" customFormat="1" ht="13.5" customHeight="1">
      <c r="A18" s="1637" t="s">
        <v>1858</v>
      </c>
      <c r="B18" s="462" t="s">
        <v>487</v>
      </c>
      <c r="C18" s="463">
        <f ca="1">SUM(C13:C17)</f>
        <v>48996</v>
      </c>
      <c r="D18" s="464"/>
      <c r="E18" s="465"/>
      <c r="F18" s="465"/>
      <c r="G18" s="1329" t="s">
        <v>2437</v>
      </c>
      <c r="H18" s="450"/>
      <c r="I18" s="450"/>
      <c r="J18" s="450"/>
      <c r="K18" s="451"/>
    </row>
    <row r="19" spans="1:14" s="2127" customFormat="1" ht="13.5" customHeight="1">
      <c r="A19" s="1637" t="s">
        <v>1859</v>
      </c>
      <c r="B19" s="462" t="s">
        <v>493</v>
      </c>
      <c r="C19" s="463">
        <f ca="1">ROUND(C18*F19,0)</f>
        <v>980</v>
      </c>
      <c r="D19" s="465"/>
      <c r="E19" s="465"/>
      <c r="F19" s="469">
        <f>'数据-取费表'!B37</f>
        <v>0.02</v>
      </c>
      <c r="G19" s="447" t="s">
        <v>504</v>
      </c>
      <c r="H19" s="450"/>
      <c r="I19" s="450"/>
      <c r="J19" s="450"/>
      <c r="K19" s="451"/>
      <c r="L19" s="2129"/>
      <c r="M19" s="2129"/>
      <c r="N19" s="2129"/>
    </row>
    <row r="20" spans="1:14" s="2127" customFormat="1" ht="13.5" customHeight="1">
      <c r="A20" s="1637" t="s">
        <v>1860</v>
      </c>
      <c r="B20" s="462" t="s">
        <v>505</v>
      </c>
      <c r="C20" s="3065">
        <f>F20</f>
        <v>0.02</v>
      </c>
      <c r="D20" s="472" t="s">
        <v>506</v>
      </c>
      <c r="E20" s="472"/>
      <c r="F20" s="489">
        <f>'数据-取费表'!B38</f>
        <v>0.02</v>
      </c>
      <c r="G20" s="1329" t="s">
        <v>507</v>
      </c>
      <c r="H20" s="450"/>
      <c r="I20" s="450"/>
      <c r="J20" s="450"/>
      <c r="K20" s="451"/>
      <c r="L20" s="2129"/>
      <c r="M20" s="2129"/>
      <c r="N20" s="2129"/>
    </row>
    <row r="21" spans="1:14" s="2129" customFormat="1" ht="13.5" customHeight="1">
      <c r="A21" s="1637" t="s">
        <v>1863</v>
      </c>
      <c r="B21" s="464" t="s">
        <v>494</v>
      </c>
      <c r="C21" s="473">
        <f ca="1">C22</f>
        <v>3603</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6" t="s">
        <v>2459</v>
      </c>
    </row>
    <row r="22" spans="1:14" s="2128" customFormat="1" ht="13.5" customHeight="1">
      <c r="A22" s="1636" t="s">
        <v>1853</v>
      </c>
      <c r="B22" s="1330" t="s">
        <v>2440</v>
      </c>
      <c r="C22" s="490">
        <f ca="1">ROUND(IF('数据-取费表'!B22&lt;=1,(C18+C19)*F21*'数据-取费表'!B20/2,(C18+C19)*(POWER((1+F21),'数据-取费表'!B20/2)-1)),0)</f>
        <v>3603</v>
      </c>
      <c r="D22" s="475"/>
      <c r="E22" s="476"/>
      <c r="F22" s="477"/>
      <c r="G22" s="2600" t="str">
        <f>IF('数据-取费表'!B22&lt;=1,"((1)+(2))×年利率×建设期÷2","((1)+(2))×((1+年利率)^(建设期÷2)-1)")</f>
        <v>((1)+(2))×((1+年利率)^(建设期÷2)-1)</v>
      </c>
      <c r="H22" s="460"/>
      <c r="I22" s="460"/>
      <c r="J22" s="460"/>
      <c r="K22" s="461"/>
    </row>
    <row r="23" spans="1:14" s="2128" customFormat="1" ht="13.5" customHeight="1">
      <c r="A23" s="1636" t="s">
        <v>1854</v>
      </c>
      <c r="B23" s="1330" t="s">
        <v>509</v>
      </c>
      <c r="C23" s="491">
        <f ca="1">ROUND(IF('数据-取费表'!B22&lt;=1,F20*F21*'数据-取费表'!B20/2,F20*(POWER((1+F21),'数据-取费表'!B20/2)-1)),4)</f>
        <v>1.4E-3</v>
      </c>
      <c r="D23" s="475"/>
      <c r="E23" s="476"/>
      <c r="F23" s="477"/>
      <c r="G23" s="2600" t="str">
        <f>IF('数据-取费表'!B22&lt;=1,"销售费用率×年利率×建设期÷2","销售费用率×((1+年利率)^(建设期÷2)-1)")</f>
        <v>销售费用率×((1+年利率)^(建设期÷2)-1)</v>
      </c>
      <c r="H23" s="460"/>
      <c r="I23" s="460"/>
      <c r="J23" s="460"/>
      <c r="K23" s="461"/>
    </row>
    <row r="24" spans="1:14" s="2128" customFormat="1" ht="13.5" customHeight="1">
      <c r="A24" s="1637" t="s">
        <v>1864</v>
      </c>
      <c r="B24" s="3067" t="s">
        <v>2842</v>
      </c>
      <c r="C24" s="481">
        <f ca="1">C25</f>
        <v>4998</v>
      </c>
      <c r="D24" s="492">
        <f ca="1">C26</f>
        <v>2E-3</v>
      </c>
      <c r="E24" s="472" t="s">
        <v>508</v>
      </c>
      <c r="F24" s="482">
        <f ca="1">IF(B1="",'数据-取费表'!Q16,INDIRECT("'数据-取费表'!q"&amp;$K$1))</f>
        <v>0.1</v>
      </c>
      <c r="G24" s="447"/>
      <c r="H24" s="450"/>
      <c r="I24" s="450"/>
      <c r="J24" s="450"/>
      <c r="K24" s="451"/>
    </row>
    <row r="25" spans="1:14" s="2128" customFormat="1" ht="13.5" customHeight="1">
      <c r="A25" s="1636" t="s">
        <v>1853</v>
      </c>
      <c r="B25" s="1330" t="s">
        <v>2441</v>
      </c>
      <c r="C25" s="493">
        <f ca="1">ROUND((C18+C19)*F24,0)</f>
        <v>4998</v>
      </c>
      <c r="D25" s="475"/>
      <c r="E25" s="476"/>
      <c r="F25" s="483"/>
      <c r="G25" s="1328" t="s">
        <v>2438</v>
      </c>
      <c r="H25" s="460"/>
      <c r="I25" s="460"/>
      <c r="J25" s="460"/>
      <c r="K25" s="461"/>
    </row>
    <row r="26" spans="1:14" s="2128" customFormat="1" ht="13.5" customHeight="1">
      <c r="A26" s="1636" t="s">
        <v>1854</v>
      </c>
      <c r="B26" s="1330" t="s">
        <v>510</v>
      </c>
      <c r="C26" s="494">
        <f ca="1">ROUND(F20*F24,4)</f>
        <v>2E-3</v>
      </c>
      <c r="D26" s="475"/>
      <c r="E26" s="484"/>
      <c r="F26" s="483"/>
      <c r="G26" s="1328" t="s">
        <v>511</v>
      </c>
      <c r="H26" s="460"/>
      <c r="I26" s="460"/>
      <c r="J26" s="460"/>
      <c r="K26" s="461"/>
    </row>
    <row r="27" spans="1:14" s="2128" customFormat="1" ht="13.5" customHeight="1">
      <c r="A27" s="1640" t="s">
        <v>1872</v>
      </c>
      <c r="B27" s="462" t="s">
        <v>512</v>
      </c>
      <c r="C27" s="3066">
        <f>ROUND(F27/(1+'数据-取费表'!C42),4)</f>
        <v>5.2400000000000002E-2</v>
      </c>
      <c r="D27" s="465" t="s">
        <v>2840</v>
      </c>
      <c r="E27" s="465"/>
      <c r="F27" s="469">
        <f>'数据-取费表'!B41</f>
        <v>5.5000000000000007E-2</v>
      </c>
      <c r="G27" s="1964" t="s">
        <v>2295</v>
      </c>
      <c r="H27" s="450"/>
      <c r="I27" s="450"/>
      <c r="J27" s="450"/>
      <c r="K27" s="451"/>
    </row>
    <row r="28" spans="1:14" s="2129" customFormat="1" ht="13.5" customHeight="1">
      <c r="A28" s="1640" t="s">
        <v>1873</v>
      </c>
      <c r="B28" s="479" t="s">
        <v>513</v>
      </c>
      <c r="C28" s="473">
        <f ca="1">ROUND((C18+C19+C21+C24)/(1-C20-D21-D24-C27),0)</f>
        <v>63381</v>
      </c>
      <c r="D28" s="480"/>
      <c r="E28" s="472"/>
      <c r="F28" s="474"/>
      <c r="G28" s="1329" t="s">
        <v>2439</v>
      </c>
      <c r="H28" s="450"/>
      <c r="I28" s="450"/>
      <c r="J28" s="450"/>
      <c r="K28" s="451"/>
    </row>
    <row r="29" spans="1:14" s="2129" customFormat="1" ht="13.5" customHeight="1">
      <c r="A29" s="1640" t="s">
        <v>1874</v>
      </c>
      <c r="B29" s="479" t="s">
        <v>514</v>
      </c>
      <c r="C29" s="495">
        <f ca="1">IF(B1="",'数据-取费表'!N16,INDIRECT("'数据-取费表'!N"&amp;$K$1))</f>
        <v>0</v>
      </c>
      <c r="D29" s="496"/>
      <c r="E29" s="497"/>
      <c r="F29" s="498"/>
      <c r="G29" s="447"/>
      <c r="H29" s="450"/>
      <c r="I29" s="450"/>
      <c r="J29" s="450"/>
      <c r="K29" s="451"/>
    </row>
    <row r="30" spans="1:14" s="2129" customFormat="1" ht="13.5" customHeight="1">
      <c r="A30" s="446">
        <v>2</v>
      </c>
      <c r="B30" s="479" t="s">
        <v>515</v>
      </c>
      <c r="C30" s="500">
        <f ca="1">ROUND(C28*C29,0)</f>
        <v>0</v>
      </c>
      <c r="D30" s="496"/>
      <c r="E30" s="501"/>
      <c r="F30" s="502"/>
      <c r="G30" s="1331" t="s">
        <v>516</v>
      </c>
      <c r="H30" s="499"/>
      <c r="I30" s="499"/>
      <c r="J30" s="450"/>
      <c r="K30" s="451"/>
    </row>
    <row r="31" spans="1:14" s="2134" customFormat="1" ht="13.5" customHeight="1">
      <c r="A31" s="2515" t="s">
        <v>1870</v>
      </c>
      <c r="B31" s="1332"/>
      <c r="C31" s="503">
        <f>ROUND(C6*F31/(1+'数据-取费表'!C42),0)</f>
        <v>0</v>
      </c>
      <c r="D31" s="1333"/>
      <c r="E31" s="1333"/>
      <c r="F31" s="504">
        <f>'数据-取费表'!B41</f>
        <v>5.5000000000000007E-2</v>
      </c>
      <c r="G31" s="1334"/>
      <c r="H31" s="1334"/>
      <c r="I31" s="1334"/>
      <c r="J31" s="1335"/>
      <c r="K31" s="1336"/>
    </row>
    <row r="32" spans="1:14" s="2090"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6"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c r="A3" s="1384" t="s">
        <v>1689</v>
      </c>
      <c r="B3" s="513"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1"/>
    </row>
    <row r="6" spans="1:29" ht="15">
      <c r="A6" s="515" t="s">
        <v>522</v>
      </c>
      <c r="B6" s="516"/>
      <c r="C6" s="3364" t="s">
        <v>523</v>
      </c>
      <c r="D6" s="3365"/>
      <c r="E6" s="3399" t="s">
        <v>524</v>
      </c>
      <c r="F6" s="3400"/>
      <c r="G6" s="3364" t="s">
        <v>525</v>
      </c>
      <c r="H6" s="3365"/>
      <c r="I6" s="3364" t="s">
        <v>526</v>
      </c>
      <c r="J6" s="3365"/>
      <c r="K6" s="517" t="s">
        <v>527</v>
      </c>
      <c r="L6" s="2141"/>
      <c r="M6" s="2142"/>
      <c r="N6" s="2142"/>
      <c r="O6" s="2142"/>
      <c r="P6" s="3366" t="s">
        <v>528</v>
      </c>
      <c r="Q6" s="3367"/>
      <c r="R6" s="3372" t="s">
        <v>524</v>
      </c>
      <c r="S6" s="3373"/>
      <c r="T6" s="3372" t="s">
        <v>525</v>
      </c>
      <c r="U6" s="3373"/>
      <c r="V6" s="3359" t="s">
        <v>526</v>
      </c>
      <c r="W6" s="3359"/>
      <c r="X6" s="1570"/>
      <c r="Y6" s="3372" t="s">
        <v>528</v>
      </c>
      <c r="Z6" s="3373"/>
      <c r="AA6" s="3361" t="s">
        <v>524</v>
      </c>
      <c r="AB6" s="3362" t="s">
        <v>525</v>
      </c>
      <c r="AC6" s="3361" t="s">
        <v>526</v>
      </c>
    </row>
    <row r="7" spans="1:29" ht="15">
      <c r="A7" s="518"/>
      <c r="B7" s="519"/>
      <c r="C7" s="3382" t="s">
        <v>2930</v>
      </c>
      <c r="D7" s="3381"/>
      <c r="E7" s="3401" t="s">
        <v>2931</v>
      </c>
      <c r="F7" s="3402"/>
      <c r="G7" s="3382" t="s">
        <v>2932</v>
      </c>
      <c r="H7" s="3381"/>
      <c r="I7" s="3382" t="s">
        <v>2933</v>
      </c>
      <c r="J7" s="3381"/>
      <c r="K7" s="517"/>
      <c r="L7" s="2141"/>
      <c r="M7" s="2142"/>
      <c r="N7" s="2142"/>
      <c r="O7" s="2142"/>
      <c r="P7" s="3368"/>
      <c r="Q7" s="3369"/>
      <c r="R7" s="3374"/>
      <c r="S7" s="3375"/>
      <c r="T7" s="3374"/>
      <c r="U7" s="3375"/>
      <c r="V7" s="3359"/>
      <c r="W7" s="3359"/>
      <c r="X7" s="1570"/>
      <c r="Y7" s="3374"/>
      <c r="Z7" s="3375"/>
      <c r="AA7" s="3362"/>
      <c r="AB7" s="3362"/>
      <c r="AC7" s="3362"/>
    </row>
    <row r="8" spans="1:29" ht="15.75" thickBot="1">
      <c r="A8" s="520"/>
      <c r="B8" s="521"/>
      <c r="C8" s="3378" t="s">
        <v>2934</v>
      </c>
      <c r="D8" s="3379"/>
      <c r="E8" s="3397" t="s">
        <v>2934</v>
      </c>
      <c r="F8" s="3398"/>
      <c r="G8" s="3378" t="s">
        <v>2934</v>
      </c>
      <c r="H8" s="3379"/>
      <c r="I8" s="3378" t="s">
        <v>2934</v>
      </c>
      <c r="J8" s="3379"/>
      <c r="K8" s="517" t="s">
        <v>529</v>
      </c>
      <c r="L8" s="2141"/>
      <c r="M8" s="2142"/>
      <c r="N8" s="2142"/>
      <c r="O8" s="2142"/>
      <c r="P8" s="3370"/>
      <c r="Q8" s="3371"/>
      <c r="R8" s="3374"/>
      <c r="S8" s="3375"/>
      <c r="T8" s="3376"/>
      <c r="U8" s="3377"/>
      <c r="V8" s="3359"/>
      <c r="W8" s="3359"/>
      <c r="X8" s="1570"/>
      <c r="Y8" s="3376"/>
      <c r="Z8" s="3377"/>
      <c r="AA8" s="3363"/>
      <c r="AB8" s="3363"/>
      <c r="AC8" s="3363"/>
    </row>
    <row r="9" spans="1:29" s="1222" customFormat="1" ht="15.75" thickBot="1">
      <c r="A9" s="2949"/>
      <c r="B9" s="2956" t="s">
        <v>530</v>
      </c>
      <c r="C9" s="522">
        <f>'数据-取费表'!B2</f>
        <v>42997</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390" t="s">
        <v>531</v>
      </c>
      <c r="Q9" s="3392"/>
      <c r="R9" s="1571" t="s">
        <v>8</v>
      </c>
      <c r="S9" s="1572">
        <f t="shared" ref="S9:S17" si="0">F9</f>
        <v>0</v>
      </c>
      <c r="T9" s="1571" t="s">
        <v>8</v>
      </c>
      <c r="U9" s="1572">
        <f t="shared" ref="U9:U17" si="1">H9</f>
        <v>0</v>
      </c>
      <c r="V9" s="1571" t="s">
        <v>8</v>
      </c>
      <c r="W9" s="1572">
        <f t="shared" ref="W9:W17" si="2">J9</f>
        <v>0</v>
      </c>
      <c r="X9" s="1573"/>
      <c r="Y9" s="3390" t="s">
        <v>531</v>
      </c>
      <c r="Z9" s="3391"/>
      <c r="AA9" s="1574" t="e">
        <f>D9/F9</f>
        <v>#DIV/0!</v>
      </c>
      <c r="AB9" s="1574" t="e">
        <f>D9/H9</f>
        <v>#DIV/0!</v>
      </c>
      <c r="AC9" s="1574" t="e">
        <f>D9/J9</f>
        <v>#DIV/0!</v>
      </c>
    </row>
    <row r="10" spans="1:29" s="1222" customFormat="1" ht="15.75" thickBot="1">
      <c r="A10" s="2950"/>
      <c r="B10" s="295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390" t="s">
        <v>534</v>
      </c>
      <c r="Q10" s="3391"/>
      <c r="R10" s="1571" t="s">
        <v>8</v>
      </c>
      <c r="S10" s="1572">
        <f t="shared" si="0"/>
        <v>0</v>
      </c>
      <c r="T10" s="1571" t="s">
        <v>8</v>
      </c>
      <c r="U10" s="1572">
        <f t="shared" si="1"/>
        <v>0</v>
      </c>
      <c r="V10" s="1571" t="s">
        <v>8</v>
      </c>
      <c r="W10" s="1572">
        <f t="shared" si="2"/>
        <v>0</v>
      </c>
      <c r="X10" s="1573"/>
      <c r="Y10" s="3390" t="s">
        <v>534</v>
      </c>
      <c r="Z10" s="3391"/>
      <c r="AA10" s="1574" t="e">
        <f t="shared" ref="AA10:AA42" si="3">D10/F10</f>
        <v>#DIV/0!</v>
      </c>
      <c r="AB10" s="1574" t="e">
        <f t="shared" ref="AB10:AB42" si="4">D10/H10</f>
        <v>#DIV/0!</v>
      </c>
      <c r="AC10" s="1574" t="e">
        <f t="shared" ref="AC10:AC42" si="5">D10/J10</f>
        <v>#DIV/0!</v>
      </c>
    </row>
    <row r="11" spans="1:29" s="1222" customFormat="1" ht="15">
      <c r="A11" s="2951"/>
      <c r="B11" s="2958" t="s">
        <v>2766</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58" t="s">
        <v>536</v>
      </c>
      <c r="Q11" s="1153" t="str">
        <f t="shared" ref="Q11:Q17" si="6">B11</f>
        <v>用途</v>
      </c>
      <c r="R11" s="1571" t="s">
        <v>8</v>
      </c>
      <c r="S11" s="1572">
        <f t="shared" si="0"/>
        <v>100</v>
      </c>
      <c r="T11" s="1571" t="s">
        <v>8</v>
      </c>
      <c r="U11" s="1572">
        <f t="shared" si="1"/>
        <v>100</v>
      </c>
      <c r="V11" s="1571" t="s">
        <v>8</v>
      </c>
      <c r="W11" s="1572">
        <f t="shared" si="2"/>
        <v>100</v>
      </c>
      <c r="X11" s="1573"/>
      <c r="Y11" s="3304" t="s">
        <v>537</v>
      </c>
      <c r="Z11" s="1152" t="str">
        <f t="shared" ref="Z11:Z17" si="7">Q11</f>
        <v>用途</v>
      </c>
      <c r="AA11" s="1574">
        <f t="shared" si="3"/>
        <v>1</v>
      </c>
      <c r="AB11" s="1574">
        <f t="shared" si="4"/>
        <v>1</v>
      </c>
      <c r="AC11" s="1574">
        <f t="shared" si="5"/>
        <v>1</v>
      </c>
    </row>
    <row r="12" spans="1:29" s="1340" customFormat="1" ht="27">
      <c r="A12" s="2952"/>
      <c r="B12" s="2957" t="s">
        <v>2767</v>
      </c>
      <c r="C12" s="531"/>
      <c r="D12" s="255">
        <v>100</v>
      </c>
      <c r="E12" s="531"/>
      <c r="F12" s="255">
        <f>ROUND(100/'数据-取费表'!G16,0)</f>
        <v>100</v>
      </c>
      <c r="G12" s="531"/>
      <c r="H12" s="255">
        <f>ROUND(100/'数据-取费表'!G16,0)</f>
        <v>100</v>
      </c>
      <c r="I12" s="531"/>
      <c r="J12" s="255">
        <f>ROUND(100/'数据-取费表'!G16,0)</f>
        <v>100</v>
      </c>
      <c r="K12" s="534"/>
      <c r="L12" s="2146"/>
      <c r="M12" s="2186"/>
      <c r="N12" s="2186"/>
      <c r="O12" s="2147"/>
      <c r="P12" s="3358"/>
      <c r="Q12" s="1153" t="str">
        <f t="shared" si="6"/>
        <v>土地使用年限（年）</v>
      </c>
      <c r="R12" s="1571" t="s">
        <v>8</v>
      </c>
      <c r="S12" s="1572">
        <f t="shared" si="0"/>
        <v>100</v>
      </c>
      <c r="T12" s="1571" t="s">
        <v>8</v>
      </c>
      <c r="U12" s="1572">
        <f t="shared" si="1"/>
        <v>100</v>
      </c>
      <c r="V12" s="1571" t="s">
        <v>8</v>
      </c>
      <c r="W12" s="1572">
        <f t="shared" si="2"/>
        <v>100</v>
      </c>
      <c r="X12" s="1573"/>
      <c r="Y12" s="3304"/>
      <c r="Z12" s="1152" t="str">
        <f t="shared" si="7"/>
        <v>土地使用年限（年）</v>
      </c>
      <c r="AA12" s="1574">
        <f t="shared" si="3"/>
        <v>1</v>
      </c>
      <c r="AB12" s="1574">
        <f t="shared" si="4"/>
        <v>1</v>
      </c>
      <c r="AC12" s="1574">
        <f t="shared" si="5"/>
        <v>1</v>
      </c>
    </row>
    <row r="13" spans="1:29" ht="15">
      <c r="A13" s="2953"/>
      <c r="B13" s="2957"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58"/>
      <c r="Q13" s="1153" t="str">
        <f t="shared" si="6"/>
        <v>容积率</v>
      </c>
      <c r="R13" s="1571" t="s">
        <v>8</v>
      </c>
      <c r="S13" s="1572" t="e">
        <f t="shared" si="0"/>
        <v>#N/A</v>
      </c>
      <c r="T13" s="1571" t="s">
        <v>8</v>
      </c>
      <c r="U13" s="1572" t="e">
        <f t="shared" si="1"/>
        <v>#N/A</v>
      </c>
      <c r="V13" s="1571" t="s">
        <v>8</v>
      </c>
      <c r="W13" s="1572" t="e">
        <f t="shared" si="2"/>
        <v>#N/A</v>
      </c>
      <c r="X13" s="1573"/>
      <c r="Y13" s="3304"/>
      <c r="Z13" s="1152" t="str">
        <f t="shared" si="7"/>
        <v>容积率</v>
      </c>
      <c r="AA13" s="1574" t="e">
        <f t="shared" si="3"/>
        <v>#N/A</v>
      </c>
      <c r="AB13" s="1574" t="e">
        <f t="shared" si="4"/>
        <v>#N/A</v>
      </c>
      <c r="AC13" s="1574" t="e">
        <f t="shared" si="5"/>
        <v>#N/A</v>
      </c>
    </row>
    <row r="14" spans="1:29" s="1222" customFormat="1" ht="15">
      <c r="A14" s="2954"/>
      <c r="B14" s="2960">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58"/>
      <c r="Q14" s="1153">
        <f t="shared" si="6"/>
        <v>111</v>
      </c>
      <c r="R14" s="1571" t="s">
        <v>8</v>
      </c>
      <c r="S14" s="1572">
        <f t="shared" si="0"/>
        <v>100</v>
      </c>
      <c r="T14" s="1571" t="s">
        <v>8</v>
      </c>
      <c r="U14" s="1572">
        <f t="shared" si="1"/>
        <v>100</v>
      </c>
      <c r="V14" s="1571" t="s">
        <v>8</v>
      </c>
      <c r="W14" s="1572">
        <f t="shared" si="2"/>
        <v>100</v>
      </c>
      <c r="X14" s="1573"/>
      <c r="Y14" s="3304"/>
      <c r="Z14" s="1152">
        <f t="shared" si="7"/>
        <v>111</v>
      </c>
      <c r="AA14" s="1574">
        <f>D14/F14</f>
        <v>1</v>
      </c>
      <c r="AB14" s="1574">
        <f>D14/H14</f>
        <v>1</v>
      </c>
      <c r="AC14" s="1574">
        <f>D14/J14</f>
        <v>1</v>
      </c>
    </row>
    <row r="15" spans="1:29" ht="15">
      <c r="A15" s="2954"/>
      <c r="B15" s="2960">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58"/>
      <c r="Q15" s="1153">
        <f t="shared" si="6"/>
        <v>111</v>
      </c>
      <c r="R15" s="1571" t="s">
        <v>8</v>
      </c>
      <c r="S15" s="1572">
        <f t="shared" si="0"/>
        <v>100</v>
      </c>
      <c r="T15" s="1571" t="s">
        <v>8</v>
      </c>
      <c r="U15" s="1572">
        <f t="shared" si="1"/>
        <v>100</v>
      </c>
      <c r="V15" s="1571" t="s">
        <v>8</v>
      </c>
      <c r="W15" s="1572">
        <f t="shared" si="2"/>
        <v>100</v>
      </c>
      <c r="X15" s="1573"/>
      <c r="Y15" s="3304"/>
      <c r="Z15" s="1152">
        <f t="shared" si="7"/>
        <v>111</v>
      </c>
      <c r="AA15" s="1574">
        <f t="shared" si="3"/>
        <v>1</v>
      </c>
      <c r="AB15" s="1574">
        <f t="shared" si="4"/>
        <v>1</v>
      </c>
      <c r="AC15" s="1574">
        <f t="shared" si="5"/>
        <v>1</v>
      </c>
    </row>
    <row r="16" spans="1:29" ht="15.75" thickBot="1">
      <c r="A16" s="2955"/>
      <c r="B16" s="2961">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58"/>
      <c r="Q16" s="1153">
        <f t="shared" si="6"/>
        <v>111</v>
      </c>
      <c r="R16" s="1571" t="s">
        <v>8</v>
      </c>
      <c r="S16" s="1572">
        <f t="shared" si="0"/>
        <v>100</v>
      </c>
      <c r="T16" s="1571" t="s">
        <v>8</v>
      </c>
      <c r="U16" s="1572">
        <f t="shared" si="1"/>
        <v>100</v>
      </c>
      <c r="V16" s="1571" t="s">
        <v>8</v>
      </c>
      <c r="W16" s="1572">
        <f t="shared" si="2"/>
        <v>100</v>
      </c>
      <c r="X16" s="1573"/>
      <c r="Y16" s="3304"/>
      <c r="Z16" s="1152">
        <f t="shared" si="7"/>
        <v>111</v>
      </c>
      <c r="AA16" s="1574">
        <f t="shared" si="3"/>
        <v>1</v>
      </c>
      <c r="AB16" s="1574">
        <f t="shared" si="4"/>
        <v>1</v>
      </c>
      <c r="AC16" s="1574">
        <f t="shared" si="5"/>
        <v>1</v>
      </c>
    </row>
    <row r="17" spans="1:29" ht="57">
      <c r="A17" s="2947"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393" t="s">
        <v>541</v>
      </c>
      <c r="Q17" s="1575" t="str">
        <f t="shared" si="6"/>
        <v>产业集聚程度</v>
      </c>
      <c r="R17" s="1576" t="s">
        <v>8</v>
      </c>
      <c r="S17" s="1577">
        <f t="shared" si="0"/>
        <v>100</v>
      </c>
      <c r="T17" s="1576" t="s">
        <v>8</v>
      </c>
      <c r="U17" s="1577">
        <f t="shared" si="1"/>
        <v>100</v>
      </c>
      <c r="V17" s="1576" t="s">
        <v>8</v>
      </c>
      <c r="W17" s="1577">
        <f t="shared" si="2"/>
        <v>100</v>
      </c>
      <c r="X17" s="1570"/>
      <c r="Y17" s="3393"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50"/>
      <c r="M18" s="2142"/>
      <c r="N18" s="2142"/>
      <c r="O18" s="2149"/>
      <c r="P18" s="3394"/>
      <c r="Q18" s="1575"/>
      <c r="R18" s="1576"/>
      <c r="S18" s="1577"/>
      <c r="T18" s="1576"/>
      <c r="U18" s="1577"/>
      <c r="V18" s="1576"/>
      <c r="W18" s="1577"/>
      <c r="X18" s="1570"/>
      <c r="Y18" s="3394"/>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394"/>
      <c r="Q19" s="1575" t="str">
        <f>B19</f>
        <v>交通便捷度</v>
      </c>
      <c r="R19" s="1576" t="s">
        <v>8</v>
      </c>
      <c r="S19" s="1577">
        <f>F19</f>
        <v>100</v>
      </c>
      <c r="T19" s="1576" t="s">
        <v>8</v>
      </c>
      <c r="U19" s="1577">
        <f>H19</f>
        <v>100</v>
      </c>
      <c r="V19" s="1576" t="s">
        <v>8</v>
      </c>
      <c r="W19" s="1577">
        <f>J19</f>
        <v>100</v>
      </c>
      <c r="X19" s="1570"/>
      <c r="Y19" s="3394"/>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50"/>
      <c r="M20" s="2142"/>
      <c r="N20" s="2142"/>
      <c r="O20" s="2149"/>
      <c r="P20" s="3394"/>
      <c r="Q20" s="1575"/>
      <c r="R20" s="1576"/>
      <c r="S20" s="1577"/>
      <c r="T20" s="1576"/>
      <c r="U20" s="1577"/>
      <c r="V20" s="1576"/>
      <c r="W20" s="1577"/>
      <c r="X20" s="1570"/>
      <c r="Y20" s="3394"/>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0"/>
      <c r="M21" s="2142"/>
      <c r="N21" s="2142"/>
      <c r="O21" s="2149"/>
      <c r="P21" s="3394"/>
      <c r="Q21" s="1575" t="str">
        <f t="shared" ref="Q21:Q35" si="8">B21</f>
        <v>区域土地利用方向</v>
      </c>
      <c r="R21" s="1576" t="s">
        <v>8</v>
      </c>
      <c r="S21" s="1577">
        <f>F21</f>
        <v>100</v>
      </c>
      <c r="T21" s="1576" t="s">
        <v>8</v>
      </c>
      <c r="U21" s="1577">
        <f>H21</f>
        <v>100</v>
      </c>
      <c r="V21" s="1576" t="s">
        <v>8</v>
      </c>
      <c r="W21" s="1577">
        <f>J21</f>
        <v>100</v>
      </c>
      <c r="X21" s="1570"/>
      <c r="Y21" s="3394"/>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50"/>
      <c r="M22" s="2142"/>
      <c r="N22" s="2142"/>
      <c r="O22" s="2149"/>
      <c r="P22" s="3394"/>
      <c r="Q22" s="1575"/>
      <c r="R22" s="1576"/>
      <c r="S22" s="1577"/>
      <c r="T22" s="1576"/>
      <c r="U22" s="1577"/>
      <c r="V22" s="1576"/>
      <c r="W22" s="1577"/>
      <c r="X22" s="1570"/>
      <c r="Y22" s="3394"/>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394"/>
      <c r="Q23" s="1575" t="str">
        <f t="shared" si="8"/>
        <v>环境状况</v>
      </c>
      <c r="R23" s="1576" t="s">
        <v>8</v>
      </c>
      <c r="S23" s="1577">
        <f>F23</f>
        <v>100</v>
      </c>
      <c r="T23" s="1576" t="s">
        <v>8</v>
      </c>
      <c r="U23" s="1577">
        <f>H23</f>
        <v>100</v>
      </c>
      <c r="V23" s="1576" t="s">
        <v>8</v>
      </c>
      <c r="W23" s="1577">
        <f>J23</f>
        <v>100</v>
      </c>
      <c r="X23" s="1570"/>
      <c r="Y23" s="3394"/>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50"/>
      <c r="M24" s="2142"/>
      <c r="N24" s="2142"/>
      <c r="O24" s="2149"/>
      <c r="P24" s="3394"/>
      <c r="Q24" s="1575"/>
      <c r="R24" s="1576"/>
      <c r="S24" s="1577"/>
      <c r="T24" s="1576"/>
      <c r="U24" s="1577"/>
      <c r="V24" s="1576"/>
      <c r="W24" s="1577"/>
      <c r="X24" s="1570"/>
      <c r="Y24" s="3394"/>
      <c r="Z24" s="1578"/>
      <c r="AA24" s="1579">
        <v>1</v>
      </c>
      <c r="AB24" s="1579">
        <v>1</v>
      </c>
      <c r="AC24" s="1579">
        <v>1</v>
      </c>
    </row>
    <row r="25" spans="1:29" s="1222" customFormat="1" ht="42.75">
      <c r="A25" s="580"/>
      <c r="B25" s="2626"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394"/>
      <c r="Q25" s="1153" t="str">
        <f t="shared" si="8"/>
        <v>公共配套设施</v>
      </c>
      <c r="R25" s="1571" t="s">
        <v>8</v>
      </c>
      <c r="S25" s="1572">
        <f>F25</f>
        <v>100</v>
      </c>
      <c r="T25" s="1571" t="s">
        <v>8</v>
      </c>
      <c r="U25" s="1572">
        <f>H25</f>
        <v>100</v>
      </c>
      <c r="V25" s="1571" t="s">
        <v>8</v>
      </c>
      <c r="W25" s="1572">
        <f>J25</f>
        <v>100</v>
      </c>
      <c r="X25" s="1573"/>
      <c r="Y25" s="3394"/>
      <c r="Z25" s="1152" t="str">
        <f>Q25</f>
        <v>公共配套设施</v>
      </c>
      <c r="AA25" s="1579">
        <f>D25/F25</f>
        <v>1</v>
      </c>
      <c r="AB25" s="1579">
        <f>D25/H25</f>
        <v>1</v>
      </c>
      <c r="AC25" s="1579">
        <f>D25/J25</f>
        <v>1</v>
      </c>
    </row>
    <row r="26" spans="1:29" s="1222" customFormat="1" ht="15">
      <c r="A26" s="580"/>
      <c r="B26" s="598"/>
      <c r="C26" s="2625"/>
      <c r="D26" s="558"/>
      <c r="E26" s="557"/>
      <c r="F26" s="558"/>
      <c r="G26" s="557"/>
      <c r="H26" s="558"/>
      <c r="I26" s="579"/>
      <c r="J26" s="558"/>
      <c r="K26" s="534"/>
      <c r="L26" s="2143"/>
      <c r="M26" s="2144"/>
      <c r="N26" s="2144"/>
      <c r="O26" s="2145"/>
      <c r="P26" s="3394"/>
      <c r="Q26" s="1153"/>
      <c r="R26" s="1571"/>
      <c r="S26" s="1572"/>
      <c r="T26" s="1571"/>
      <c r="U26" s="1572"/>
      <c r="V26" s="1571"/>
      <c r="W26" s="1572"/>
      <c r="X26" s="1573"/>
      <c r="Y26" s="3394"/>
      <c r="Z26" s="1152"/>
      <c r="AA26" s="1574">
        <v>1</v>
      </c>
      <c r="AB26" s="1574">
        <v>1</v>
      </c>
      <c r="AC26" s="1574">
        <v>1</v>
      </c>
    </row>
    <row r="27" spans="1:29" s="1222" customFormat="1" ht="28.5">
      <c r="A27" s="580"/>
      <c r="B27" s="2626"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394"/>
      <c r="Q27" s="2611" t="str">
        <f t="shared" ref="Q27" si="9">B27</f>
        <v>基础设施水平</v>
      </c>
      <c r="R27" s="1571" t="s">
        <v>8</v>
      </c>
      <c r="S27" s="1572">
        <f>F27</f>
        <v>100</v>
      </c>
      <c r="T27" s="1571" t="s">
        <v>8</v>
      </c>
      <c r="U27" s="1572">
        <f>H27</f>
        <v>100</v>
      </c>
      <c r="V27" s="1571" t="s">
        <v>8</v>
      </c>
      <c r="W27" s="1572">
        <f>J27</f>
        <v>100</v>
      </c>
      <c r="X27" s="1573"/>
      <c r="Y27" s="3394"/>
      <c r="Z27" s="2608" t="str">
        <f>Q27</f>
        <v>基础设施水平</v>
      </c>
      <c r="AA27" s="1579">
        <f>D27/F27</f>
        <v>1</v>
      </c>
      <c r="AB27" s="1579">
        <f>D27/H27</f>
        <v>1</v>
      </c>
      <c r="AC27" s="1579">
        <f>D27/J27</f>
        <v>1</v>
      </c>
    </row>
    <row r="28" spans="1:29" s="1222" customFormat="1" ht="15">
      <c r="A28" s="580"/>
      <c r="B28" s="598"/>
      <c r="C28" s="2625"/>
      <c r="D28" s="558"/>
      <c r="E28" s="582"/>
      <c r="F28" s="558"/>
      <c r="G28" s="582"/>
      <c r="H28" s="558"/>
      <c r="I28" s="582"/>
      <c r="J28" s="558"/>
      <c r="K28" s="534"/>
      <c r="L28" s="2143"/>
      <c r="M28" s="2144"/>
      <c r="N28" s="2144"/>
      <c r="O28" s="2145"/>
      <c r="P28" s="3394"/>
      <c r="Q28" s="2611"/>
      <c r="R28" s="1571"/>
      <c r="S28" s="1572"/>
      <c r="T28" s="1571"/>
      <c r="U28" s="1572"/>
      <c r="V28" s="1571"/>
      <c r="W28" s="1572"/>
      <c r="X28" s="1573"/>
      <c r="Y28" s="3394"/>
      <c r="Z28" s="2608"/>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394"/>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4"/>
      <c r="Z29" s="1578" t="str">
        <f t="shared" ref="Z29:Z42" si="13">Q29</f>
        <v>临街状况</v>
      </c>
      <c r="AA29" s="1579">
        <f t="shared" si="3"/>
        <v>1</v>
      </c>
      <c r="AB29" s="1579">
        <f t="shared" si="4"/>
        <v>1</v>
      </c>
      <c r="AC29" s="1579">
        <f t="shared" si="5"/>
        <v>1</v>
      </c>
    </row>
    <row r="30" spans="1:29" ht="27">
      <c r="A30" s="535"/>
      <c r="B30" s="925" t="s">
        <v>549</v>
      </c>
      <c r="C30" s="2628">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394"/>
      <c r="Q30" s="1575" t="str">
        <f t="shared" si="8"/>
        <v>毗邻道路的类型与等级</v>
      </c>
      <c r="R30" s="1576" t="s">
        <v>8</v>
      </c>
      <c r="S30" s="1577">
        <f t="shared" si="10"/>
        <v>100</v>
      </c>
      <c r="T30" s="1576" t="s">
        <v>8</v>
      </c>
      <c r="U30" s="1577">
        <f t="shared" si="11"/>
        <v>100</v>
      </c>
      <c r="V30" s="1576" t="s">
        <v>8</v>
      </c>
      <c r="W30" s="1577">
        <f t="shared" si="12"/>
        <v>100</v>
      </c>
      <c r="X30" s="1570"/>
      <c r="Y30" s="3394"/>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50"/>
      <c r="M31" s="2142"/>
      <c r="N31" s="2142"/>
      <c r="O31" s="2149"/>
      <c r="P31" s="3394"/>
      <c r="Q31" s="1575"/>
      <c r="R31" s="1576"/>
      <c r="S31" s="1577"/>
      <c r="T31" s="1576"/>
      <c r="U31" s="1577"/>
      <c r="V31" s="1576"/>
      <c r="W31" s="1577"/>
      <c r="X31" s="1570"/>
      <c r="Y31" s="3394"/>
      <c r="Z31" s="1578"/>
      <c r="AA31" s="1579">
        <v>1</v>
      </c>
      <c r="AB31" s="1579">
        <v>1</v>
      </c>
      <c r="AC31" s="1579">
        <v>1</v>
      </c>
    </row>
    <row r="32" spans="1:29" ht="15">
      <c r="A32" s="535"/>
      <c r="B32" s="530" t="s">
        <v>550</v>
      </c>
      <c r="C32" s="2629">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394"/>
      <c r="Q32" s="1575" t="str">
        <f t="shared" si="8"/>
        <v>土地级别</v>
      </c>
      <c r="R32" s="1576" t="s">
        <v>8</v>
      </c>
      <c r="S32" s="1577">
        <f t="shared" si="10"/>
        <v>100</v>
      </c>
      <c r="T32" s="1576" t="s">
        <v>8</v>
      </c>
      <c r="U32" s="1577">
        <f t="shared" si="11"/>
        <v>100</v>
      </c>
      <c r="V32" s="1576" t="s">
        <v>8</v>
      </c>
      <c r="W32" s="1577">
        <f t="shared" si="12"/>
        <v>100</v>
      </c>
      <c r="X32" s="1570"/>
      <c r="Y32" s="3394"/>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394"/>
      <c r="Q33" s="1575">
        <f t="shared" si="8"/>
        <v>111</v>
      </c>
      <c r="R33" s="1576" t="s">
        <v>8</v>
      </c>
      <c r="S33" s="1577">
        <f t="shared" si="10"/>
        <v>100</v>
      </c>
      <c r="T33" s="1576" t="s">
        <v>8</v>
      </c>
      <c r="U33" s="1577">
        <f t="shared" si="11"/>
        <v>100</v>
      </c>
      <c r="V33" s="1576" t="s">
        <v>8</v>
      </c>
      <c r="W33" s="1577">
        <f t="shared" si="12"/>
        <v>100</v>
      </c>
      <c r="X33" s="1570"/>
      <c r="Y33" s="3394"/>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395" t="s">
        <v>551</v>
      </c>
      <c r="Q34" s="1575">
        <f t="shared" si="8"/>
        <v>111</v>
      </c>
      <c r="R34" s="1576" t="s">
        <v>8</v>
      </c>
      <c r="S34" s="1577">
        <f t="shared" si="10"/>
        <v>100</v>
      </c>
      <c r="T34" s="1576" t="s">
        <v>8</v>
      </c>
      <c r="U34" s="1577">
        <f t="shared" si="11"/>
        <v>100</v>
      </c>
      <c r="V34" s="1576" t="s">
        <v>8</v>
      </c>
      <c r="W34" s="1577">
        <f t="shared" si="12"/>
        <v>100</v>
      </c>
      <c r="X34" s="1570"/>
      <c r="Y34" s="3396" t="s">
        <v>551</v>
      </c>
      <c r="Z34" s="1578">
        <f t="shared" si="13"/>
        <v>111</v>
      </c>
      <c r="AA34" s="1579">
        <f t="shared" si="3"/>
        <v>1</v>
      </c>
      <c r="AB34" s="1579">
        <f t="shared" si="4"/>
        <v>1</v>
      </c>
      <c r="AC34" s="1579">
        <f t="shared" si="5"/>
        <v>1</v>
      </c>
    </row>
    <row r="35" spans="1:29" s="1341" customFormat="1" ht="15.75" thickBot="1">
      <c r="A35" s="592"/>
      <c r="B35" s="2627">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396"/>
      <c r="Q35" s="1575">
        <f t="shared" si="8"/>
        <v>111</v>
      </c>
      <c r="R35" s="1580" t="s">
        <v>8</v>
      </c>
      <c r="S35" s="1581">
        <f t="shared" si="10"/>
        <v>100</v>
      </c>
      <c r="T35" s="1580" t="s">
        <v>8</v>
      </c>
      <c r="U35" s="1581">
        <f t="shared" si="11"/>
        <v>100</v>
      </c>
      <c r="V35" s="1580" t="s">
        <v>8</v>
      </c>
      <c r="W35" s="1581">
        <f t="shared" si="12"/>
        <v>100</v>
      </c>
      <c r="X35" s="1582"/>
      <c r="Y35" s="3396"/>
      <c r="Z35" s="1583">
        <f t="shared" si="13"/>
        <v>111</v>
      </c>
      <c r="AA35" s="1579">
        <f t="shared" si="3"/>
        <v>1</v>
      </c>
      <c r="AB35" s="1579">
        <f t="shared" si="4"/>
        <v>1</v>
      </c>
      <c r="AC35" s="1579">
        <f t="shared" si="5"/>
        <v>1</v>
      </c>
    </row>
    <row r="36" spans="1:29" ht="15">
      <c r="A36" s="2944"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396"/>
      <c r="Q36" s="1575" t="str">
        <f>B36</f>
        <v>宗地面积</v>
      </c>
      <c r="R36" s="1576" t="s">
        <v>8</v>
      </c>
      <c r="S36" s="1577" t="e">
        <f t="shared" si="10"/>
        <v>#N/A</v>
      </c>
      <c r="T36" s="1576" t="s">
        <v>8</v>
      </c>
      <c r="U36" s="1577" t="e">
        <f t="shared" si="11"/>
        <v>#N/A</v>
      </c>
      <c r="V36" s="1576" t="s">
        <v>8</v>
      </c>
      <c r="W36" s="1577" t="e">
        <f t="shared" si="12"/>
        <v>#N/A</v>
      </c>
      <c r="X36" s="1570"/>
      <c r="Y36" s="3396"/>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396"/>
      <c r="Q37" s="1575" t="str">
        <f t="shared" ref="Q37:Q42" si="14">B37</f>
        <v>宗地形状</v>
      </c>
      <c r="R37" s="1576" t="s">
        <v>8</v>
      </c>
      <c r="S37" s="1577">
        <f t="shared" si="10"/>
        <v>100</v>
      </c>
      <c r="T37" s="1576" t="s">
        <v>8</v>
      </c>
      <c r="U37" s="1577">
        <f t="shared" si="11"/>
        <v>100</v>
      </c>
      <c r="V37" s="1576" t="s">
        <v>8</v>
      </c>
      <c r="W37" s="1577">
        <f t="shared" si="12"/>
        <v>100</v>
      </c>
      <c r="X37" s="1570"/>
      <c r="Y37" s="3396"/>
      <c r="Z37" s="1578" t="str">
        <f t="shared" si="13"/>
        <v>宗地形状</v>
      </c>
      <c r="AA37" s="1579">
        <f t="shared" si="3"/>
        <v>1</v>
      </c>
      <c r="AB37" s="1579">
        <f t="shared" si="4"/>
        <v>1</v>
      </c>
      <c r="AC37" s="1579">
        <f t="shared" si="5"/>
        <v>1</v>
      </c>
    </row>
    <row r="38" spans="1:29" s="1222"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396"/>
      <c r="Q38" s="1575" t="str">
        <f t="shared" si="14"/>
        <v>宗地开发程度</v>
      </c>
      <c r="R38" s="1571" t="s">
        <v>8</v>
      </c>
      <c r="S38" s="1572">
        <f t="shared" si="10"/>
        <v>100</v>
      </c>
      <c r="T38" s="1571" t="s">
        <v>8</v>
      </c>
      <c r="U38" s="1572">
        <f t="shared" si="11"/>
        <v>100</v>
      </c>
      <c r="V38" s="1571" t="s">
        <v>8</v>
      </c>
      <c r="W38" s="1572">
        <f t="shared" si="12"/>
        <v>100</v>
      </c>
      <c r="X38" s="1573"/>
      <c r="Y38" s="3396"/>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96" t="s">
        <v>602</v>
      </c>
      <c r="Q39" s="1575" t="str">
        <f t="shared" si="14"/>
        <v>工程地质条件</v>
      </c>
      <c r="R39" s="1576" t="s">
        <v>8</v>
      </c>
      <c r="S39" s="1577">
        <f t="shared" si="10"/>
        <v>100</v>
      </c>
      <c r="T39" s="1576" t="s">
        <v>8</v>
      </c>
      <c r="U39" s="1577">
        <f t="shared" si="11"/>
        <v>100</v>
      </c>
      <c r="V39" s="1576" t="s">
        <v>8</v>
      </c>
      <c r="W39" s="1577">
        <f t="shared" si="12"/>
        <v>100</v>
      </c>
      <c r="X39" s="1570"/>
      <c r="Y39" s="3396"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396"/>
      <c r="Q40" s="1575">
        <f t="shared" si="14"/>
        <v>111</v>
      </c>
      <c r="R40" s="1576" t="s">
        <v>8</v>
      </c>
      <c r="S40" s="1577">
        <f t="shared" si="10"/>
        <v>100</v>
      </c>
      <c r="T40" s="1576" t="s">
        <v>8</v>
      </c>
      <c r="U40" s="1577">
        <f t="shared" si="11"/>
        <v>100</v>
      </c>
      <c r="V40" s="1576" t="s">
        <v>8</v>
      </c>
      <c r="W40" s="1577">
        <f t="shared" si="12"/>
        <v>100</v>
      </c>
      <c r="X40" s="1570"/>
      <c r="Y40" s="3396"/>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396"/>
      <c r="Q41" s="1575">
        <f t="shared" si="14"/>
        <v>111</v>
      </c>
      <c r="R41" s="1576" t="s">
        <v>8</v>
      </c>
      <c r="S41" s="1577">
        <f t="shared" si="10"/>
        <v>100</v>
      </c>
      <c r="T41" s="1576" t="s">
        <v>8</v>
      </c>
      <c r="U41" s="1577">
        <f t="shared" si="11"/>
        <v>100</v>
      </c>
      <c r="V41" s="1576" t="s">
        <v>8</v>
      </c>
      <c r="W41" s="1577">
        <f t="shared" si="12"/>
        <v>100</v>
      </c>
      <c r="X41" s="1570"/>
      <c r="Y41" s="3396"/>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396"/>
      <c r="Q42" s="1575">
        <f t="shared" si="14"/>
        <v>111</v>
      </c>
      <c r="R42" s="1580" t="s">
        <v>8</v>
      </c>
      <c r="S42" s="1581">
        <f t="shared" si="10"/>
        <v>100</v>
      </c>
      <c r="T42" s="1580" t="s">
        <v>8</v>
      </c>
      <c r="U42" s="1581">
        <f t="shared" si="11"/>
        <v>100</v>
      </c>
      <c r="V42" s="1580" t="s">
        <v>8</v>
      </c>
      <c r="W42" s="1581">
        <f t="shared" si="12"/>
        <v>100</v>
      </c>
      <c r="X42" s="1582"/>
      <c r="Y42" s="3396"/>
      <c r="Z42" s="1583">
        <f t="shared" si="13"/>
        <v>111</v>
      </c>
      <c r="AA42" s="1579">
        <f t="shared" si="3"/>
        <v>1</v>
      </c>
      <c r="AB42" s="1579">
        <f t="shared" si="4"/>
        <v>1</v>
      </c>
      <c r="AC42" s="1579">
        <f t="shared" si="5"/>
        <v>1</v>
      </c>
    </row>
    <row r="43" spans="1:29" ht="15">
      <c r="A43" s="610" t="s">
        <v>557</v>
      </c>
      <c r="B43" s="611" t="s">
        <v>2935</v>
      </c>
      <c r="C43" s="612" t="s">
        <v>1</v>
      </c>
      <c r="D43" s="613"/>
      <c r="E43" s="614"/>
      <c r="F43" s="615"/>
      <c r="G43" s="616"/>
      <c r="H43" s="617"/>
      <c r="I43" s="614"/>
      <c r="J43" s="617"/>
      <c r="K43" s="1342"/>
      <c r="L43" s="2152"/>
      <c r="M43" s="2142"/>
      <c r="N43" s="2142"/>
      <c r="O43" s="2153"/>
      <c r="P43" s="3358" t="str">
        <f>A43</f>
        <v>成交单价</v>
      </c>
      <c r="Q43" s="3358"/>
      <c r="R43" s="3359">
        <f>E43</f>
        <v>0</v>
      </c>
      <c r="S43" s="3359"/>
      <c r="T43" s="3359">
        <f>G43</f>
        <v>0</v>
      </c>
      <c r="U43" s="3359"/>
      <c r="V43" s="3359">
        <f>I43</f>
        <v>0</v>
      </c>
      <c r="W43" s="3359"/>
      <c r="X43" s="1562"/>
      <c r="Y43" s="1584"/>
      <c r="Z43" s="1562"/>
      <c r="AA43" s="1562"/>
      <c r="AB43" s="1562"/>
      <c r="AC43" s="1562"/>
    </row>
    <row r="44" spans="1:29" ht="15.75" thickBot="1">
      <c r="A44" s="618" t="s">
        <v>2703</v>
      </c>
      <c r="B44" s="619"/>
      <c r="C44" s="620" t="e">
        <f>R45</f>
        <v>#DIV/0!</v>
      </c>
      <c r="D44" s="621"/>
      <c r="E44" s="620" t="e">
        <f>R44</f>
        <v>#DIV/0!</v>
      </c>
      <c r="F44" s="622"/>
      <c r="G44" s="623" t="e">
        <f>T44</f>
        <v>#DIV/0!</v>
      </c>
      <c r="H44" s="621"/>
      <c r="I44" s="620" t="e">
        <f>V44</f>
        <v>#DIV/0!</v>
      </c>
      <c r="J44" s="621"/>
      <c r="K44" s="1343"/>
      <c r="L44" s="2152"/>
      <c r="M44" s="2142"/>
      <c r="N44" s="2142"/>
      <c r="O44" s="2153"/>
      <c r="P44" s="3358" t="str">
        <f>A44</f>
        <v>比较价格（元/平方米）</v>
      </c>
      <c r="Q44" s="3358"/>
      <c r="R44" s="3360" t="e">
        <f>ROUND(PRODUCT(R43,AA9:AA42),0)</f>
        <v>#DIV/0!</v>
      </c>
      <c r="S44" s="3360"/>
      <c r="T44" s="3360" t="e">
        <f>ROUND(PRODUCT(T43,AB9:AB42),0)</f>
        <v>#DIV/0!</v>
      </c>
      <c r="U44" s="3360"/>
      <c r="V44" s="3360" t="e">
        <f>ROUND(PRODUCT(V43,AC9:AC42),0)</f>
        <v>#DIV/0!</v>
      </c>
      <c r="W44" s="3360"/>
      <c r="X44" s="1562"/>
      <c r="Y44" s="1562"/>
      <c r="Z44" s="1562"/>
      <c r="AA44" s="1562"/>
      <c r="AB44" s="1562"/>
      <c r="AC44" s="1562"/>
    </row>
    <row r="45" spans="1:29" ht="15.75" thickBot="1">
      <c r="A45" s="624" t="s">
        <v>2936</v>
      </c>
      <c r="B45" s="625"/>
      <c r="C45" s="626" t="e">
        <f>R45</f>
        <v>#DIV/0!</v>
      </c>
      <c r="D45" s="626"/>
      <c r="E45" s="626"/>
      <c r="F45" s="626"/>
      <c r="G45" s="626"/>
      <c r="H45" s="626"/>
      <c r="I45" s="626"/>
      <c r="J45" s="626"/>
      <c r="K45" s="1344"/>
      <c r="L45" s="2152"/>
      <c r="M45" s="2142"/>
      <c r="N45" s="2142"/>
      <c r="O45" s="2153"/>
      <c r="P45" s="3355" t="str">
        <f>A45</f>
        <v>估价对象XX用房的比较价格（楼面单价，元/平方米）</v>
      </c>
      <c r="Q45" s="3356"/>
      <c r="R45" s="3357" t="e">
        <f>ROUND(AVERAGE(R44:V44),0)</f>
        <v>#DIV/0!</v>
      </c>
      <c r="S45" s="3357"/>
      <c r="T45" s="3357"/>
      <c r="U45" s="3357"/>
      <c r="V45" s="3357"/>
      <c r="W45" s="3357"/>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561</v>
      </c>
      <c r="B52" s="633" t="s">
        <v>562</v>
      </c>
      <c r="C52" s="1563" t="s">
        <v>1728</v>
      </c>
      <c r="D52" s="2235" t="s">
        <v>2297</v>
      </c>
      <c r="E52" s="634" t="s">
        <v>563</v>
      </c>
      <c r="F52" s="1955" t="s">
        <v>564</v>
      </c>
      <c r="G52" s="3403" t="s">
        <v>2288</v>
      </c>
      <c r="H52" s="3404"/>
      <c r="I52" s="1956" t="s">
        <v>1952</v>
      </c>
      <c r="J52" s="1558" t="str">
        <f>项目基本情况!F41</f>
        <v>贵州省</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6" t="s">
        <v>565</v>
      </c>
      <c r="B53" s="637" t="e">
        <f>C45</f>
        <v>#DIV/0!</v>
      </c>
      <c r="C53" s="638">
        <v>1</v>
      </c>
      <c r="D53" s="2236">
        <v>1</v>
      </c>
      <c r="E53" s="638">
        <f>'数据-汇总表'!E8+'数据-汇总表'!E9</f>
        <v>258502.2</v>
      </c>
      <c r="F53" s="1954" t="e">
        <f t="shared" ref="F53:F62" si="15">ROUND(B53*E53/10000,0)</f>
        <v>#DIV/0!</v>
      </c>
      <c r="G53" s="3405"/>
      <c r="H53" s="3406"/>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40" t="s">
        <v>566</v>
      </c>
      <c r="B54" s="641" t="e">
        <f>ROUND($C$45*C54*D54,0)</f>
        <v>#DIV/0!</v>
      </c>
      <c r="C54" s="381">
        <f t="shared" ref="C54:C62" si="16">IF($C$52="北京市系数",I54,J54)</f>
        <v>0</v>
      </c>
      <c r="D54" s="2237">
        <v>0.25</v>
      </c>
      <c r="E54" s="642"/>
      <c r="F54" s="1954" t="e">
        <f t="shared" si="15"/>
        <v>#DIV/0!</v>
      </c>
      <c r="G54" s="3407" t="s">
        <v>2289</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40" t="s">
        <v>567</v>
      </c>
      <c r="B55" s="641" t="e">
        <f t="shared" ref="B55:B62" si="17">ROUND($C$45*C55*D55,0)</f>
        <v>#DIV/0!</v>
      </c>
      <c r="C55" s="381">
        <f t="shared" si="16"/>
        <v>0</v>
      </c>
      <c r="D55" s="2237">
        <v>0.25</v>
      </c>
      <c r="E55" s="642"/>
      <c r="F55" s="1954" t="e">
        <f t="shared" si="15"/>
        <v>#DIV/0!</v>
      </c>
      <c r="G55" s="3407"/>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40" t="s">
        <v>568</v>
      </c>
      <c r="B56" s="641" t="e">
        <f t="shared" si="17"/>
        <v>#DIV/0!</v>
      </c>
      <c r="C56" s="381">
        <f t="shared" si="16"/>
        <v>0</v>
      </c>
      <c r="D56" s="2237">
        <v>0.25</v>
      </c>
      <c r="E56" s="642"/>
      <c r="F56" s="1954" t="e">
        <f t="shared" si="15"/>
        <v>#DIV/0!</v>
      </c>
      <c r="G56" s="3407"/>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40" t="s">
        <v>569</v>
      </c>
      <c r="B57" s="641" t="e">
        <f t="shared" si="17"/>
        <v>#DIV/0!</v>
      </c>
      <c r="C57" s="381">
        <f t="shared" si="16"/>
        <v>0</v>
      </c>
      <c r="D57" s="2237">
        <v>0.25</v>
      </c>
      <c r="E57" s="642"/>
      <c r="F57" s="1954" t="e">
        <f t="shared" si="15"/>
        <v>#DIV/0!</v>
      </c>
      <c r="G57" s="3407"/>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9" t="s">
        <v>2332</v>
      </c>
      <c r="B58" s="641" t="e">
        <f t="shared" si="17"/>
        <v>#DIV/0!</v>
      </c>
      <c r="C58" s="381">
        <f t="shared" si="16"/>
        <v>0</v>
      </c>
      <c r="D58" s="2237">
        <v>0.25</v>
      </c>
      <c r="E58" s="644">
        <f>'数据-汇总表'!E11</f>
        <v>0</v>
      </c>
      <c r="F58" s="1954" t="e">
        <f t="shared" si="15"/>
        <v>#DIV/0!</v>
      </c>
      <c r="G58" s="1960" t="s">
        <v>2290</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570</v>
      </c>
      <c r="B59" s="641" t="e">
        <f t="shared" si="17"/>
        <v>#DIV/0!</v>
      </c>
      <c r="C59" s="381">
        <f t="shared" si="16"/>
        <v>0</v>
      </c>
      <c r="D59" s="2237">
        <v>0.25</v>
      </c>
      <c r="E59" s="644">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571</v>
      </c>
      <c r="B60" s="641" t="e">
        <f t="shared" si="17"/>
        <v>#DIV/0!</v>
      </c>
      <c r="C60" s="381">
        <f t="shared" si="16"/>
        <v>0</v>
      </c>
      <c r="D60" s="2237">
        <v>0.25</v>
      </c>
      <c r="E60" s="644">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572</v>
      </c>
      <c r="B61" s="641" t="e">
        <f t="shared" si="17"/>
        <v>#DIV/0!</v>
      </c>
      <c r="C61" s="381">
        <f t="shared" si="16"/>
        <v>0</v>
      </c>
      <c r="D61" s="2237">
        <v>0.25</v>
      </c>
      <c r="E61" s="644">
        <f>'数据-汇总表'!E14</f>
        <v>0</v>
      </c>
      <c r="F61" s="1954" t="e">
        <f t="shared" si="15"/>
        <v>#DIV/0!</v>
      </c>
      <c r="G61" s="1960" t="s">
        <v>2289</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40" t="s">
        <v>573</v>
      </c>
      <c r="B62" s="641" t="e">
        <f t="shared" si="17"/>
        <v>#DIV/0!</v>
      </c>
      <c r="C62" s="381">
        <f t="shared" si="16"/>
        <v>0</v>
      </c>
      <c r="D62" s="2237">
        <v>0.25</v>
      </c>
      <c r="E62" s="644">
        <f>'数据-汇总表'!E15</f>
        <v>0</v>
      </c>
      <c r="F62" s="1954" t="e">
        <f t="shared" si="15"/>
        <v>#DIV/0!</v>
      </c>
      <c r="G62" s="1961" t="s">
        <v>2290</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5" t="s">
        <v>574</v>
      </c>
      <c r="B63" s="646" t="s">
        <v>17</v>
      </c>
      <c r="C63" s="646" t="s">
        <v>18</v>
      </c>
      <c r="D63" s="646" t="s">
        <v>2298</v>
      </c>
      <c r="E63" s="646">
        <f>IF(B43="楼面地价",SUM(E53:E62),'数据-汇总表'!D3)</f>
        <v>117501</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2017-9-1</v>
      </c>
      <c r="D65" s="2836">
        <f>EDATE(C65,-3)</f>
        <v>42887</v>
      </c>
      <c r="E65" s="2836">
        <f t="shared" ref="E65:N65" si="18">EDATE(D65,-3)</f>
        <v>42795</v>
      </c>
      <c r="F65" s="2836">
        <f t="shared" si="18"/>
        <v>42705</v>
      </c>
      <c r="G65" s="2836">
        <f t="shared" si="18"/>
        <v>42614</v>
      </c>
      <c r="H65" s="2836">
        <f t="shared" si="18"/>
        <v>42522</v>
      </c>
      <c r="I65" s="2836">
        <f t="shared" si="18"/>
        <v>42430</v>
      </c>
      <c r="J65" s="2836">
        <f t="shared" si="18"/>
        <v>42339</v>
      </c>
      <c r="K65" s="2836">
        <f t="shared" si="18"/>
        <v>42248</v>
      </c>
      <c r="L65" s="2836">
        <f t="shared" si="18"/>
        <v>42156</v>
      </c>
      <c r="M65" s="2836">
        <f t="shared" si="18"/>
        <v>42064</v>
      </c>
      <c r="N65" s="2836">
        <f t="shared" si="18"/>
        <v>41974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9" customFormat="1" ht="15">
      <c r="A67" s="2601" t="s">
        <v>2540</v>
      </c>
      <c r="B67" s="649"/>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2" customFormat="1" ht="27.75" customHeight="1">
      <c r="A68" s="2835" t="s">
        <v>2659</v>
      </c>
      <c r="B68" s="482" t="str">
        <f>"北京市平均增长率"&amp;TEXT(基准地价!P24,"0.00%")</f>
        <v>北京市平均增长率1.37%</v>
      </c>
      <c r="C68" s="897">
        <v>100</v>
      </c>
      <c r="D68" s="733"/>
      <c r="E68" s="733"/>
      <c r="F68" s="733"/>
      <c r="G68" s="733"/>
      <c r="H68" s="733"/>
      <c r="I68" s="733"/>
      <c r="J68" s="733"/>
      <c r="K68" s="733"/>
      <c r="L68" s="733"/>
      <c r="M68" s="2829"/>
      <c r="N68" s="2830"/>
      <c r="O68" s="2170"/>
      <c r="P68" s="2166"/>
      <c r="Q68" s="1997"/>
      <c r="R68" s="1997"/>
      <c r="S68" s="1997"/>
      <c r="T68" s="1997"/>
      <c r="U68" s="1997"/>
      <c r="V68" s="1997"/>
      <c r="W68" s="1997"/>
      <c r="X68" s="1997"/>
      <c r="Y68" s="1997"/>
      <c r="Z68" s="1997"/>
      <c r="AA68" s="1997"/>
      <c r="AB68" s="1997"/>
      <c r="AC68" s="1997"/>
    </row>
    <row r="69" spans="1:29" s="1222" customFormat="1" ht="15.75" thickBot="1">
      <c r="A69" s="656" t="s">
        <v>576</v>
      </c>
      <c r="B69" s="657"/>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2" customFormat="1" ht="15">
      <c r="A70" s="662" t="s">
        <v>532</v>
      </c>
      <c r="B70" s="651"/>
      <c r="C70" s="663" t="s">
        <v>577</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538</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1"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1"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1"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1"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540</v>
      </c>
      <c r="B85" s="668" t="s">
        <v>603</v>
      </c>
      <c r="C85" s="706" t="s">
        <v>580</v>
      </c>
      <c r="D85" s="706" t="s">
        <v>581</v>
      </c>
      <c r="E85" s="706" t="s">
        <v>582</v>
      </c>
      <c r="F85" s="706" t="s">
        <v>583</v>
      </c>
      <c r="G85" s="706" t="s">
        <v>584</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587</v>
      </c>
      <c r="C87" s="711" t="s">
        <v>580</v>
      </c>
      <c r="D87" s="711" t="s">
        <v>581</v>
      </c>
      <c r="E87" s="711" t="s">
        <v>582</v>
      </c>
      <c r="F87" s="711" t="s">
        <v>583</v>
      </c>
      <c r="G87" s="711" t="s">
        <v>584</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1" customFormat="1" ht="15.75" thickTop="1">
      <c r="A93" s="690"/>
      <c r="B93" s="1900" t="s">
        <v>2555</v>
      </c>
      <c r="C93" s="706" t="s">
        <v>580</v>
      </c>
      <c r="D93" s="706" t="s">
        <v>581</v>
      </c>
      <c r="E93" s="706" t="s">
        <v>582</v>
      </c>
      <c r="F93" s="706" t="s">
        <v>583</v>
      </c>
      <c r="G93" s="706" t="s">
        <v>584</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1" customFormat="1" ht="15.75" thickTop="1">
      <c r="A95" s="690"/>
      <c r="B95" s="2630" t="s">
        <v>2557</v>
      </c>
      <c r="C95" s="2631" t="s">
        <v>2558</v>
      </c>
      <c r="D95" s="2631" t="s">
        <v>2559</v>
      </c>
      <c r="E95" s="2631" t="s">
        <v>2560</v>
      </c>
      <c r="F95" s="2631" t="s">
        <v>2561</v>
      </c>
      <c r="G95" s="2631" t="s">
        <v>2562</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3"/>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590</v>
      </c>
      <c r="D97" s="677" t="s">
        <v>591</v>
      </c>
      <c r="E97" s="677" t="s">
        <v>592</v>
      </c>
      <c r="F97" s="677" t="s">
        <v>593</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549</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550</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6" t="str">
        <f t="shared" si="25"/>
        <v>(含)-</v>
      </c>
      <c r="L109" s="3127" t="str">
        <f t="shared" si="25"/>
        <v>(含)-</v>
      </c>
      <c r="M109" s="3128"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595</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1"/>
      <c r="B114" s="1900" t="s">
        <v>2430</v>
      </c>
      <c r="C114" s="1379"/>
      <c r="D114" s="1379"/>
      <c r="E114" s="1379"/>
      <c r="F114" s="1379"/>
      <c r="G114" s="1379"/>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597</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1698</v>
      </c>
      <c r="B1" s="1403"/>
      <c r="C1" s="1409" t="s">
        <v>2431</v>
      </c>
      <c r="D1" s="1524">
        <f>SUM(D29:D30,D33:D39)</f>
        <v>0</v>
      </c>
      <c r="E1" s="1409" t="s">
        <v>2432</v>
      </c>
      <c r="F1" s="2485"/>
      <c r="G1" s="1404"/>
      <c r="H1" s="1404"/>
      <c r="I1" s="1404"/>
      <c r="J1" s="1404"/>
      <c r="K1" s="1404"/>
      <c r="L1" s="1886" t="s">
        <v>2242</v>
      </c>
      <c r="M1" s="1887">
        <f>SUMPRODUCT((区片价!B5:B9=I2)*(区片价!C3:F3=E2)*(区片价!C5:F9))</f>
        <v>0</v>
      </c>
      <c r="N1" s="1888">
        <f>SUMPRODUCT((因素修正幅度!B5:B9=I2)*(因素修正幅度!C3:F3=E2)*(因素修正幅度!C5:F9))</f>
        <v>0</v>
      </c>
      <c r="O1" s="2197"/>
      <c r="P1" s="2197"/>
      <c r="Q1" s="2197"/>
      <c r="R1" s="2973" t="s">
        <v>2772</v>
      </c>
      <c r="S1" s="2973" t="s">
        <v>2773</v>
      </c>
      <c r="T1" s="2973" t="s">
        <v>2794</v>
      </c>
      <c r="U1" s="2973" t="s">
        <v>2795</v>
      </c>
      <c r="V1" s="2973" t="s">
        <v>2796</v>
      </c>
      <c r="W1" s="2197"/>
      <c r="X1" s="2197"/>
      <c r="Y1" s="2197"/>
      <c r="Z1" s="2197"/>
      <c r="AA1" s="2197"/>
      <c r="AB1" s="2197"/>
      <c r="AC1" s="2198"/>
    </row>
    <row r="2" spans="1:39" ht="15.75">
      <c r="A2" s="1409" t="s">
        <v>923</v>
      </c>
      <c r="B2" s="1040" t="e">
        <f>C26</f>
        <v>#DIV/0!</v>
      </c>
      <c r="C2" s="1410" t="s">
        <v>924</v>
      </c>
      <c r="D2" s="1411" t="s">
        <v>925</v>
      </c>
      <c r="E2" s="1412"/>
      <c r="F2" s="1411" t="s">
        <v>927</v>
      </c>
      <c r="G2" s="1655">
        <f>IF(E2="商业",项目基本情况!B43,IF(E2="办公",项目基本情况!C43,IF(E2="住宅",项目基本情况!D43,项目基本情况!E43)))</f>
        <v>0</v>
      </c>
      <c r="H2" s="1411" t="s">
        <v>929</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4" t="s">
        <v>1691</v>
      </c>
      <c r="B3" s="1040" t="e">
        <f>ROUND(B2*10000/D1,0)</f>
        <v>#DIV/0!</v>
      </c>
      <c r="C3" s="1410" t="s">
        <v>930</v>
      </c>
      <c r="D3" s="1411" t="s">
        <v>931</v>
      </c>
      <c r="E3" s="1415"/>
      <c r="F3" s="1416" t="s">
        <v>2937</v>
      </c>
      <c r="G3" s="1041">
        <f>IF(F3="宗地容积率",'数据-汇总表'!I4,IF(F3="估价对象容积率",'数据-汇总表'!I6,'数据-汇总表'!I7))</f>
        <v>2.2000000000000002</v>
      </c>
      <c r="H3" s="1417" t="s">
        <v>932</v>
      </c>
      <c r="I3" s="1042">
        <v>8</v>
      </c>
      <c r="J3" s="1413" t="s">
        <v>933</v>
      </c>
      <c r="K3" s="1404"/>
      <c r="L3" s="1889" t="s">
        <v>2244</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2284</v>
      </c>
      <c r="B4" s="2486"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1828</v>
      </c>
      <c r="B5" s="1418" t="s">
        <v>934</v>
      </c>
      <c r="C5" s="1043" t="e">
        <f>ROUND(IF(E2="商业",IF(F16="增加",C6*C7+C16,C6*C7-C16),IF(E2="住宅",IF(F16="增加",C6*C12+C16,C6*C12-C16),IF(F16="增加",C6+C16,C6-C16))),0)</f>
        <v>#DIV/0!</v>
      </c>
      <c r="D5" s="3158">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4">
        <f>SUMIF(L1:L12,基准地价!G2,M1:M12)</f>
        <v>0</v>
      </c>
      <c r="D6" s="1426" t="s">
        <v>1699</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417" t="str">
        <f>IF(E2="商业",IF(C8="不临58条商业街","",2),"")</f>
        <v/>
      </c>
      <c r="B7" s="1430" t="s">
        <v>935</v>
      </c>
      <c r="C7" s="1045" t="e">
        <f>IF(C8="不临58条商业街",1,ROUND(1+(1.6*E8+1.2*E9+0.8*E10+0.4*E11)*C9,4))</f>
        <v>#DIV/0!</v>
      </c>
      <c r="D7" s="1431" t="s">
        <v>936</v>
      </c>
      <c r="E7" s="1046"/>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2775</v>
      </c>
      <c r="X7" s="2964">
        <f>G2</f>
        <v>0</v>
      </c>
      <c r="Y7" s="2964" t="s">
        <v>2776</v>
      </c>
      <c r="Z7" s="2965">
        <f>G3</f>
        <v>2.2000000000000002</v>
      </c>
      <c r="AA7" s="2200"/>
      <c r="AB7" s="2200"/>
      <c r="AC7" s="2201"/>
      <c r="AD7" s="2966"/>
      <c r="AE7" s="2966"/>
      <c r="AF7" s="2966"/>
      <c r="AG7" s="2966"/>
      <c r="AH7" s="2966"/>
      <c r="AI7" s="2966"/>
      <c r="AJ7" s="2967"/>
    </row>
    <row r="8" spans="1:39" ht="15">
      <c r="A8" s="3418"/>
      <c r="B8" s="1417" t="s">
        <v>937</v>
      </c>
      <c r="C8" s="1532"/>
      <c r="D8" s="1047" t="s">
        <v>938</v>
      </c>
      <c r="E8" s="1048" t="e">
        <f>ROUND(C11/E7,4)</f>
        <v>#DIV/0!</v>
      </c>
      <c r="F8" s="1435" t="s">
        <v>939</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409" t="s">
        <v>2793</v>
      </c>
      <c r="X8" s="3410"/>
      <c r="Y8" s="1853" t="s">
        <v>2777</v>
      </c>
      <c r="Z8" s="1853" t="s">
        <v>2778</v>
      </c>
      <c r="AA8" s="1853" t="s">
        <v>2779</v>
      </c>
      <c r="AB8" s="1853" t="s">
        <v>2780</v>
      </c>
      <c r="AC8" s="1853" t="s">
        <v>2781</v>
      </c>
      <c r="AD8" s="1853" t="s">
        <v>2782</v>
      </c>
      <c r="AE8" s="1853" t="s">
        <v>2783</v>
      </c>
      <c r="AF8" s="1853" t="s">
        <v>2784</v>
      </c>
      <c r="AG8" s="1853" t="s">
        <v>2785</v>
      </c>
      <c r="AH8" s="1853" t="s">
        <v>2786</v>
      </c>
      <c r="AI8" s="1853" t="s">
        <v>2787</v>
      </c>
      <c r="AJ8" s="1853" t="s">
        <v>2788</v>
      </c>
    </row>
    <row r="9" spans="1:39" ht="15">
      <c r="A9" s="3418"/>
      <c r="B9" s="1417" t="s">
        <v>940</v>
      </c>
      <c r="C9" s="1049">
        <f>SUMIF(修正!C59:C119,C8,修正!E59:E119)</f>
        <v>0</v>
      </c>
      <c r="D9" s="1050" t="s">
        <v>941</v>
      </c>
      <c r="E9" s="1050" t="e">
        <f>ROUND(C11/E7,4)</f>
        <v>#DIV/0!</v>
      </c>
      <c r="F9" s="1435" t="s">
        <v>942</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408" t="s">
        <v>2789</v>
      </c>
      <c r="X9" s="2968" t="s">
        <v>2790</v>
      </c>
      <c r="Y9" s="3132"/>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18"/>
      <c r="B10" s="1417" t="s">
        <v>943</v>
      </c>
      <c r="C10" s="1050">
        <f>SUMIF(修正!C59:C119,C8,修正!F59:F119)</f>
        <v>0</v>
      </c>
      <c r="D10" s="1050" t="s">
        <v>944</v>
      </c>
      <c r="E10" s="1050" t="e">
        <f>ROUND(C11/E7,4)</f>
        <v>#DIV/0!</v>
      </c>
      <c r="F10" s="1435" t="s">
        <v>945</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408"/>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18"/>
      <c r="B11" s="1438" t="s">
        <v>946</v>
      </c>
      <c r="C11" s="1051">
        <f>C10/4</f>
        <v>0</v>
      </c>
      <c r="D11" s="1051" t="s">
        <v>947</v>
      </c>
      <c r="E11" s="1051" t="e">
        <f>ROUND(C11/E7,4)</f>
        <v>#DIV/0!</v>
      </c>
      <c r="F11" s="1439" t="s">
        <v>948</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408" t="s">
        <v>2791</v>
      </c>
      <c r="X11" s="1050" t="s">
        <v>2776</v>
      </c>
      <c r="Y11" s="1656">
        <f>$G$3</f>
        <v>2.2000000000000002</v>
      </c>
      <c r="Z11" s="1656">
        <f t="shared" ref="Z11:AJ11" si="3">$G$3</f>
        <v>2.2000000000000002</v>
      </c>
      <c r="AA11" s="1656">
        <f t="shared" si="3"/>
        <v>2.2000000000000002</v>
      </c>
      <c r="AB11" s="1656">
        <f t="shared" si="3"/>
        <v>2.2000000000000002</v>
      </c>
      <c r="AC11" s="1656">
        <f t="shared" si="3"/>
        <v>2.2000000000000002</v>
      </c>
      <c r="AD11" s="1656">
        <f t="shared" si="3"/>
        <v>2.2000000000000002</v>
      </c>
      <c r="AE11" s="1656">
        <f t="shared" si="3"/>
        <v>2.2000000000000002</v>
      </c>
      <c r="AF11" s="1656">
        <f t="shared" si="3"/>
        <v>2.2000000000000002</v>
      </c>
      <c r="AG11" s="1656">
        <f t="shared" si="3"/>
        <v>2.2000000000000002</v>
      </c>
      <c r="AH11" s="1656">
        <f t="shared" si="3"/>
        <v>2.2000000000000002</v>
      </c>
      <c r="AI11" s="1656">
        <f t="shared" si="3"/>
        <v>2.2000000000000002</v>
      </c>
      <c r="AJ11" s="1656">
        <f t="shared" si="3"/>
        <v>2.2000000000000002</v>
      </c>
    </row>
    <row r="12" spans="1:39" ht="25.5" thickBot="1">
      <c r="A12" s="3417" t="s">
        <v>1876</v>
      </c>
      <c r="B12" s="1442" t="s">
        <v>949</v>
      </c>
      <c r="C12" s="1045">
        <f>ROUND(C15*D15*E15*F15*G15*H15*I15*J15,4)</f>
        <v>1</v>
      </c>
      <c r="D12" s="1443" t="s">
        <v>950</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408"/>
      <c r="X12" s="2971" t="s">
        <v>2792</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19"/>
      <c r="B13" s="1447" t="s">
        <v>1700</v>
      </c>
      <c r="C13" s="1448" t="s">
        <v>1701</v>
      </c>
      <c r="D13" s="1091" t="s">
        <v>1702</v>
      </c>
      <c r="E13" s="1091" t="s">
        <v>1703</v>
      </c>
      <c r="F13" s="1449" t="s">
        <v>951</v>
      </c>
      <c r="G13" s="1450" t="s">
        <v>1646</v>
      </c>
      <c r="H13" s="1451" t="s">
        <v>1646</v>
      </c>
      <c r="I13" s="1452" t="s">
        <v>1646</v>
      </c>
      <c r="J13" s="1453" t="s">
        <v>1646</v>
      </c>
      <c r="K13" s="1404"/>
      <c r="L13" s="2197"/>
      <c r="M13" s="2197"/>
      <c r="N13" s="2197"/>
      <c r="O13" s="2197"/>
      <c r="P13" s="2197"/>
      <c r="Q13" s="2197"/>
      <c r="R13" s="2974">
        <v>12</v>
      </c>
      <c r="S13" s="2963"/>
      <c r="T13" s="2974" t="e">
        <f t="shared" si="0"/>
        <v>#DIV/0!</v>
      </c>
      <c r="U13" s="2963"/>
      <c r="V13" s="2974" t="e">
        <f t="shared" si="1"/>
        <v>#DIV/0!</v>
      </c>
      <c r="W13" s="3408"/>
      <c r="X13" s="2971"/>
      <c r="Y13" s="2970">
        <f>(-0.163*(Y12^2)-0.59*Y12+7617)*(10^(-4))/Y11</f>
        <v>0.34622727272727272</v>
      </c>
      <c r="Z13" s="2970">
        <f t="shared" ref="Z13:AJ13" si="5">(-0.163*(Z12^2)-0.59*Z12+7617)*(10^(-4))/Z11</f>
        <v>0.34622727272727272</v>
      </c>
      <c r="AA13" s="2970">
        <f t="shared" si="5"/>
        <v>0.34622727272727272</v>
      </c>
      <c r="AB13" s="2970">
        <f t="shared" si="5"/>
        <v>0.34622727272727272</v>
      </c>
      <c r="AC13" s="2970">
        <f t="shared" si="5"/>
        <v>0.34622727272727272</v>
      </c>
      <c r="AD13" s="2970">
        <f t="shared" si="5"/>
        <v>0.34622727272727272</v>
      </c>
      <c r="AE13" s="2970">
        <f t="shared" si="5"/>
        <v>0.34622727272727272</v>
      </c>
      <c r="AF13" s="2970">
        <f t="shared" si="5"/>
        <v>0.34622727272727272</v>
      </c>
      <c r="AG13" s="2970">
        <f t="shared" si="5"/>
        <v>0.34622727272727272</v>
      </c>
      <c r="AH13" s="2970">
        <f t="shared" si="5"/>
        <v>0.34622727272727272</v>
      </c>
      <c r="AI13" s="2970">
        <f t="shared" si="5"/>
        <v>0.34622727272727272</v>
      </c>
      <c r="AJ13" s="2970">
        <f t="shared" si="5"/>
        <v>0.34622727272727272</v>
      </c>
    </row>
    <row r="14" spans="1:39" ht="12.75" customHeight="1" thickBot="1">
      <c r="A14" s="3419"/>
      <c r="B14" s="1454"/>
      <c r="C14" s="1455"/>
      <c r="D14" s="1456"/>
      <c r="E14" s="1456"/>
      <c r="F14" s="1457"/>
      <c r="G14" s="1458" t="s">
        <v>952</v>
      </c>
      <c r="H14" s="1459"/>
      <c r="I14" s="1460"/>
      <c r="J14" s="1461"/>
      <c r="K14" s="1404"/>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20"/>
      <c r="B15" s="1462" t="s">
        <v>1704</v>
      </c>
      <c r="C15" s="1053">
        <f>IF(C14="有",1.1,1)</f>
        <v>1</v>
      </c>
      <c r="D15" s="1053">
        <f>IF(D14="有",1.1,1)</f>
        <v>1</v>
      </c>
      <c r="E15" s="1053">
        <f>IF(E14="有",1.1,1)</f>
        <v>1</v>
      </c>
      <c r="F15" s="1053">
        <f>IF(F14="500米范围内",1.2,IF(F14="500-1000米",1.1,1))</f>
        <v>1</v>
      </c>
      <c r="G15" s="1054">
        <v>1</v>
      </c>
      <c r="H15" s="1054">
        <v>1</v>
      </c>
      <c r="I15" s="1054">
        <v>1</v>
      </c>
      <c r="J15" s="1055">
        <v>1</v>
      </c>
      <c r="K15" s="1404"/>
      <c r="L15" s="1601" t="s">
        <v>901</v>
      </c>
      <c r="M15" s="1431" t="s">
        <v>987</v>
      </c>
      <c r="N15" s="1431" t="s">
        <v>988</v>
      </c>
      <c r="O15" s="1431" t="s">
        <v>905</v>
      </c>
      <c r="P15" s="1479" t="s">
        <v>989</v>
      </c>
      <c r="Q15" s="2197"/>
      <c r="R15" s="2974">
        <v>14</v>
      </c>
      <c r="S15" s="2963"/>
      <c r="T15" s="2974" t="e">
        <f t="shared" si="0"/>
        <v>#DIV/0!</v>
      </c>
      <c r="U15" s="2963"/>
      <c r="V15" s="2974" t="e">
        <f t="shared" si="1"/>
        <v>#DIV/0!</v>
      </c>
      <c r="W15" s="2197"/>
      <c r="X15" s="2197"/>
      <c r="Y15" s="2197"/>
      <c r="Z15" s="2197"/>
      <c r="AA15" s="2197"/>
      <c r="AB15" s="2197"/>
      <c r="AC15" s="2198"/>
    </row>
    <row r="16" spans="1:39" ht="24">
      <c r="A16" s="3417" t="s">
        <v>1843</v>
      </c>
      <c r="B16" s="1430" t="s">
        <v>953</v>
      </c>
      <c r="C16" s="1056" t="e">
        <f>ROUND(SUM(G17:J17)/C17,0)</f>
        <v>#DIV/0!</v>
      </c>
      <c r="D16" s="1463" t="s">
        <v>954</v>
      </c>
      <c r="E16" s="1464"/>
      <c r="F16" s="1465"/>
      <c r="G16" s="1466"/>
      <c r="H16" s="1466"/>
      <c r="I16" s="1466"/>
      <c r="J16" s="1466"/>
      <c r="K16" s="1404"/>
      <c r="L16" s="1467" t="s">
        <v>991</v>
      </c>
      <c r="M16" s="1049">
        <v>0.25</v>
      </c>
      <c r="N16" s="1049">
        <v>0.2</v>
      </c>
      <c r="O16" s="1049">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18"/>
      <c r="B17" s="1468" t="s">
        <v>956</v>
      </c>
      <c r="C17" s="1057">
        <f>SUMPRODUCT((修正!A2:A5=E2)*(修正!B1:M1=G2)*(修正!B2:M5))</f>
        <v>0</v>
      </c>
      <c r="D17" s="1470" t="s">
        <v>957</v>
      </c>
      <c r="E17" s="1471" t="str">
        <f>IF(OR(G2="八级",G2="九级",G2="十级",G2="十一级",G2="十二级"),"五通一平","七通一平")</f>
        <v>七通一平</v>
      </c>
      <c r="F17" s="1469"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4" customFormat="1" ht="15.75" thickBot="1">
      <c r="A18" s="1644" t="s">
        <v>1834</v>
      </c>
      <c r="B18" s="2809" t="s">
        <v>959</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6"/>
      <c r="AI18" s="1406"/>
      <c r="AJ18" s="1407"/>
      <c r="AK18" s="1407"/>
      <c r="AL18" s="1407"/>
    </row>
    <row r="19" spans="1:40" s="1424" customFormat="1" ht="27.75" thickBot="1">
      <c r="A19" s="1643" t="s">
        <v>1840</v>
      </c>
      <c r="B19" s="1473" t="s">
        <v>960</v>
      </c>
      <c r="C19" s="1059" t="e">
        <f>ROUND(IF(H19="按公示增长率计算",SUMPRODUCT((地价!A3:A19=YEAR(G19)&amp;"-"&amp;ROUNDUP(MONTH(G19)/3,0))*(地价!X2:AB2=E2)*(地价!X3:AB19)),IF(H19="地价指数",M20/M19,(1+I19)^O19)),4)</f>
        <v>#DIV/0!</v>
      </c>
      <c r="D19" s="1477" t="s">
        <v>961</v>
      </c>
      <c r="E19" s="1060">
        <v>41640</v>
      </c>
      <c r="F19" s="1477" t="s">
        <v>962</v>
      </c>
      <c r="G19" s="1061">
        <f>'数据-取费表'!B2</f>
        <v>42997</v>
      </c>
      <c r="H19" s="1478" t="s">
        <v>2938</v>
      </c>
      <c r="I19" s="2821" t="str">
        <f>IF(H19="季度增幅（自定义）",SUMIF(N21:N24,E2,O21:O24),"")</f>
        <v/>
      </c>
      <c r="J19" s="1474"/>
      <c r="K19" s="1484"/>
      <c r="L19" s="3075" t="s">
        <v>2851</v>
      </c>
      <c r="M19" s="3076">
        <f>ROUND(SUMIF(地价!B2:F2,E2,地价!B19:F19),0)</f>
        <v>0</v>
      </c>
      <c r="N19" s="2823" t="s">
        <v>1680</v>
      </c>
      <c r="O19" s="2822">
        <f>ROUNDDOWN(DATEDIF(E19,G19,"M")/3,0)</f>
        <v>14</v>
      </c>
      <c r="P19" s="1599"/>
      <c r="R19" s="2962"/>
      <c r="S19" s="2962"/>
      <c r="T19" s="2962"/>
      <c r="U19" s="2962"/>
      <c r="V19" s="2962"/>
      <c r="W19" s="2203"/>
      <c r="X19" s="2203"/>
      <c r="Y19" s="2203"/>
      <c r="Z19" s="2203"/>
      <c r="AA19" s="2203"/>
      <c r="AB19" s="2203"/>
      <c r="AC19" s="2203"/>
      <c r="AD19" s="1406"/>
      <c r="AE19" s="1406"/>
      <c r="AF19" s="1406"/>
      <c r="AG19" s="1406"/>
      <c r="AH19" s="1475"/>
      <c r="AI19" s="1476"/>
      <c r="AJ19" s="1480"/>
      <c r="AK19" s="1407"/>
      <c r="AL19" s="1423"/>
      <c r="AM19" s="1423"/>
      <c r="AN19" s="1423"/>
    </row>
    <row r="20" spans="1:40" s="1424" customFormat="1" ht="27.75" thickBot="1">
      <c r="A20" s="2815" t="s">
        <v>1841</v>
      </c>
      <c r="B20" s="2816" t="s">
        <v>975</v>
      </c>
      <c r="C20" s="2817" t="e">
        <f>ROUND(POWER(1+G20,J20-I20)*(POWER(1+G20,I20)-1)/(POWER(1+G20,J20)-1),4)</f>
        <v>#DIV/0!</v>
      </c>
      <c r="D20" s="2818" t="s">
        <v>976</v>
      </c>
      <c r="E20" s="3129">
        <f ca="1">存贷款利率!I4/100</f>
        <v>4.3499999999999997E-2</v>
      </c>
      <c r="F20" s="2818" t="s">
        <v>977</v>
      </c>
      <c r="G20" s="2819">
        <f>SUMIF(M15:P15,E2,M17:P17)</f>
        <v>0</v>
      </c>
      <c r="H20" s="2818" t="s">
        <v>978</v>
      </c>
      <c r="I20" s="2808" t="e">
        <f>SUMIF('数据-取费表'!C6:C15,E2,'数据-取费表'!F6:F15)/COUNTIF('数据-取费表'!C6:C15,E2)</f>
        <v>#DIV/0!</v>
      </c>
      <c r="J20" s="2820">
        <f>IF(E2="住宅",70,IF(E2="商业",40,50))</f>
        <v>50</v>
      </c>
      <c r="K20" s="1484"/>
      <c r="L20" s="3077" t="s">
        <v>2852</v>
      </c>
      <c r="M20" s="3078">
        <f>ROUND(SUMPRODUCT((地价!A4:A19=YEAR(G19)&amp;"-"&amp;ROUNDUP(MONTH(G19)/3,0))*(地价!B2:F2=E2)*(地价!B4:F19)),0)</f>
        <v>0</v>
      </c>
      <c r="N20" s="2826" t="s">
        <v>2655</v>
      </c>
      <c r="O20" s="2824" t="s">
        <v>2654</v>
      </c>
      <c r="P20" s="2825" t="s">
        <v>2660</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1842</v>
      </c>
      <c r="B21" s="1483" t="s">
        <v>2771</v>
      </c>
      <c r="C21" s="1160">
        <f>IF(B21="容积率修正",IF(G3&lt;=10,D22,J22),C23)</f>
        <v>0</v>
      </c>
      <c r="D21" s="1484"/>
      <c r="E21" s="1484"/>
      <c r="F21" s="1484"/>
      <c r="G21" s="1484"/>
      <c r="H21" s="1484"/>
      <c r="I21" s="1484"/>
      <c r="J21" s="1485"/>
      <c r="K21" s="1484"/>
      <c r="L21" s="1484"/>
      <c r="M21" s="1484"/>
      <c r="N21" s="1481" t="s">
        <v>979</v>
      </c>
      <c r="O21" s="1545"/>
      <c r="P21" s="2806">
        <f>SUMPRODUCT((地价!A3:A19=YEAR(G19)&amp;"-"&amp;ROUNDUP(MONTH(G19)/3,0))*(地价!AD2:AH2=N21)*(地价!AD3:AH19))</f>
        <v>1.6E-2</v>
      </c>
      <c r="R21" s="2962"/>
      <c r="S21" s="2962"/>
      <c r="T21" s="2962"/>
      <c r="U21" s="2962"/>
      <c r="V21" s="2962"/>
      <c r="W21" s="2203"/>
      <c r="X21" s="2203"/>
      <c r="Y21" s="2203"/>
      <c r="Z21" s="2203"/>
      <c r="AA21" s="2203"/>
      <c r="AB21" s="2203"/>
      <c r="AC21" s="2203"/>
      <c r="AD21" s="1406"/>
      <c r="AE21" s="1406"/>
      <c r="AF21" s="1406"/>
      <c r="AG21" s="1406"/>
      <c r="AH21" s="1475"/>
      <c r="AI21" s="1475"/>
    </row>
    <row r="22" spans="1:40" s="1424" customFormat="1" ht="14.25">
      <c r="A22" s="1646" t="s">
        <v>1875</v>
      </c>
      <c r="B22" s="1486" t="s">
        <v>980</v>
      </c>
      <c r="C22" s="1062" t="s">
        <v>1706</v>
      </c>
      <c r="D22" s="1062" t="b">
        <f>IF(E22=G22,F22,IF(G3&lt;=10,ROUND(F22+(H22-F22)*(G3-E22)/(G22-E22),4),"——"))</f>
        <v>0</v>
      </c>
      <c r="E22" s="1041">
        <f>ROUNDDOWN(G3,1)</f>
        <v>2.2000000000000002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2.2000000000000002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4"/>
      <c r="L22" s="1484"/>
      <c r="M22" s="1484"/>
      <c r="N22" s="1481" t="s">
        <v>982</v>
      </c>
      <c r="O22" s="1545"/>
      <c r="P22" s="2806">
        <f>SUMPRODUCT((地价!A3:A19=YEAR(G19)&amp;"-"&amp;ROUNDUP(MONTH(G19)/3,0))*(地价!AD2:AH2=N22)*(地价!AD3:AH19))</f>
        <v>1.6E-2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1876</v>
      </c>
      <c r="B23" s="1486" t="s">
        <v>983</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926</v>
      </c>
      <c r="O23" s="1545"/>
      <c r="P23" s="2806">
        <f>SUMPRODUCT((地价!A3:A19=YEAR(G19)&amp;"-"&amp;ROUNDUP(MONTH(G19)/3,0))*(地价!AD2:AH2=N23)*(地价!AD3:AH19))</f>
        <v>2.75E-2</v>
      </c>
      <c r="R23" s="2962"/>
      <c r="S23" s="2962"/>
      <c r="T23" s="2962"/>
      <c r="U23" s="2962"/>
      <c r="V23" s="2962"/>
      <c r="W23" s="2203"/>
      <c r="X23" s="2203"/>
      <c r="Y23" s="2203"/>
      <c r="Z23" s="2203"/>
      <c r="AA23" s="2203"/>
      <c r="AB23" s="2203"/>
      <c r="AC23" s="2203"/>
      <c r="AN23" s="1407"/>
    </row>
    <row r="24" spans="1:40" s="1424" customFormat="1" ht="15.75" thickBot="1">
      <c r="A24" s="1644" t="s">
        <v>1877</v>
      </c>
      <c r="B24" s="1418" t="s">
        <v>984</v>
      </c>
      <c r="C24" s="1064">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1.37E-2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4"/>
      <c r="L25" s="2203"/>
      <c r="M25" s="2203"/>
      <c r="N25" s="2834" t="s">
        <v>2658</v>
      </c>
      <c r="O25" s="2203"/>
      <c r="P25" s="1544">
        <f>SUMPRODUCT((地价!A3:A19=YEAR(G19)&amp;"-"&amp;ROUNDUP(MONTH(G19)/3,0))*(地价!AD2:AH2=N25)*(地价!AD3:AH19))</f>
        <v>2.46E-2</v>
      </c>
      <c r="R25" s="2962"/>
      <c r="S25" s="2962"/>
      <c r="T25" s="2962"/>
      <c r="U25" s="2962"/>
      <c r="V25" s="2962"/>
      <c r="W25" s="2203"/>
      <c r="X25" s="2203"/>
      <c r="Y25" s="2203"/>
      <c r="Z25" s="2203"/>
      <c r="AA25" s="2203"/>
      <c r="AB25" s="2203"/>
      <c r="AC25" s="2203"/>
    </row>
    <row r="26" spans="1:40" ht="14.25">
      <c r="A26" s="1492"/>
      <c r="B26" s="1486" t="s">
        <v>990</v>
      </c>
      <c r="C26" s="1065" t="e">
        <f>E29+SUM(E33:E39)</f>
        <v>#DIV/0!</v>
      </c>
      <c r="D26" s="1493"/>
      <c r="E26" s="1459"/>
      <c r="F26" s="1494"/>
      <c r="G26" s="1459"/>
      <c r="H26" s="1459"/>
      <c r="I26" s="1459"/>
      <c r="J26" s="1495"/>
      <c r="K26" s="1404"/>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992</v>
      </c>
      <c r="C27" s="1066" t="e">
        <f>E30+SUM(I33:I39)</f>
        <v>#DIV/0!</v>
      </c>
      <c r="D27" s="1497"/>
      <c r="E27" s="1498"/>
      <c r="F27" s="1499"/>
      <c r="G27" s="1498"/>
      <c r="H27" s="1498"/>
      <c r="I27" s="1498"/>
      <c r="J27" s="1500"/>
      <c r="K27" s="1404"/>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4"/>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997</v>
      </c>
      <c r="C29" s="1065" t="e">
        <f>ROUND(C5*C18*C19*C20*C21*C24,0)</f>
        <v>#DIV/0!</v>
      </c>
      <c r="D29" s="1507"/>
      <c r="E29" s="1853" t="e">
        <f>ROUND(C29*D29/10000,0)</f>
        <v>#DIV/0!</v>
      </c>
      <c r="F29" s="1508" t="s">
        <v>1705</v>
      </c>
      <c r="G29" s="1509"/>
      <c r="H29" s="1509"/>
      <c r="I29" s="1509"/>
      <c r="J29" s="1510"/>
      <c r="K29" s="1404"/>
      <c r="L29" s="2203"/>
      <c r="M29" s="2203"/>
      <c r="N29" s="2203"/>
      <c r="O29" s="2203"/>
      <c r="P29" s="2203"/>
      <c r="Q29" s="2203"/>
      <c r="R29" s="2962"/>
      <c r="S29" s="2962"/>
      <c r="T29" s="2962"/>
      <c r="U29" s="2962"/>
      <c r="V29" s="2962"/>
      <c r="W29" s="2203"/>
      <c r="X29" s="2203"/>
      <c r="Y29" s="2203"/>
      <c r="Z29" s="2203"/>
      <c r="AA29" s="2203"/>
      <c r="AB29" s="2203"/>
      <c r="AC29" s="2203"/>
      <c r="AH29" s="1405"/>
      <c r="AI29" s="1405"/>
      <c r="AJ29" s="1408"/>
      <c r="AK29" s="1408"/>
      <c r="AL29" s="1408"/>
      <c r="AM29" s="1408"/>
    </row>
    <row r="30" spans="1:40" ht="24.75" thickBot="1">
      <c r="A30" s="1511"/>
      <c r="B30" s="1512" t="s">
        <v>998</v>
      </c>
      <c r="C30" s="1053" t="e">
        <f>ROUND(IF(E2="工业",C29*M39,C29*M38),0)</f>
        <v>#DIV/0!</v>
      </c>
      <c r="D30" s="1513"/>
      <c r="E30" s="1853" t="e">
        <f>ROUND(C30*D30/10000,0)</f>
        <v>#DIV/0!</v>
      </c>
      <c r="F30" s="1514" t="s">
        <v>999</v>
      </c>
      <c r="G30" s="1515"/>
      <c r="H30" s="1515"/>
      <c r="I30" s="1515"/>
      <c r="J30" s="1516"/>
      <c r="K30" s="1404"/>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5"/>
      <c r="AI30" s="1405"/>
      <c r="AJ30" s="1408"/>
      <c r="AK30" s="1408"/>
      <c r="AL30" s="1408"/>
      <c r="AM30" s="1408"/>
    </row>
    <row r="31" spans="1:40">
      <c r="A31" s="1517"/>
      <c r="B31" s="1518" t="s">
        <v>1000</v>
      </c>
      <c r="C31" s="1519" t="s">
        <v>1001</v>
      </c>
      <c r="D31" s="1445"/>
      <c r="E31" s="1519"/>
      <c r="F31" s="1519"/>
      <c r="G31" s="1443" t="s">
        <v>999</v>
      </c>
      <c r="H31" s="1445"/>
      <c r="I31" s="1520"/>
      <c r="J31" s="1446"/>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5"/>
      <c r="B32" s="1521"/>
      <c r="C32" s="1522" t="s">
        <v>994</v>
      </c>
      <c r="D32" s="1523" t="s">
        <v>995</v>
      </c>
      <c r="E32" s="1523" t="s">
        <v>996</v>
      </c>
      <c r="F32" s="1524" t="s">
        <v>1002</v>
      </c>
      <c r="G32" s="1482" t="s">
        <v>994</v>
      </c>
      <c r="H32" s="1482" t="s">
        <v>995</v>
      </c>
      <c r="I32" s="1482" t="s">
        <v>996</v>
      </c>
      <c r="J32" s="1525"/>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3423" t="s">
        <v>2965</v>
      </c>
      <c r="B33" s="1527" t="s">
        <v>1003</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3424"/>
      <c r="B34" s="1448" t="s">
        <v>1004</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3424"/>
      <c r="B35" s="1448" t="s">
        <v>1005</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25"/>
      <c r="B36" s="1448" t="s">
        <v>1006</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52" t="s">
        <v>1010</v>
      </c>
      <c r="B44" s="2453"/>
      <c r="C44" s="2454"/>
      <c r="D44" s="2455"/>
      <c r="E44" s="2455"/>
      <c r="F44" s="2456"/>
      <c r="G44" s="1068"/>
      <c r="H44" s="2456"/>
      <c r="I44" s="1068"/>
      <c r="J44" s="1068"/>
      <c r="K44" s="1068"/>
      <c r="L44" s="1068"/>
      <c r="M44" s="1068"/>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7" t="s">
        <v>1011</v>
      </c>
      <c r="B45" s="2458">
        <f>1+E47</f>
        <v>1</v>
      </c>
      <c r="C45" s="2459"/>
      <c r="D45" s="2460"/>
      <c r="E45" s="2461"/>
      <c r="F45" s="2462"/>
      <c r="G45" s="2456"/>
      <c r="H45" s="2456"/>
      <c r="I45" s="1068"/>
      <c r="J45" s="1068"/>
      <c r="K45" s="1068"/>
      <c r="L45" s="1068"/>
      <c r="M45" s="1068"/>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9" t="s">
        <v>1012</v>
      </c>
      <c r="B46" s="2441" t="s">
        <v>1013</v>
      </c>
      <c r="C46" s="2463" t="s">
        <v>1014</v>
      </c>
      <c r="D46" s="2464" t="s">
        <v>1015</v>
      </c>
      <c r="E46" s="2465" t="s">
        <v>1017</v>
      </c>
      <c r="F46" s="2466" t="s">
        <v>2254</v>
      </c>
      <c r="G46" s="2464" t="s">
        <v>1018</v>
      </c>
      <c r="H46" s="2447" t="s">
        <v>2423</v>
      </c>
      <c r="I46" s="2464" t="s">
        <v>1016</v>
      </c>
      <c r="J46" s="2467" t="s">
        <v>1019</v>
      </c>
      <c r="K46" s="2467" t="s">
        <v>1020</v>
      </c>
      <c r="L46" s="2467" t="s">
        <v>1021</v>
      </c>
      <c r="M46" s="2467" t="s">
        <v>1022</v>
      </c>
      <c r="N46" s="2467" t="s">
        <v>1023</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24">
      <c r="A47" s="1069" t="s">
        <v>1024</v>
      </c>
      <c r="B47" s="2444" t="str">
        <f>估价对象房地状况!C16</f>
        <v>一般</v>
      </c>
      <c r="C47" s="1052"/>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14.25">
      <c r="A48" s="1069" t="s">
        <v>1025</v>
      </c>
      <c r="B48" s="2441" t="str">
        <f>估价对象房地状况!C18</f>
        <v>一般</v>
      </c>
      <c r="C48" s="1052"/>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9" t="s">
        <v>1026</v>
      </c>
      <c r="B49" s="2441" t="str">
        <f>估价对象房地状况!C19</f>
        <v>较好</v>
      </c>
      <c r="C49" s="1052"/>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9" t="s">
        <v>1027</v>
      </c>
      <c r="B50" s="3131" t="s">
        <v>2940</v>
      </c>
      <c r="C50" s="1052"/>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9" t="s">
        <v>1028</v>
      </c>
      <c r="B51" s="2441">
        <f>估价对象房地状况!C24</f>
        <v>0</v>
      </c>
      <c r="C51" s="1052"/>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9" t="s">
        <v>1029</v>
      </c>
      <c r="B52" s="3130" t="s">
        <v>2939</v>
      </c>
      <c r="C52" s="1052"/>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24">
      <c r="A53" s="2473" t="s">
        <v>1030</v>
      </c>
      <c r="B53" s="2442" t="str">
        <f>估价对象房地状况!C21</f>
        <v>一般</v>
      </c>
      <c r="C53" s="1052"/>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3" t="s">
        <v>1031</v>
      </c>
      <c r="B54" s="2441" t="str">
        <f>估价对象房地状况!C22</f>
        <v>六通</v>
      </c>
      <c r="C54" s="1052"/>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24.75" thickBot="1">
      <c r="A55" s="2474" t="s">
        <v>1032</v>
      </c>
      <c r="B55" s="2445" t="str">
        <f>估价对象房地状况!C20</f>
        <v>一般</v>
      </c>
      <c r="C55" s="1052"/>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7" t="s">
        <v>1033</v>
      </c>
      <c r="B56" s="2458">
        <f>1+E58</f>
        <v>1</v>
      </c>
      <c r="C56" s="2477"/>
      <c r="D56" s="2460"/>
      <c r="E56" s="2461"/>
      <c r="F56" s="2462"/>
      <c r="G56" s="2456"/>
      <c r="H56" s="2456"/>
      <c r="I56" s="2456"/>
      <c r="J56" s="1068"/>
      <c r="K56" s="1068"/>
      <c r="L56" s="1068"/>
      <c r="M56" s="1068"/>
      <c r="N56" s="1068"/>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9" t="s">
        <v>1012</v>
      </c>
      <c r="B57" s="2441"/>
      <c r="C57" s="2463" t="s">
        <v>1014</v>
      </c>
      <c r="D57" s="2464" t="s">
        <v>1015</v>
      </c>
      <c r="E57" s="2465" t="s">
        <v>1017</v>
      </c>
      <c r="F57" s="2466" t="s">
        <v>2255</v>
      </c>
      <c r="G57" s="2464" t="s">
        <v>1018</v>
      </c>
      <c r="H57" s="2447" t="s">
        <v>2423</v>
      </c>
      <c r="I57" s="2464" t="s">
        <v>1016</v>
      </c>
      <c r="J57" s="2467" t="s">
        <v>1019</v>
      </c>
      <c r="K57" s="2467" t="s">
        <v>1020</v>
      </c>
      <c r="L57" s="2467" t="s">
        <v>1021</v>
      </c>
      <c r="M57" s="2467" t="s">
        <v>1022</v>
      </c>
      <c r="N57" s="2467" t="s">
        <v>1023</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9" t="s">
        <v>1034</v>
      </c>
      <c r="B58" s="2444">
        <f>估价对象房地状况!C17</f>
        <v>0</v>
      </c>
      <c r="C58" s="1052"/>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14.25">
      <c r="A59" s="1069" t="s">
        <v>1025</v>
      </c>
      <c r="B59" s="2441" t="str">
        <f>估价对象房地状况!C18</f>
        <v>一般</v>
      </c>
      <c r="C59" s="1052"/>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9" t="s">
        <v>1026</v>
      </c>
      <c r="B60" s="2441" t="str">
        <f>估价对象房地状况!C19</f>
        <v>较好</v>
      </c>
      <c r="C60" s="1052"/>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9" t="s">
        <v>1027</v>
      </c>
      <c r="B61" s="3131" t="s">
        <v>2941</v>
      </c>
      <c r="C61" s="1052"/>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9" t="s">
        <v>1028</v>
      </c>
      <c r="B62" s="2441">
        <f>估价对象房地状况!C24</f>
        <v>0</v>
      </c>
      <c r="C62" s="1052"/>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9" t="s">
        <v>1029</v>
      </c>
      <c r="B63" s="3130" t="s">
        <v>2939</v>
      </c>
      <c r="C63" s="1052"/>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24">
      <c r="A64" s="1069" t="s">
        <v>1030</v>
      </c>
      <c r="B64" s="2442" t="str">
        <f>估价对象房地状况!C21</f>
        <v>一般</v>
      </c>
      <c r="C64" s="1052"/>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9" t="s">
        <v>1031</v>
      </c>
      <c r="B65" s="2442" t="str">
        <f>估价对象房地状况!C22</f>
        <v>六通</v>
      </c>
      <c r="C65" s="1052"/>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24.75" thickBot="1">
      <c r="A66" s="2474" t="s">
        <v>1032</v>
      </c>
      <c r="B66" s="2446" t="str">
        <f>估价对象房地状况!C20</f>
        <v>一般</v>
      </c>
      <c r="C66" s="1052"/>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7" t="s">
        <v>1035</v>
      </c>
      <c r="B67" s="2458">
        <f>1+E69</f>
        <v>1</v>
      </c>
      <c r="C67" s="2477"/>
      <c r="D67" s="2460"/>
      <c r="E67" s="2461"/>
      <c r="F67" s="2462"/>
      <c r="G67" s="2456"/>
      <c r="H67" s="2456"/>
      <c r="I67" s="2456"/>
      <c r="J67" s="1068"/>
      <c r="K67" s="1068"/>
      <c r="L67" s="1068"/>
      <c r="M67" s="1068"/>
      <c r="N67" s="1068"/>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9" t="s">
        <v>1012</v>
      </c>
      <c r="B68" s="2441"/>
      <c r="C68" s="2463" t="s">
        <v>1014</v>
      </c>
      <c r="D68" s="2464" t="s">
        <v>1015</v>
      </c>
      <c r="E68" s="2465" t="s">
        <v>1017</v>
      </c>
      <c r="F68" s="2466" t="s">
        <v>2256</v>
      </c>
      <c r="G68" s="2464" t="s">
        <v>1018</v>
      </c>
      <c r="H68" s="2447" t="s">
        <v>2423</v>
      </c>
      <c r="I68" s="2464" t="s">
        <v>1016</v>
      </c>
      <c r="J68" s="2467" t="s">
        <v>1019</v>
      </c>
      <c r="K68" s="2467" t="s">
        <v>1020</v>
      </c>
      <c r="L68" s="2467" t="s">
        <v>1021</v>
      </c>
      <c r="M68" s="2467" t="s">
        <v>1022</v>
      </c>
      <c r="N68" s="2467" t="s">
        <v>1023</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24">
      <c r="A69" s="1069" t="s">
        <v>1036</v>
      </c>
      <c r="B69" s="2444" t="str">
        <f>估价对象房地状况!C15</f>
        <v>一般</v>
      </c>
      <c r="C69" s="1161"/>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14.25">
      <c r="A70" s="1069" t="s">
        <v>1037</v>
      </c>
      <c r="B70" s="2441" t="str">
        <f>估价对象房地状况!C18</f>
        <v>一般</v>
      </c>
      <c r="C70" s="1161"/>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9" t="s">
        <v>1026</v>
      </c>
      <c r="B71" s="2441" t="str">
        <f>估价对象房地状况!C19</f>
        <v>较好</v>
      </c>
      <c r="C71" s="1161"/>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9" t="s">
        <v>1038</v>
      </c>
      <c r="B72" s="2441">
        <f>估价对象房地状况!C24</f>
        <v>0</v>
      </c>
      <c r="C72" s="1161"/>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24">
      <c r="A73" s="1069" t="s">
        <v>1030</v>
      </c>
      <c r="B73" s="2442" t="str">
        <f>估价对象房地状况!C21</f>
        <v>一般</v>
      </c>
      <c r="C73" s="1161"/>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9" t="s">
        <v>1031</v>
      </c>
      <c r="B74" s="2442" t="str">
        <f>估价对象房地状况!C22</f>
        <v>六通</v>
      </c>
      <c r="C74" s="1161"/>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9" t="s">
        <v>1029</v>
      </c>
      <c r="B75" s="3130" t="s">
        <v>2939</v>
      </c>
      <c r="C75" s="1161"/>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24">
      <c r="A76" s="1069" t="s">
        <v>1032</v>
      </c>
      <c r="B76" s="2444" t="str">
        <f>估价对象房地状况!C20</f>
        <v>一般</v>
      </c>
      <c r="C76" s="1161"/>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4" t="s">
        <v>1039</v>
      </c>
      <c r="B77" s="1854"/>
      <c r="C77" s="1161"/>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8"/>
      <c r="AD77" s="1407"/>
      <c r="AJ77" s="1406"/>
      <c r="AN77" s="1407"/>
    </row>
    <row r="78" spans="1:40" ht="15">
      <c r="A78" s="2457" t="s">
        <v>1040</v>
      </c>
      <c r="B78" s="2458">
        <f>1+E80</f>
        <v>1</v>
      </c>
      <c r="C78" s="2477"/>
      <c r="D78" s="2460"/>
      <c r="E78" s="2461"/>
      <c r="F78" s="2462"/>
      <c r="G78" s="2456"/>
      <c r="H78" s="2456"/>
      <c r="I78" s="2456"/>
      <c r="J78" s="1068"/>
      <c r="K78" s="1068"/>
      <c r="L78" s="1068"/>
      <c r="M78" s="1068"/>
      <c r="N78" s="1068"/>
      <c r="AC78" s="1408"/>
      <c r="AD78" s="1407"/>
      <c r="AJ78" s="1406"/>
      <c r="AN78" s="1407"/>
    </row>
    <row r="79" spans="1:40" ht="24">
      <c r="A79" s="1069" t="s">
        <v>1012</v>
      </c>
      <c r="B79" s="2441"/>
      <c r="C79" s="2463" t="s">
        <v>1014</v>
      </c>
      <c r="D79" s="2464" t="s">
        <v>1015</v>
      </c>
      <c r="E79" s="2465" t="s">
        <v>1017</v>
      </c>
      <c r="F79" s="2466" t="s">
        <v>2257</v>
      </c>
      <c r="G79" s="2464" t="s">
        <v>1018</v>
      </c>
      <c r="H79" s="2447" t="s">
        <v>2423</v>
      </c>
      <c r="I79" s="2464" t="s">
        <v>1016</v>
      </c>
      <c r="J79" s="2467" t="s">
        <v>1019</v>
      </c>
      <c r="K79" s="2467" t="s">
        <v>1020</v>
      </c>
      <c r="L79" s="2467" t="s">
        <v>1021</v>
      </c>
      <c r="M79" s="2467" t="s">
        <v>1022</v>
      </c>
      <c r="N79" s="2467" t="s">
        <v>1023</v>
      </c>
      <c r="AC79" s="1408"/>
      <c r="AD79" s="1407"/>
      <c r="AJ79" s="1406"/>
      <c r="AN79" s="1407"/>
    </row>
    <row r="80" spans="1:40" ht="36">
      <c r="A80" s="1069" t="s">
        <v>1041</v>
      </c>
      <c r="B80" s="2441" t="str">
        <f>估价对象房地状况!G15</f>
        <v>估价对象位于XX开发区，园区建设成熟度XX，产业集聚程度XX</v>
      </c>
      <c r="C80" s="1052"/>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8"/>
      <c r="AD80" s="1407"/>
      <c r="AJ80" s="1406"/>
      <c r="AN80" s="1407"/>
    </row>
    <row r="81" spans="1:40" ht="48">
      <c r="A81" s="1069" t="s">
        <v>1037</v>
      </c>
      <c r="B81" s="2441" t="str">
        <f>估价对象房地状况!G16</f>
        <v>估价对象周边道路状况、公共交通通达情况、停车便捷程度，综合评价交通便捷度较好</v>
      </c>
      <c r="C81" s="1052"/>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8"/>
      <c r="AD81" s="1407"/>
      <c r="AJ81" s="1406"/>
      <c r="AN81" s="1407"/>
    </row>
    <row r="82" spans="1:40" ht="24">
      <c r="A82" s="1069" t="s">
        <v>1026</v>
      </c>
      <c r="B82" s="2441">
        <f>估价对象房地状况!G17</f>
        <v>0</v>
      </c>
      <c r="C82" s="1052"/>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8"/>
      <c r="AD82" s="1407"/>
      <c r="AJ82" s="1406"/>
      <c r="AN82" s="1407"/>
    </row>
    <row r="83" spans="1:40" ht="14.25">
      <c r="A83" s="1069" t="s">
        <v>1038</v>
      </c>
      <c r="B83" s="2441">
        <f>估价对象房地状况!G22</f>
        <v>0</v>
      </c>
      <c r="C83" s="1052"/>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8"/>
      <c r="AD83" s="1407"/>
      <c r="AJ83" s="1406"/>
      <c r="AN83" s="1407"/>
    </row>
    <row r="84" spans="1:40" ht="24">
      <c r="A84" s="1069" t="s">
        <v>1030</v>
      </c>
      <c r="B84" s="2442" t="str">
        <f>估价对象房地状况!G19</f>
        <v>估价对象所在区域公共配套设施齐备情况</v>
      </c>
      <c r="C84" s="1052"/>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8"/>
      <c r="AD84" s="1407"/>
      <c r="AJ84" s="1406"/>
      <c r="AN84" s="1407"/>
    </row>
    <row r="85" spans="1:40" ht="24">
      <c r="A85" s="1069" t="s">
        <v>1031</v>
      </c>
      <c r="B85" s="2442" t="str">
        <f>估价对象房地状况!G20</f>
        <v>估价对象所在区域基础设施水平</v>
      </c>
      <c r="C85" s="1052"/>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8"/>
      <c r="AD85" s="1407"/>
      <c r="AJ85" s="1406"/>
      <c r="AN85" s="1407"/>
    </row>
    <row r="86" spans="1:40" ht="24">
      <c r="A86" s="1069" t="s">
        <v>1029</v>
      </c>
      <c r="B86" s="3130" t="s">
        <v>2939</v>
      </c>
      <c r="C86" s="1052"/>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8"/>
      <c r="AD86" s="1407"/>
      <c r="AJ86" s="1406"/>
      <c r="AN86" s="1407"/>
    </row>
    <row r="87" spans="1:40" ht="36.75" thickBot="1">
      <c r="A87" s="2474" t="s">
        <v>1042</v>
      </c>
      <c r="B87" s="2443" t="str">
        <f>估价对象房地状况!G18</f>
        <v>该园区内是否有污染型企业，绿化情况，卫生条件，整体环境状况判断</v>
      </c>
      <c r="C87" s="1052"/>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8"/>
      <c r="AD87" s="1407"/>
      <c r="AJ87" s="1406"/>
      <c r="AN87" s="1407"/>
    </row>
    <row r="90" spans="1:40">
      <c r="A90" s="3421" t="s">
        <v>1637</v>
      </c>
      <c r="B90" s="3421"/>
      <c r="C90" s="3421"/>
      <c r="D90" s="3421"/>
      <c r="E90" s="3421"/>
      <c r="F90" s="3421"/>
      <c r="G90" s="3421"/>
      <c r="H90" s="3421"/>
      <c r="I90" s="3421"/>
      <c r="J90" s="3421"/>
      <c r="K90" s="2483"/>
      <c r="L90" s="2483"/>
      <c r="M90" s="2483"/>
      <c r="N90" s="2483"/>
    </row>
    <row r="91" spans="1:40">
      <c r="A91" s="3422" t="s">
        <v>1447</v>
      </c>
      <c r="B91" s="3422" t="s">
        <v>1638</v>
      </c>
      <c r="C91" s="1142" t="s">
        <v>1639</v>
      </c>
      <c r="D91" s="1143"/>
      <c r="E91" s="1143"/>
      <c r="F91" s="1143"/>
      <c r="G91" s="1143"/>
      <c r="H91" s="1143"/>
      <c r="I91" s="1143"/>
      <c r="J91" s="1144"/>
      <c r="K91" s="1136"/>
      <c r="L91" s="1136"/>
      <c r="M91" s="1136"/>
      <c r="N91" s="1136"/>
    </row>
    <row r="92" spans="1:40">
      <c r="A92" s="3422"/>
      <c r="B92" s="3422"/>
      <c r="C92" s="2482" t="s">
        <v>910</v>
      </c>
      <c r="D92" s="2482" t="s">
        <v>888</v>
      </c>
      <c r="E92" s="2482" t="s">
        <v>889</v>
      </c>
      <c r="F92" s="2482" t="s">
        <v>913</v>
      </c>
      <c r="G92" s="2482" t="s">
        <v>891</v>
      </c>
      <c r="H92" s="2482" t="s">
        <v>892</v>
      </c>
      <c r="I92" s="2482" t="s">
        <v>893</v>
      </c>
      <c r="J92" s="2482" t="s">
        <v>894</v>
      </c>
      <c r="K92" s="2482" t="s">
        <v>918</v>
      </c>
      <c r="L92" s="2482" t="s">
        <v>896</v>
      </c>
      <c r="M92" s="2482" t="s">
        <v>897</v>
      </c>
      <c r="N92" s="2482" t="s">
        <v>921</v>
      </c>
    </row>
    <row r="93" spans="1:40">
      <c r="A93" s="3411" t="s">
        <v>2774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2"/>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2"/>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2"/>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2"/>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2"/>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2"/>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13"/>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1" t="s">
        <v>1641</v>
      </c>
      <c r="B101" s="1149" t="s">
        <v>909</v>
      </c>
      <c r="C101" s="1150">
        <f>$G$3</f>
        <v>2.2000000000000002</v>
      </c>
      <c r="D101" s="1150">
        <f t="shared" ref="D101:N101" si="31">$G$3</f>
        <v>2.2000000000000002</v>
      </c>
      <c r="E101" s="1150">
        <f t="shared" si="31"/>
        <v>2.2000000000000002</v>
      </c>
      <c r="F101" s="1150">
        <f t="shared" si="31"/>
        <v>2.2000000000000002</v>
      </c>
      <c r="G101" s="1150">
        <f t="shared" si="31"/>
        <v>2.2000000000000002</v>
      </c>
      <c r="H101" s="1150">
        <f t="shared" si="31"/>
        <v>2.2000000000000002</v>
      </c>
      <c r="I101" s="1150">
        <f t="shared" si="31"/>
        <v>2.2000000000000002</v>
      </c>
      <c r="J101" s="1150">
        <f t="shared" si="31"/>
        <v>2.2000000000000002</v>
      </c>
      <c r="K101" s="1150">
        <f t="shared" si="31"/>
        <v>2.2000000000000002</v>
      </c>
      <c r="L101" s="1150">
        <f t="shared" si="31"/>
        <v>2.2000000000000002</v>
      </c>
      <c r="M101" s="1150">
        <f t="shared" si="31"/>
        <v>2.2000000000000002</v>
      </c>
      <c r="N101" s="1150">
        <f t="shared" si="31"/>
        <v>2.2000000000000002</v>
      </c>
    </row>
    <row r="102" spans="1:14">
      <c r="A102" s="3412"/>
      <c r="B102" s="1145">
        <v>1</v>
      </c>
      <c r="C102" s="1146">
        <f>1.9362/C101</f>
        <v>0.88009090909090903</v>
      </c>
      <c r="D102" s="1146">
        <f>1.9362/D101</f>
        <v>0.88009090909090903</v>
      </c>
      <c r="E102" s="1146">
        <f>1.8629/E101</f>
        <v>0.84677272727272723</v>
      </c>
      <c r="F102" s="1146">
        <f>1.8629/F101</f>
        <v>0.84677272727272723</v>
      </c>
      <c r="G102" s="1146">
        <f>1.8629/G101</f>
        <v>0.84677272727272723</v>
      </c>
      <c r="H102" s="1146">
        <f>1.8629/H101</f>
        <v>0.84677272727272723</v>
      </c>
      <c r="I102" s="1146">
        <f>1.8629/I101</f>
        <v>0.84677272727272723</v>
      </c>
      <c r="J102" s="1146">
        <f>1.942/J101</f>
        <v>0.88272727272727258</v>
      </c>
      <c r="K102" s="1146">
        <f>1.942/K101</f>
        <v>0.88272727272727258</v>
      </c>
      <c r="L102" s="1146">
        <f>1.942/L101</f>
        <v>0.88272727272727258</v>
      </c>
      <c r="M102" s="1146">
        <f>1.942/M101</f>
        <v>0.88272727272727258</v>
      </c>
      <c r="N102" s="1146">
        <f>1.942/N101</f>
        <v>0.88272727272727258</v>
      </c>
    </row>
    <row r="103" spans="1:14">
      <c r="A103" s="3412"/>
      <c r="B103" s="1145">
        <v>2</v>
      </c>
      <c r="C103" s="1146">
        <f>1.4198/C101</f>
        <v>0.64536363636363625</v>
      </c>
      <c r="D103" s="1146">
        <f>1.4198/D101</f>
        <v>0.64536363636363625</v>
      </c>
      <c r="E103" s="1146">
        <f>1.3372/E101</f>
        <v>0.6078181818181817</v>
      </c>
      <c r="F103" s="1146">
        <f>1.3372/F101</f>
        <v>0.6078181818181817</v>
      </c>
      <c r="G103" s="1146">
        <f>1.3372/G101</f>
        <v>0.6078181818181817</v>
      </c>
      <c r="H103" s="1146">
        <f>1.3372/H101</f>
        <v>0.6078181818181817</v>
      </c>
      <c r="I103" s="1146">
        <f>1.3372/I101</f>
        <v>0.6078181818181817</v>
      </c>
      <c r="J103" s="1146">
        <f>1.2799/J101</f>
        <v>0.58177272727272722</v>
      </c>
      <c r="K103" s="1146">
        <f>1.2799/K101</f>
        <v>0.58177272727272722</v>
      </c>
      <c r="L103" s="1146">
        <f>1.2799/L101</f>
        <v>0.58177272727272722</v>
      </c>
      <c r="M103" s="1146">
        <f>1.2799/M101</f>
        <v>0.58177272727272722</v>
      </c>
      <c r="N103" s="1146">
        <f>1.2799/N101</f>
        <v>0.58177272727272722</v>
      </c>
    </row>
    <row r="104" spans="1:14">
      <c r="A104" s="3412"/>
      <c r="B104" s="1145">
        <v>3</v>
      </c>
      <c r="C104" s="1146">
        <f>1.1594/C101</f>
        <v>0.52699999999999991</v>
      </c>
      <c r="D104" s="1146">
        <f>1.1594/D101</f>
        <v>0.52699999999999991</v>
      </c>
      <c r="E104" s="1146">
        <f>1.0788/E101</f>
        <v>0.49036363636363633</v>
      </c>
      <c r="F104" s="1146">
        <f>1.0788/F101</f>
        <v>0.49036363636363633</v>
      </c>
      <c r="G104" s="1146">
        <f>1.0788/G101</f>
        <v>0.49036363636363633</v>
      </c>
      <c r="H104" s="1146">
        <f>1.0788/H101</f>
        <v>0.49036363636363633</v>
      </c>
      <c r="I104" s="1146">
        <f>1.0788/I101</f>
        <v>0.49036363636363633</v>
      </c>
      <c r="J104" s="1146">
        <f>1.0072/J101</f>
        <v>0.45781818181818185</v>
      </c>
      <c r="K104" s="1146">
        <f>1.0072/K101</f>
        <v>0.45781818181818185</v>
      </c>
      <c r="L104" s="1146">
        <f>1.0072/L101</f>
        <v>0.45781818181818185</v>
      </c>
      <c r="M104" s="1146">
        <f>1.0072/M101</f>
        <v>0.45781818181818185</v>
      </c>
      <c r="N104" s="1146">
        <f>1.0072/N101</f>
        <v>0.45781818181818185</v>
      </c>
    </row>
    <row r="105" spans="1:14">
      <c r="A105" s="3412"/>
      <c r="B105" s="1145">
        <v>4</v>
      </c>
      <c r="C105" s="1146">
        <f>0.9622/C101</f>
        <v>0.43736363636363634</v>
      </c>
      <c r="D105" s="1146">
        <f>0.9622/D101</f>
        <v>0.43736363636363634</v>
      </c>
      <c r="E105" s="1146">
        <f>0.8656/E101</f>
        <v>0.39345454545454545</v>
      </c>
      <c r="F105" s="1146">
        <f>0.8656/F101</f>
        <v>0.39345454545454545</v>
      </c>
      <c r="G105" s="1146">
        <f>0.8656/G101</f>
        <v>0.39345454545454545</v>
      </c>
      <c r="H105" s="1146">
        <f>0.8656/H101</f>
        <v>0.39345454545454545</v>
      </c>
      <c r="I105" s="1146">
        <f>0.8656/I101</f>
        <v>0.39345454545454545</v>
      </c>
      <c r="J105" s="1146">
        <f>0.7525/J101</f>
        <v>0.34204545454545449</v>
      </c>
      <c r="K105" s="1146">
        <f>0.7525/K101</f>
        <v>0.34204545454545449</v>
      </c>
      <c r="L105" s="1146">
        <f>0.7525/L101</f>
        <v>0.34204545454545449</v>
      </c>
      <c r="M105" s="1146">
        <f>0.7525/M101</f>
        <v>0.34204545454545449</v>
      </c>
      <c r="N105" s="1146">
        <f>0.7525/N101</f>
        <v>0.34204545454545449</v>
      </c>
    </row>
    <row r="106" spans="1:14">
      <c r="A106" s="3412"/>
      <c r="B106" s="1145">
        <v>5</v>
      </c>
      <c r="C106" s="1146">
        <f>0.8417/C101</f>
        <v>0.38259090909090904</v>
      </c>
      <c r="D106" s="1146">
        <f>0.8417/D101</f>
        <v>0.38259090909090904</v>
      </c>
      <c r="E106" s="1146">
        <f>0.7371/E101</f>
        <v>0.33504545454545454</v>
      </c>
      <c r="F106" s="1146">
        <f>0.7371/F101</f>
        <v>0.33504545454545454</v>
      </c>
      <c r="G106" s="1146">
        <f>0.7371/G101</f>
        <v>0.33504545454545454</v>
      </c>
      <c r="H106" s="1146">
        <f>0.7371/H101</f>
        <v>0.33504545454545454</v>
      </c>
      <c r="I106" s="1146">
        <f>0.7371/I101</f>
        <v>0.33504545454545454</v>
      </c>
      <c r="J106" s="1146">
        <f>0.5659/J101</f>
        <v>0.25722727272727269</v>
      </c>
      <c r="K106" s="1146">
        <f>0.5659/K101</f>
        <v>0.25722727272727269</v>
      </c>
      <c r="L106" s="1146">
        <f>0.5659/L101</f>
        <v>0.25722727272727269</v>
      </c>
      <c r="M106" s="1146">
        <f>0.5659/M101</f>
        <v>0.25722727272727269</v>
      </c>
      <c r="N106" s="1146">
        <f>0.5659/N101</f>
        <v>0.25722727272727269</v>
      </c>
    </row>
    <row r="107" spans="1:14">
      <c r="A107" s="3412"/>
      <c r="B107" s="1145">
        <v>6</v>
      </c>
      <c r="C107" s="1146">
        <f>0.7608/C101</f>
        <v>0.3458181818181818</v>
      </c>
      <c r="D107" s="1146">
        <f>0.7608/D101</f>
        <v>0.3458181818181818</v>
      </c>
      <c r="E107" s="1146">
        <f>0.6482/E101</f>
        <v>0.29463636363636359</v>
      </c>
      <c r="F107" s="1146">
        <f>0.6482/F101</f>
        <v>0.29463636363636359</v>
      </c>
      <c r="G107" s="1146">
        <f>0.6482/G101</f>
        <v>0.29463636363636359</v>
      </c>
      <c r="H107" s="1146">
        <f>0.6482/H101</f>
        <v>0.29463636363636359</v>
      </c>
      <c r="I107" s="1146">
        <f>0.6482/I101</f>
        <v>0.29463636363636359</v>
      </c>
      <c r="J107" s="1146">
        <f>0.4525/J101</f>
        <v>0.20568181818181816</v>
      </c>
      <c r="K107" s="1146">
        <f>0.4525/K101</f>
        <v>0.20568181818181816</v>
      </c>
      <c r="L107" s="1146">
        <f>0.4525/L101</f>
        <v>0.20568181818181816</v>
      </c>
      <c r="M107" s="1146">
        <f>0.4525/M101</f>
        <v>0.20568181818181816</v>
      </c>
      <c r="N107" s="1146">
        <f>0.4525/N101</f>
        <v>0.20568181818181816</v>
      </c>
    </row>
    <row r="108" spans="1:14">
      <c r="A108" s="3412"/>
      <c r="B108" s="3414"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13"/>
      <c r="B109" s="3415"/>
      <c r="C109" s="1148">
        <f>(-0.163*(C108^2)-0.59*C108+7617)*(10^(-4))/C101</f>
        <v>0.34553854545454543</v>
      </c>
      <c r="D109" s="1148">
        <f>(-0.163*(D108^2)-0.59*D108+7617)*(10^(-4))/D101</f>
        <v>0.34553854545454543</v>
      </c>
      <c r="E109" s="1148">
        <f>(-0.161*(E108^2)-7.509*E108+6533)*(10^(-4))/E101</f>
        <v>0.29375563636363633</v>
      </c>
      <c r="F109" s="1148">
        <f>(-0.161*(F108^2)-7.509*F108+6533)*(10^(-4))/F101</f>
        <v>0.29375563636363633</v>
      </c>
      <c r="G109" s="1148">
        <f>(-0.161*(G108^2)-7.509*G108+6533)*(10^(-4))/G101</f>
        <v>0.29375563636363633</v>
      </c>
      <c r="H109" s="1148">
        <f>(-0.161*(H108^2)-7.509*H108+6533)*(10^(-4))/H101</f>
        <v>0.29375563636363633</v>
      </c>
      <c r="I109" s="1148">
        <f>(-0.161*(I108^2)-7.509*I108+6533)*(10^(-4))/I101</f>
        <v>0.29375563636363633</v>
      </c>
      <c r="J109" s="1148">
        <f>(-0.214*(J108^2)-21.991*J108+4665)*(10^(-4))/J101</f>
        <v>0.20342618181818181</v>
      </c>
      <c r="K109" s="1148">
        <f>(-0.214*(K108^2)-21.991*K108+4665)*(10^(-4))/K101</f>
        <v>0.20342618181818181</v>
      </c>
      <c r="L109" s="1148">
        <f>(-0.214*(L108^2)-21.991*L108+4665)*(10^(-4))/L101</f>
        <v>0.20342618181818181</v>
      </c>
      <c r="M109" s="1148">
        <f>(-0.214*(M108^2)-21.991*M108+4665)*(10^(-4))/M101</f>
        <v>0.20342618181818181</v>
      </c>
      <c r="N109" s="1148">
        <f>(-0.214*(N108^2)-21.991*N108+4665)*(10^(-4))/N101</f>
        <v>0.20342618181818181</v>
      </c>
    </row>
    <row r="110" spans="1:14">
      <c r="A110" s="3416" t="s">
        <v>1643</v>
      </c>
      <c r="B110" s="3416"/>
      <c r="C110" s="3416"/>
      <c r="D110" s="3416"/>
      <c r="E110" s="3416"/>
      <c r="F110" s="3416"/>
      <c r="G110" s="3416"/>
      <c r="H110" s="3416"/>
      <c r="I110" s="3416"/>
      <c r="J110" s="3416"/>
      <c r="K110" s="2481"/>
      <c r="L110" s="2481"/>
      <c r="M110" s="2481"/>
      <c r="N110" s="2481"/>
    </row>
    <row r="112" spans="1:14" ht="12.75" thickBot="1"/>
    <row r="113" spans="1:13" ht="25.5" thickBot="1">
      <c r="A113" s="1018" t="s">
        <v>899</v>
      </c>
      <c r="B113" s="2484">
        <f>G3</f>
        <v>2.2000000000000002</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0.91279999999999994</v>
      </c>
      <c r="C115" s="1032">
        <f>B115</f>
        <v>0.91279999999999994</v>
      </c>
      <c r="D115" s="1032">
        <f>ROUND(0.8331-0.0109*B113,4)</f>
        <v>0.80910000000000004</v>
      </c>
      <c r="E115" s="1032">
        <f>D115</f>
        <v>0.80910000000000004</v>
      </c>
      <c r="F115" s="1032">
        <f>E115</f>
        <v>0.80910000000000004</v>
      </c>
      <c r="G115" s="1032">
        <f>F115</f>
        <v>0.80910000000000004</v>
      </c>
      <c r="H115" s="1032">
        <f>G115</f>
        <v>0.80910000000000004</v>
      </c>
      <c r="I115" s="1032">
        <f>ROUND(0.689-0.0155*B113,4)</f>
        <v>0.65490000000000004</v>
      </c>
      <c r="J115" s="1032">
        <f t="shared" ref="J115:M118" si="33">I115</f>
        <v>0.65490000000000004</v>
      </c>
      <c r="K115" s="1032">
        <f t="shared" si="33"/>
        <v>0.65490000000000004</v>
      </c>
      <c r="L115" s="1032">
        <f t="shared" si="33"/>
        <v>0.65490000000000004</v>
      </c>
      <c r="M115" s="1033">
        <f t="shared" si="33"/>
        <v>0.65490000000000004</v>
      </c>
    </row>
    <row r="116" spans="1:13" ht="12.75">
      <c r="A116" s="1031" t="s">
        <v>904</v>
      </c>
      <c r="B116" s="1032">
        <f>ROUND(0.949-0.012*B113,4)</f>
        <v>0.92259999999999998</v>
      </c>
      <c r="C116" s="1032">
        <f>B116</f>
        <v>0.92259999999999998</v>
      </c>
      <c r="D116" s="1032">
        <f>ROUND(0.8567-0.013*B113,4)</f>
        <v>0.82809999999999995</v>
      </c>
      <c r="E116" s="1032">
        <f t="shared" ref="E116:H117" si="34">D116</f>
        <v>0.82809999999999995</v>
      </c>
      <c r="F116" s="1032">
        <f t="shared" si="34"/>
        <v>0.82809999999999995</v>
      </c>
      <c r="G116" s="1032">
        <f t="shared" si="34"/>
        <v>0.82809999999999995</v>
      </c>
      <c r="H116" s="1032">
        <f t="shared" si="34"/>
        <v>0.82809999999999995</v>
      </c>
      <c r="I116" s="1032">
        <f>ROUND(0.7694-0.014*B113,4)</f>
        <v>0.73860000000000003</v>
      </c>
      <c r="J116" s="1032">
        <f t="shared" si="33"/>
        <v>0.73860000000000003</v>
      </c>
      <c r="K116" s="1032">
        <f t="shared" si="33"/>
        <v>0.73860000000000003</v>
      </c>
      <c r="L116" s="1032">
        <f t="shared" si="33"/>
        <v>0.73860000000000003</v>
      </c>
      <c r="M116" s="1033">
        <f t="shared" si="33"/>
        <v>0.73860000000000003</v>
      </c>
    </row>
    <row r="117" spans="1:13" ht="12.75">
      <c r="A117" s="1034" t="s">
        <v>905</v>
      </c>
      <c r="B117" s="1032">
        <f>ROUND(0.8808-0.006*B113,4)</f>
        <v>0.86760000000000004</v>
      </c>
      <c r="C117" s="1032">
        <f>B117</f>
        <v>0.86760000000000004</v>
      </c>
      <c r="D117" s="1032">
        <f>ROUND(0.8748-0.008*B113,4)</f>
        <v>0.85719999999999996</v>
      </c>
      <c r="E117" s="1032">
        <f t="shared" si="34"/>
        <v>0.85719999999999996</v>
      </c>
      <c r="F117" s="1032">
        <f t="shared" si="34"/>
        <v>0.85719999999999996</v>
      </c>
      <c r="G117" s="1032">
        <f t="shared" si="34"/>
        <v>0.85719999999999996</v>
      </c>
      <c r="H117" s="1032">
        <f t="shared" si="34"/>
        <v>0.85719999999999996</v>
      </c>
      <c r="I117" s="1032">
        <f>ROUND(0.7412-0.0095*B113,4)</f>
        <v>0.72030000000000005</v>
      </c>
      <c r="J117" s="1032">
        <f t="shared" si="33"/>
        <v>0.72030000000000005</v>
      </c>
      <c r="K117" s="1032">
        <f t="shared" si="33"/>
        <v>0.72030000000000005</v>
      </c>
      <c r="L117" s="1032">
        <f t="shared" si="33"/>
        <v>0.72030000000000005</v>
      </c>
      <c r="M117" s="1033">
        <f t="shared" si="33"/>
        <v>0.72030000000000005</v>
      </c>
    </row>
    <row r="118" spans="1:13" ht="13.5" thickBot="1">
      <c r="A118" s="1035" t="s">
        <v>906</v>
      </c>
      <c r="B118" s="1036">
        <f>ROUND(0.7275-0.01*B113,4)</f>
        <v>0.70550000000000002</v>
      </c>
      <c r="C118" s="1036">
        <f>B118</f>
        <v>0.70550000000000002</v>
      </c>
      <c r="D118" s="1036">
        <f>ROUND(0.7043-0.012*B113,4)</f>
        <v>0.67789999999999995</v>
      </c>
      <c r="E118" s="1036">
        <f>D118</f>
        <v>0.67789999999999995</v>
      </c>
      <c r="F118" s="1036">
        <f>E118</f>
        <v>0.67789999999999995</v>
      </c>
      <c r="G118" s="1036">
        <f>ROUND(0.6299-0.0122*B113,4)</f>
        <v>0.60309999999999997</v>
      </c>
      <c r="H118" s="1036">
        <f>G118</f>
        <v>0.60309999999999997</v>
      </c>
      <c r="I118" s="1036">
        <f>ROUND(0.5667-0.0136*B113,4)</f>
        <v>0.53680000000000005</v>
      </c>
      <c r="J118" s="1036">
        <f t="shared" si="33"/>
        <v>0.53680000000000005</v>
      </c>
      <c r="K118" s="1036">
        <f t="shared" si="33"/>
        <v>0.53680000000000005</v>
      </c>
      <c r="L118" s="1036">
        <f t="shared" si="33"/>
        <v>0.53680000000000005</v>
      </c>
      <c r="M118" s="1037">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2" customFormat="1" ht="19.5" customHeight="1">
      <c r="A18" s="3422" t="s">
        <v>1011</v>
      </c>
      <c r="B18" s="1156" t="s">
        <v>1450</v>
      </c>
      <c r="C18" s="1133" t="s">
        <v>1451</v>
      </c>
      <c r="D18" s="1134"/>
      <c r="E18" s="1156">
        <v>1</v>
      </c>
      <c r="F18" s="1135" t="s">
        <v>1452</v>
      </c>
      <c r="G18" s="1136"/>
      <c r="H18" s="1107"/>
      <c r="I18" s="1107"/>
    </row>
    <row r="19" spans="1:9" s="1602" customFormat="1" ht="19.5" customHeight="1">
      <c r="A19" s="3422"/>
      <c r="B19" s="3422" t="s">
        <v>1453</v>
      </c>
      <c r="C19" s="1133" t="s">
        <v>1454</v>
      </c>
      <c r="D19" s="1134"/>
      <c r="E19" s="1156">
        <v>0.9</v>
      </c>
      <c r="F19" s="1135" t="s">
        <v>1455</v>
      </c>
      <c r="G19" s="1136"/>
      <c r="H19" s="1107"/>
      <c r="I19" s="1107"/>
    </row>
    <row r="20" spans="1:9" s="1602" customFormat="1" ht="19.5" customHeight="1">
      <c r="A20" s="3422"/>
      <c r="B20" s="3422"/>
      <c r="C20" s="1133" t="s">
        <v>1456</v>
      </c>
      <c r="D20" s="1134"/>
      <c r="E20" s="1156">
        <v>1.1000000000000001</v>
      </c>
      <c r="F20" s="1135" t="s">
        <v>1457</v>
      </c>
      <c r="G20" s="1136"/>
      <c r="H20" s="1107"/>
      <c r="I20" s="1107"/>
    </row>
    <row r="21" spans="1:9" s="1602" customFormat="1" ht="19.5" customHeight="1">
      <c r="A21" s="3422"/>
      <c r="B21" s="3422"/>
      <c r="C21" s="1133" t="s">
        <v>1458</v>
      </c>
      <c r="D21" s="1134"/>
      <c r="E21" s="1156">
        <v>0.8</v>
      </c>
      <c r="F21" s="1135" t="s">
        <v>1459</v>
      </c>
      <c r="G21" s="1136"/>
      <c r="H21" s="1107"/>
      <c r="I21" s="1107"/>
    </row>
    <row r="22" spans="1:9" s="1602" customFormat="1" ht="19.5" customHeight="1">
      <c r="A22" s="3422"/>
      <c r="B22" s="3422"/>
      <c r="C22" s="1133" t="s">
        <v>1460</v>
      </c>
      <c r="D22" s="1134"/>
      <c r="E22" s="1156">
        <v>0.5</v>
      </c>
      <c r="F22" s="1135"/>
      <c r="G22" s="1136"/>
      <c r="H22" s="1107"/>
      <c r="I22" s="1107"/>
    </row>
    <row r="23" spans="1:9" s="1602" customFormat="1" ht="19.5" customHeight="1">
      <c r="A23" s="3422" t="s">
        <v>1033</v>
      </c>
      <c r="B23" s="1156" t="s">
        <v>1450</v>
      </c>
      <c r="C23" s="1133" t="s">
        <v>1461</v>
      </c>
      <c r="D23" s="1134"/>
      <c r="E23" s="1156">
        <v>1</v>
      </c>
      <c r="F23" s="1135" t="s">
        <v>1462</v>
      </c>
      <c r="G23" s="1136"/>
      <c r="H23" s="1107"/>
      <c r="I23" s="1107"/>
    </row>
    <row r="24" spans="1:9" s="1602" customFormat="1" ht="19.5" customHeight="1">
      <c r="A24" s="3422"/>
      <c r="B24" s="3422" t="s">
        <v>1453</v>
      </c>
      <c r="C24" s="1133" t="s">
        <v>1463</v>
      </c>
      <c r="D24" s="1134"/>
      <c r="E24" s="1156">
        <v>0.5</v>
      </c>
      <c r="F24" s="1135"/>
      <c r="G24" s="1136"/>
      <c r="H24" s="1107"/>
      <c r="I24" s="1107"/>
    </row>
    <row r="25" spans="1:9" s="1602" customFormat="1" ht="19.5" customHeight="1">
      <c r="A25" s="3422"/>
      <c r="B25" s="3422"/>
      <c r="C25" s="1133" t="s">
        <v>1464</v>
      </c>
      <c r="D25" s="1134"/>
      <c r="E25" s="1156">
        <v>1.1000000000000001</v>
      </c>
      <c r="F25" s="1135"/>
      <c r="G25" s="1136"/>
      <c r="H25" s="1107"/>
      <c r="I25" s="1107"/>
    </row>
    <row r="26" spans="1:9" s="1602" customFormat="1" ht="19.5" customHeight="1">
      <c r="A26" s="3422"/>
      <c r="B26" s="3422"/>
      <c r="C26" s="1133" t="s">
        <v>1465</v>
      </c>
      <c r="D26" s="1134"/>
      <c r="E26" s="1156">
        <v>1.1000000000000001</v>
      </c>
      <c r="F26" s="1135"/>
      <c r="G26" s="1136"/>
      <c r="H26" s="1107"/>
      <c r="I26" s="1107"/>
    </row>
    <row r="27" spans="1:9" s="1602" customFormat="1" ht="19.5" customHeight="1">
      <c r="A27" s="3422"/>
      <c r="B27" s="3422"/>
      <c r="C27" s="1133" t="s">
        <v>1466</v>
      </c>
      <c r="D27" s="1134"/>
      <c r="E27" s="1156">
        <v>0.9</v>
      </c>
      <c r="F27" s="1135" t="s">
        <v>1467</v>
      </c>
      <c r="G27" s="1136"/>
      <c r="H27" s="1107"/>
      <c r="I27" s="1107"/>
    </row>
    <row r="28" spans="1:9" s="1602" customFormat="1" ht="19.5" customHeight="1">
      <c r="A28" s="3422"/>
      <c r="B28" s="3422"/>
      <c r="C28" s="1133" t="s">
        <v>1468</v>
      </c>
      <c r="D28" s="1134"/>
      <c r="E28" s="1156">
        <v>0.9</v>
      </c>
      <c r="F28" s="1135" t="s">
        <v>1469</v>
      </c>
      <c r="G28" s="1136"/>
      <c r="H28" s="1107"/>
      <c r="I28" s="1107"/>
    </row>
    <row r="29" spans="1:9" s="1602" customFormat="1" ht="19.5" customHeight="1">
      <c r="A29" s="3422"/>
      <c r="B29" s="3422"/>
      <c r="C29" s="1133" t="s">
        <v>1470</v>
      </c>
      <c r="D29" s="1134"/>
      <c r="E29" s="1156">
        <v>0.9</v>
      </c>
      <c r="F29" s="1135" t="s">
        <v>1471</v>
      </c>
      <c r="G29" s="1136"/>
      <c r="H29" s="1107"/>
      <c r="I29" s="1107"/>
    </row>
    <row r="30" spans="1:9" s="1602" customFormat="1" ht="19.5" customHeight="1">
      <c r="A30" s="3422"/>
      <c r="B30" s="3422"/>
      <c r="C30" s="1133" t="s">
        <v>1472</v>
      </c>
      <c r="D30" s="1134"/>
      <c r="E30" s="1156">
        <v>0.9</v>
      </c>
      <c r="F30" s="1135" t="s">
        <v>1473</v>
      </c>
      <c r="G30" s="1136"/>
      <c r="H30" s="1107"/>
      <c r="I30" s="1107"/>
    </row>
    <row r="31" spans="1:9" s="1602" customFormat="1" ht="19.5" customHeight="1">
      <c r="A31" s="3422"/>
      <c r="B31" s="3422"/>
      <c r="C31" s="1133" t="s">
        <v>1474</v>
      </c>
      <c r="D31" s="1134"/>
      <c r="E31" s="1156">
        <v>0.8</v>
      </c>
      <c r="F31" s="1135" t="s">
        <v>1475</v>
      </c>
      <c r="G31" s="1136"/>
      <c r="H31" s="1107"/>
      <c r="I31" s="1107"/>
    </row>
    <row r="32" spans="1:9" s="1602" customFormat="1" ht="19.5" customHeight="1">
      <c r="A32" s="3422"/>
      <c r="B32" s="3422"/>
      <c r="C32" s="1133" t="s">
        <v>1476</v>
      </c>
      <c r="D32" s="1134"/>
      <c r="E32" s="1156">
        <v>0.8</v>
      </c>
      <c r="F32" s="1135" t="s">
        <v>1477</v>
      </c>
      <c r="G32" s="1136"/>
      <c r="H32" s="1107"/>
      <c r="I32" s="1107"/>
    </row>
    <row r="33" spans="1:9" s="1602" customFormat="1" ht="19.5" customHeight="1">
      <c r="A33" s="3422" t="s">
        <v>1478</v>
      </c>
      <c r="B33" s="1156" t="s">
        <v>1450</v>
      </c>
      <c r="C33" s="1133" t="s">
        <v>1479</v>
      </c>
      <c r="D33" s="1134"/>
      <c r="E33" s="1156">
        <v>1</v>
      </c>
      <c r="F33" s="1135" t="s">
        <v>1480</v>
      </c>
      <c r="G33" s="1136"/>
      <c r="H33" s="1107"/>
      <c r="I33" s="1107"/>
    </row>
    <row r="34" spans="1:9" s="1602" customFormat="1" ht="19.5" customHeight="1">
      <c r="A34" s="3422"/>
      <c r="B34" s="1156" t="s">
        <v>1453</v>
      </c>
      <c r="C34" s="1133" t="s">
        <v>1481</v>
      </c>
      <c r="D34" s="1134"/>
      <c r="E34" s="1156">
        <v>1.5</v>
      </c>
      <c r="F34" s="1135" t="s">
        <v>1482</v>
      </c>
      <c r="G34" s="1136"/>
      <c r="H34" s="1107"/>
      <c r="I34" s="1107"/>
    </row>
    <row r="35" spans="1:9" s="1602" customFormat="1" ht="19.5" customHeight="1">
      <c r="A35" s="3422" t="s">
        <v>1436</v>
      </c>
      <c r="B35" s="1156" t="s">
        <v>1450</v>
      </c>
      <c r="C35" s="1133" t="s">
        <v>1483</v>
      </c>
      <c r="D35" s="1134"/>
      <c r="E35" s="1156">
        <v>1</v>
      </c>
      <c r="F35" s="1135" t="s">
        <v>1484</v>
      </c>
      <c r="G35" s="1136"/>
      <c r="H35" s="1107"/>
      <c r="I35" s="1107"/>
    </row>
    <row r="36" spans="1:9" s="1602" customFormat="1" ht="19.5" customHeight="1">
      <c r="A36" s="3422"/>
      <c r="B36" s="3422" t="s">
        <v>1453</v>
      </c>
      <c r="C36" s="1133" t="s">
        <v>1485</v>
      </c>
      <c r="D36" s="1134"/>
      <c r="E36" s="1156">
        <v>1</v>
      </c>
      <c r="F36" s="1135" t="s">
        <v>1486</v>
      </c>
      <c r="G36" s="1136"/>
      <c r="H36" s="1107"/>
      <c r="I36" s="1107"/>
    </row>
    <row r="37" spans="1:9" s="1602" customFormat="1" ht="19.5" customHeight="1">
      <c r="A37" s="3422"/>
      <c r="B37" s="3422"/>
      <c r="C37" s="1133" t="s">
        <v>1487</v>
      </c>
      <c r="D37" s="1134"/>
      <c r="E37" s="1156">
        <v>1.5</v>
      </c>
      <c r="F37" s="1135" t="s">
        <v>1488</v>
      </c>
      <c r="G37" s="1136"/>
      <c r="H37" s="1107"/>
      <c r="I37" s="1107"/>
    </row>
    <row r="38" spans="1:9" s="1602" customFormat="1" ht="19.5" customHeight="1">
      <c r="A38" s="3422"/>
      <c r="B38" s="3422"/>
      <c r="C38" s="1133" t="s">
        <v>1489</v>
      </c>
      <c r="D38" s="1134"/>
      <c r="E38" s="1156">
        <v>1</v>
      </c>
      <c r="F38" s="1135" t="s">
        <v>1490</v>
      </c>
      <c r="G38" s="1136"/>
      <c r="H38" s="1107"/>
      <c r="I38" s="1107"/>
    </row>
    <row r="39" spans="1:9" s="1602" customFormat="1" ht="19.5" customHeight="1">
      <c r="A39" s="3422"/>
      <c r="B39" s="3422"/>
      <c r="C39" s="1133" t="s">
        <v>1491</v>
      </c>
      <c r="D39" s="1134"/>
      <c r="E39" s="1156">
        <v>1</v>
      </c>
      <c r="F39" s="1135" t="s">
        <v>1492</v>
      </c>
      <c r="G39" s="1136"/>
      <c r="H39" s="1107"/>
      <c r="I39" s="1107"/>
    </row>
    <row r="40" spans="1:9" s="1602" customFormat="1" ht="19.5" customHeight="1">
      <c r="A40" s="1603" t="s">
        <v>1493</v>
      </c>
      <c r="B40" s="1603"/>
      <c r="C40" s="1603"/>
      <c r="D40" s="1603"/>
      <c r="E40" s="1603"/>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422" t="s">
        <v>1505</v>
      </c>
      <c r="C61" s="1070" t="s">
        <v>1506</v>
      </c>
      <c r="D61" s="1070" t="s">
        <v>1507</v>
      </c>
      <c r="E61" s="1141">
        <v>0.5</v>
      </c>
      <c r="F61" s="1156">
        <v>80</v>
      </c>
      <c r="H61" s="1107">
        <f>SUMIF(C59:C119,基准地价!C8,E59:E119)</f>
        <v>0</v>
      </c>
    </row>
    <row r="62" spans="1:8" s="1107" customFormat="1" ht="24">
      <c r="A62" s="1156">
        <v>2</v>
      </c>
      <c r="B62" s="3422"/>
      <c r="C62" s="1070" t="s">
        <v>1508</v>
      </c>
      <c r="D62" s="1070" t="s">
        <v>1509</v>
      </c>
      <c r="E62" s="1141">
        <v>0.5</v>
      </c>
      <c r="F62" s="1156">
        <v>80</v>
      </c>
    </row>
    <row r="63" spans="1:8" s="1107" customFormat="1" ht="36">
      <c r="A63" s="1156">
        <v>3</v>
      </c>
      <c r="B63" s="3422"/>
      <c r="C63" s="1070" t="s">
        <v>1510</v>
      </c>
      <c r="D63" s="1070" t="s">
        <v>1511</v>
      </c>
      <c r="E63" s="1141">
        <v>0.5</v>
      </c>
      <c r="F63" s="1156">
        <v>80</v>
      </c>
    </row>
    <row r="64" spans="1:8" s="1107" customFormat="1" ht="36">
      <c r="A64" s="1156">
        <v>4</v>
      </c>
      <c r="B64" s="3422"/>
      <c r="C64" s="1070" t="s">
        <v>1512</v>
      </c>
      <c r="D64" s="1070" t="s">
        <v>1513</v>
      </c>
      <c r="E64" s="1141">
        <v>0.4</v>
      </c>
      <c r="F64" s="1156">
        <v>60</v>
      </c>
    </row>
    <row r="65" spans="1:6" s="1107" customFormat="1" ht="36">
      <c r="A65" s="1156">
        <v>5</v>
      </c>
      <c r="B65" s="3422"/>
      <c r="C65" s="1070" t="s">
        <v>1514</v>
      </c>
      <c r="D65" s="1070" t="s">
        <v>1515</v>
      </c>
      <c r="E65" s="1141">
        <v>0.2</v>
      </c>
      <c r="F65" s="1156">
        <v>30</v>
      </c>
    </row>
    <row r="66" spans="1:6" s="1107" customFormat="1" ht="36">
      <c r="A66" s="1156">
        <v>6</v>
      </c>
      <c r="B66" s="3422"/>
      <c r="C66" s="1070" t="s">
        <v>1516</v>
      </c>
      <c r="D66" s="1070" t="s">
        <v>1517</v>
      </c>
      <c r="E66" s="1141">
        <v>0.3</v>
      </c>
      <c r="F66" s="1156">
        <v>50</v>
      </c>
    </row>
    <row r="67" spans="1:6" s="1107" customFormat="1" ht="36">
      <c r="A67" s="1156">
        <v>7</v>
      </c>
      <c r="B67" s="3422"/>
      <c r="C67" s="1070" t="s">
        <v>1518</v>
      </c>
      <c r="D67" s="1070" t="s">
        <v>1519</v>
      </c>
      <c r="E67" s="1141">
        <v>0.2</v>
      </c>
      <c r="F67" s="1156">
        <v>30</v>
      </c>
    </row>
    <row r="68" spans="1:6" s="1107" customFormat="1" ht="36">
      <c r="A68" s="1156">
        <v>8</v>
      </c>
      <c r="B68" s="3422"/>
      <c r="C68" s="1070" t="s">
        <v>1520</v>
      </c>
      <c r="D68" s="1070" t="s">
        <v>1521</v>
      </c>
      <c r="E68" s="1141">
        <v>0.2</v>
      </c>
      <c r="F68" s="1156">
        <v>30</v>
      </c>
    </row>
    <row r="69" spans="1:6" s="1107" customFormat="1" ht="36">
      <c r="A69" s="1156">
        <v>9</v>
      </c>
      <c r="B69" s="3422"/>
      <c r="C69" s="1070" t="s">
        <v>1522</v>
      </c>
      <c r="D69" s="1070" t="s">
        <v>1523</v>
      </c>
      <c r="E69" s="1141">
        <v>0.2</v>
      </c>
      <c r="F69" s="1156">
        <v>30</v>
      </c>
    </row>
    <row r="70" spans="1:6" s="1107" customFormat="1" ht="48">
      <c r="A70" s="1156">
        <v>10</v>
      </c>
      <c r="B70" s="3422"/>
      <c r="C70" s="1070" t="s">
        <v>1524</v>
      </c>
      <c r="D70" s="1070" t="s">
        <v>1525</v>
      </c>
      <c r="E70" s="1141">
        <v>0.2</v>
      </c>
      <c r="F70" s="1156">
        <v>30</v>
      </c>
    </row>
    <row r="71" spans="1:6" s="1107" customFormat="1" ht="48">
      <c r="A71" s="1156">
        <v>11</v>
      </c>
      <c r="B71" s="3422"/>
      <c r="C71" s="1070" t="s">
        <v>1526</v>
      </c>
      <c r="D71" s="1070" t="s">
        <v>1527</v>
      </c>
      <c r="E71" s="1141">
        <v>0.2</v>
      </c>
      <c r="F71" s="1156">
        <v>30</v>
      </c>
    </row>
    <row r="72" spans="1:6" s="1107" customFormat="1" ht="36">
      <c r="A72" s="1156">
        <v>12</v>
      </c>
      <c r="B72" s="3422"/>
      <c r="C72" s="1070" t="s">
        <v>1528</v>
      </c>
      <c r="D72" s="1070" t="s">
        <v>1529</v>
      </c>
      <c r="E72" s="1141">
        <v>0.5</v>
      </c>
      <c r="F72" s="1156">
        <v>80</v>
      </c>
    </row>
    <row r="73" spans="1:6" s="1107" customFormat="1" ht="24">
      <c r="A73" s="1156">
        <v>13</v>
      </c>
      <c r="B73" s="3422"/>
      <c r="C73" s="1070" t="s">
        <v>1530</v>
      </c>
      <c r="D73" s="1070" t="s">
        <v>1531</v>
      </c>
      <c r="E73" s="1141">
        <v>0.4</v>
      </c>
      <c r="F73" s="1156">
        <v>60</v>
      </c>
    </row>
    <row r="74" spans="1:6" s="1107" customFormat="1" ht="24">
      <c r="A74" s="1156">
        <v>14</v>
      </c>
      <c r="B74" s="3422"/>
      <c r="C74" s="1070" t="s">
        <v>1532</v>
      </c>
      <c r="D74" s="1070" t="s">
        <v>1533</v>
      </c>
      <c r="E74" s="1141">
        <v>0.2</v>
      </c>
      <c r="F74" s="1156">
        <v>30</v>
      </c>
    </row>
    <row r="75" spans="1:6" s="1107" customFormat="1" ht="24">
      <c r="A75" s="1156">
        <v>15</v>
      </c>
      <c r="B75" s="3422"/>
      <c r="C75" s="1070" t="s">
        <v>1534</v>
      </c>
      <c r="D75" s="1070" t="s">
        <v>1535</v>
      </c>
      <c r="E75" s="1141">
        <v>0.2</v>
      </c>
      <c r="F75" s="1156">
        <v>30</v>
      </c>
    </row>
    <row r="76" spans="1:6" s="1107" customFormat="1" ht="24">
      <c r="A76" s="1156">
        <v>16</v>
      </c>
      <c r="B76" s="3422" t="s">
        <v>1536</v>
      </c>
      <c r="C76" s="1070" t="s">
        <v>1537</v>
      </c>
      <c r="D76" s="1070" t="s">
        <v>1538</v>
      </c>
      <c r="E76" s="1141">
        <v>0.5</v>
      </c>
      <c r="F76" s="1156">
        <v>80</v>
      </c>
    </row>
    <row r="77" spans="1:6" s="1107" customFormat="1" ht="24">
      <c r="A77" s="1156">
        <v>17</v>
      </c>
      <c r="B77" s="3422"/>
      <c r="C77" s="1070" t="s">
        <v>1539</v>
      </c>
      <c r="D77" s="1070" t="s">
        <v>1540</v>
      </c>
      <c r="E77" s="1141">
        <v>0.5</v>
      </c>
      <c r="F77" s="1156">
        <v>80</v>
      </c>
    </row>
    <row r="78" spans="1:6" s="1107" customFormat="1" ht="24">
      <c r="A78" s="1156">
        <v>18</v>
      </c>
      <c r="B78" s="3422"/>
      <c r="C78" s="1070" t="s">
        <v>1541</v>
      </c>
      <c r="D78" s="1070" t="s">
        <v>1542</v>
      </c>
      <c r="E78" s="1141">
        <v>0.2</v>
      </c>
      <c r="F78" s="1156">
        <v>30</v>
      </c>
    </row>
    <row r="79" spans="1:6" s="1107" customFormat="1" ht="24">
      <c r="A79" s="1156">
        <v>19</v>
      </c>
      <c r="B79" s="3422"/>
      <c r="C79" s="1070" t="s">
        <v>1543</v>
      </c>
      <c r="D79" s="1070" t="s">
        <v>1544</v>
      </c>
      <c r="E79" s="1141">
        <v>0.5</v>
      </c>
      <c r="F79" s="1156">
        <v>80</v>
      </c>
    </row>
    <row r="80" spans="1:6" s="1107" customFormat="1" ht="36">
      <c r="A80" s="1156">
        <v>20</v>
      </c>
      <c r="B80" s="3422"/>
      <c r="C80" s="1070" t="s">
        <v>1545</v>
      </c>
      <c r="D80" s="1070" t="s">
        <v>1546</v>
      </c>
      <c r="E80" s="1141">
        <v>0.2</v>
      </c>
      <c r="F80" s="1156">
        <v>30</v>
      </c>
    </row>
    <row r="81" spans="1:6" s="1107" customFormat="1" ht="36">
      <c r="A81" s="1156">
        <v>21</v>
      </c>
      <c r="B81" s="3422"/>
      <c r="C81" s="1070" t="s">
        <v>1547</v>
      </c>
      <c r="D81" s="1070" t="s">
        <v>1548</v>
      </c>
      <c r="E81" s="1141">
        <v>0.2</v>
      </c>
      <c r="F81" s="1156">
        <v>30</v>
      </c>
    </row>
    <row r="82" spans="1:6" s="1107" customFormat="1" ht="48">
      <c r="A82" s="1156">
        <v>22</v>
      </c>
      <c r="B82" s="3422"/>
      <c r="C82" s="1070" t="s">
        <v>1549</v>
      </c>
      <c r="D82" s="1070" t="s">
        <v>1550</v>
      </c>
      <c r="E82" s="1141">
        <v>0.2</v>
      </c>
      <c r="F82" s="1156">
        <v>30</v>
      </c>
    </row>
    <row r="83" spans="1:6" s="1107" customFormat="1" ht="48">
      <c r="A83" s="1156">
        <v>23</v>
      </c>
      <c r="B83" s="3422"/>
      <c r="C83" s="1070" t="s">
        <v>1551</v>
      </c>
      <c r="D83" s="1070" t="s">
        <v>1552</v>
      </c>
      <c r="E83" s="1141">
        <v>0.2</v>
      </c>
      <c r="F83" s="1156">
        <v>30</v>
      </c>
    </row>
    <row r="84" spans="1:6" s="1107" customFormat="1" ht="36">
      <c r="A84" s="1156">
        <v>24</v>
      </c>
      <c r="B84" s="3422"/>
      <c r="C84" s="1070" t="s">
        <v>1553</v>
      </c>
      <c r="D84" s="1070" t="s">
        <v>1554</v>
      </c>
      <c r="E84" s="1141">
        <v>0.2</v>
      </c>
      <c r="F84" s="1156">
        <v>30</v>
      </c>
    </row>
    <row r="85" spans="1:6" s="1107" customFormat="1" ht="36">
      <c r="A85" s="1156">
        <v>25</v>
      </c>
      <c r="B85" s="3422"/>
      <c r="C85" s="1070" t="s">
        <v>1555</v>
      </c>
      <c r="D85" s="1070" t="s">
        <v>1556</v>
      </c>
      <c r="E85" s="1141">
        <v>0.5</v>
      </c>
      <c r="F85" s="1156">
        <v>80</v>
      </c>
    </row>
    <row r="86" spans="1:6" s="1107" customFormat="1" ht="36">
      <c r="A86" s="1156">
        <v>26</v>
      </c>
      <c r="B86" s="3422"/>
      <c r="C86" s="1070" t="s">
        <v>1557</v>
      </c>
      <c r="D86" s="1070" t="s">
        <v>1558</v>
      </c>
      <c r="E86" s="1141">
        <v>0.2</v>
      </c>
      <c r="F86" s="1156">
        <v>30</v>
      </c>
    </row>
    <row r="87" spans="1:6" s="1107" customFormat="1" ht="36">
      <c r="A87" s="1156">
        <v>27</v>
      </c>
      <c r="B87" s="3422"/>
      <c r="C87" s="1070" t="s">
        <v>1559</v>
      </c>
      <c r="D87" s="1070" t="s">
        <v>1560</v>
      </c>
      <c r="E87" s="1141">
        <v>0.2</v>
      </c>
      <c r="F87" s="1156">
        <v>30</v>
      </c>
    </row>
    <row r="88" spans="1:6" s="1107" customFormat="1" ht="36">
      <c r="A88" s="1156">
        <v>28</v>
      </c>
      <c r="B88" s="3422"/>
      <c r="C88" s="1070" t="s">
        <v>1561</v>
      </c>
      <c r="D88" s="1070" t="s">
        <v>1562</v>
      </c>
      <c r="E88" s="1141">
        <v>0.2</v>
      </c>
      <c r="F88" s="1156">
        <v>30</v>
      </c>
    </row>
    <row r="89" spans="1:6" s="1107" customFormat="1" ht="24">
      <c r="A89" s="1156">
        <v>29</v>
      </c>
      <c r="B89" s="3422"/>
      <c r="C89" s="1070" t="s">
        <v>1563</v>
      </c>
      <c r="D89" s="1070" t="s">
        <v>1564</v>
      </c>
      <c r="E89" s="1141">
        <v>0.2</v>
      </c>
      <c r="F89" s="1156">
        <v>30</v>
      </c>
    </row>
    <row r="90" spans="1:6" s="1107" customFormat="1" ht="24">
      <c r="A90" s="1156">
        <v>30</v>
      </c>
      <c r="B90" s="3422"/>
      <c r="C90" s="1070" t="s">
        <v>1565</v>
      </c>
      <c r="D90" s="1070" t="s">
        <v>1566</v>
      </c>
      <c r="E90" s="1141">
        <v>0.2</v>
      </c>
      <c r="F90" s="1156">
        <v>30</v>
      </c>
    </row>
    <row r="91" spans="1:6" s="1107" customFormat="1" ht="36">
      <c r="A91" s="1156">
        <v>31</v>
      </c>
      <c r="B91" s="3422"/>
      <c r="C91" s="1070" t="s">
        <v>1567</v>
      </c>
      <c r="D91" s="1070" t="s">
        <v>1568</v>
      </c>
      <c r="E91" s="1141">
        <v>0.2</v>
      </c>
      <c r="F91" s="1156">
        <v>30</v>
      </c>
    </row>
    <row r="92" spans="1:6" s="1107" customFormat="1" ht="24">
      <c r="A92" s="1156">
        <v>32</v>
      </c>
      <c r="B92" s="3422" t="s">
        <v>1569</v>
      </c>
      <c r="C92" s="1156" t="s">
        <v>1570</v>
      </c>
      <c r="D92" s="1070" t="s">
        <v>1571</v>
      </c>
      <c r="E92" s="1141">
        <v>0.2</v>
      </c>
      <c r="F92" s="1156">
        <v>30</v>
      </c>
    </row>
    <row r="93" spans="1:6" s="1107" customFormat="1" ht="36">
      <c r="A93" s="1156">
        <v>33</v>
      </c>
      <c r="B93" s="3422"/>
      <c r="C93" s="1156" t="s">
        <v>1572</v>
      </c>
      <c r="D93" s="1070" t="s">
        <v>1573</v>
      </c>
      <c r="E93" s="1141">
        <v>0.2</v>
      </c>
      <c r="F93" s="1156">
        <v>30</v>
      </c>
    </row>
    <row r="94" spans="1:6" s="1107" customFormat="1" ht="48">
      <c r="A94" s="1156">
        <v>34</v>
      </c>
      <c r="B94" s="3422"/>
      <c r="C94" s="1156" t="s">
        <v>1574</v>
      </c>
      <c r="D94" s="1070" t="s">
        <v>1575</v>
      </c>
      <c r="E94" s="1141">
        <v>0.2</v>
      </c>
      <c r="F94" s="1156">
        <v>30</v>
      </c>
    </row>
    <row r="95" spans="1:6" s="1107" customFormat="1" ht="36">
      <c r="A95" s="1156">
        <v>35</v>
      </c>
      <c r="B95" s="3422"/>
      <c r="C95" s="1156" t="s">
        <v>1576</v>
      </c>
      <c r="D95" s="1070" t="s">
        <v>1577</v>
      </c>
      <c r="E95" s="1141">
        <v>0.2</v>
      </c>
      <c r="F95" s="1156">
        <v>30</v>
      </c>
    </row>
    <row r="96" spans="1:6" s="1107" customFormat="1" ht="48">
      <c r="A96" s="1156">
        <v>36</v>
      </c>
      <c r="B96" s="3422"/>
      <c r="C96" s="1070" t="s">
        <v>1578</v>
      </c>
      <c r="D96" s="1070" t="s">
        <v>1579</v>
      </c>
      <c r="E96" s="1141">
        <v>0.2</v>
      </c>
      <c r="F96" s="1156">
        <v>30</v>
      </c>
    </row>
    <row r="97" spans="1:6" s="1107" customFormat="1" ht="36">
      <c r="A97" s="1156">
        <v>37</v>
      </c>
      <c r="B97" s="3422"/>
      <c r="C97" s="1156" t="s">
        <v>1580</v>
      </c>
      <c r="D97" s="1070" t="s">
        <v>1581</v>
      </c>
      <c r="E97" s="1141">
        <v>0.2</v>
      </c>
      <c r="F97" s="1156">
        <v>30</v>
      </c>
    </row>
    <row r="98" spans="1:6" s="1107" customFormat="1" ht="36">
      <c r="A98" s="1156">
        <v>38</v>
      </c>
      <c r="B98" s="3422"/>
      <c r="C98" s="1156" t="s">
        <v>1582</v>
      </c>
      <c r="D98" s="1070" t="s">
        <v>1583</v>
      </c>
      <c r="E98" s="1141">
        <v>0.2</v>
      </c>
      <c r="F98" s="1156">
        <v>30</v>
      </c>
    </row>
    <row r="99" spans="1:6" s="1107" customFormat="1" ht="36">
      <c r="A99" s="1156">
        <v>39</v>
      </c>
      <c r="B99" s="3422" t="s">
        <v>1584</v>
      </c>
      <c r="C99" s="1156" t="s">
        <v>1585</v>
      </c>
      <c r="D99" s="1070" t="s">
        <v>1586</v>
      </c>
      <c r="E99" s="1141">
        <v>0.3</v>
      </c>
      <c r="F99" s="1156">
        <v>50</v>
      </c>
    </row>
    <row r="100" spans="1:6" s="1107" customFormat="1" ht="24">
      <c r="A100" s="1156">
        <v>40</v>
      </c>
      <c r="B100" s="3422"/>
      <c r="C100" s="1156" t="s">
        <v>1587</v>
      </c>
      <c r="D100" s="1070" t="s">
        <v>1588</v>
      </c>
      <c r="E100" s="1141">
        <v>0.2</v>
      </c>
      <c r="F100" s="1156">
        <v>30</v>
      </c>
    </row>
    <row r="101" spans="1:6" s="1107" customFormat="1" ht="36">
      <c r="A101" s="1156">
        <v>41</v>
      </c>
      <c r="B101" s="3422"/>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422" t="s">
        <v>1599</v>
      </c>
      <c r="C105" s="1156" t="s">
        <v>1600</v>
      </c>
      <c r="D105" s="1070" t="s">
        <v>1601</v>
      </c>
      <c r="E105" s="1141">
        <v>0.2</v>
      </c>
      <c r="F105" s="1156">
        <v>30</v>
      </c>
    </row>
    <row r="106" spans="1:6" s="1107" customFormat="1" ht="36">
      <c r="A106" s="1156">
        <v>46</v>
      </c>
      <c r="B106" s="3422"/>
      <c r="C106" s="1156" t="s">
        <v>1602</v>
      </c>
      <c r="D106" s="1070" t="s">
        <v>1603</v>
      </c>
      <c r="E106" s="1141">
        <v>0.2</v>
      </c>
      <c r="F106" s="1156">
        <v>30</v>
      </c>
    </row>
    <row r="107" spans="1:6" s="1107" customFormat="1" ht="36">
      <c r="A107" s="1156">
        <v>47</v>
      </c>
      <c r="B107" s="3422" t="s">
        <v>1604</v>
      </c>
      <c r="C107" s="1156" t="s">
        <v>1605</v>
      </c>
      <c r="D107" s="1070" t="s">
        <v>1606</v>
      </c>
      <c r="E107" s="1141">
        <v>0.3</v>
      </c>
      <c r="F107" s="1156">
        <v>50</v>
      </c>
    </row>
    <row r="108" spans="1:6" s="1107" customFormat="1" ht="36">
      <c r="A108" s="1156">
        <v>48</v>
      </c>
      <c r="B108" s="3422"/>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422" t="s">
        <v>1615</v>
      </c>
      <c r="C111" s="1156" t="s">
        <v>1616</v>
      </c>
      <c r="D111" s="1070" t="s">
        <v>1617</v>
      </c>
      <c r="E111" s="1141">
        <v>0.2</v>
      </c>
      <c r="F111" s="1156">
        <v>30</v>
      </c>
    </row>
    <row r="112" spans="1:6" s="1107" customFormat="1" ht="24">
      <c r="A112" s="1156">
        <v>52</v>
      </c>
      <c r="B112" s="3422"/>
      <c r="C112" s="1156" t="s">
        <v>1618</v>
      </c>
      <c r="D112" s="1070" t="s">
        <v>1619</v>
      </c>
      <c r="E112" s="1141">
        <v>0.2</v>
      </c>
      <c r="F112" s="1156">
        <v>30</v>
      </c>
    </row>
    <row r="113" spans="1:14" s="1107" customFormat="1" ht="24">
      <c r="A113" s="1156">
        <v>53</v>
      </c>
      <c r="B113" s="3422"/>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422" t="s">
        <v>1628</v>
      </c>
      <c r="C116" s="1156" t="s">
        <v>1629</v>
      </c>
      <c r="D116" s="1070" t="s">
        <v>1630</v>
      </c>
      <c r="E116" s="1141">
        <v>0.2</v>
      </c>
      <c r="F116" s="1156">
        <v>30</v>
      </c>
    </row>
    <row r="117" spans="1:14" ht="36">
      <c r="A117" s="1156">
        <v>57</v>
      </c>
      <c r="B117" s="3422"/>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421" t="s">
        <v>1637</v>
      </c>
      <c r="B121" s="3421"/>
      <c r="C121" s="3421"/>
      <c r="D121" s="3421"/>
      <c r="E121" s="3421"/>
      <c r="F121" s="3421"/>
      <c r="G121" s="3421"/>
      <c r="H121" s="3421"/>
      <c r="I121" s="3421"/>
      <c r="J121" s="3421"/>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6" t="s">
        <v>1043</v>
      </c>
      <c r="B1" s="3426"/>
      <c r="C1" s="3426"/>
      <c r="D1" s="3426"/>
      <c r="E1" s="3426"/>
      <c r="F1" s="3426"/>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427" t="s">
        <v>1056</v>
      </c>
      <c r="B2" s="3427"/>
      <c r="C2" s="3427"/>
      <c r="D2" s="3427"/>
      <c r="E2" s="3427"/>
      <c r="F2" s="3427"/>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428"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429"/>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2427</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2428</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0" t="s">
        <v>2083</v>
      </c>
      <c r="B1" s="3430"/>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1100</v>
      </c>
      <c r="B6" s="1863" t="s">
        <v>2092</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2093</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2094</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2095</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2096</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2097</v>
      </c>
      <c r="C72" s="1873"/>
      <c r="D72" s="1873"/>
      <c r="E72" s="1873"/>
      <c r="F72" s="1865">
        <v>0.05</v>
      </c>
    </row>
    <row r="73" spans="1:6" ht="14.25" thickBot="1">
      <c r="A73" s="1859" t="s">
        <v>928</v>
      </c>
      <c r="B73" s="1863" t="s">
        <v>2098</v>
      </c>
      <c r="C73" s="1873"/>
      <c r="D73" s="1873"/>
      <c r="E73" s="1873"/>
      <c r="F73" s="1865">
        <v>0.05</v>
      </c>
    </row>
    <row r="74" spans="1:6" ht="14.25" thickBot="1">
      <c r="A74" s="1859" t="s">
        <v>928</v>
      </c>
      <c r="B74" s="1863" t="s">
        <v>2099</v>
      </c>
      <c r="C74" s="1873"/>
      <c r="D74" s="1873"/>
      <c r="E74" s="1873"/>
      <c r="F74" s="1865">
        <v>0.05</v>
      </c>
    </row>
    <row r="75" spans="1:6" ht="14.25" thickBot="1">
      <c r="A75" s="1867" t="s">
        <v>928</v>
      </c>
      <c r="B75" s="1874" t="s">
        <v>2100</v>
      </c>
      <c r="C75" s="1870"/>
      <c r="D75" s="1870"/>
      <c r="E75" s="1870"/>
      <c r="F75" s="1875">
        <v>0.05</v>
      </c>
    </row>
    <row r="76" spans="1:6" ht="14.25" thickBot="1">
      <c r="A76" s="1859" t="s">
        <v>1411</v>
      </c>
      <c r="B76" s="1860" t="s">
        <v>2101</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2102</v>
      </c>
      <c r="C102" s="1873"/>
      <c r="D102" s="1873"/>
      <c r="E102" s="1873"/>
      <c r="F102" s="1865">
        <v>0.05</v>
      </c>
    </row>
    <row r="103" spans="1:6" ht="24.75" thickBot="1">
      <c r="A103" s="1859" t="s">
        <v>1411</v>
      </c>
      <c r="B103" s="1863" t="s">
        <v>2103</v>
      </c>
      <c r="C103" s="1873"/>
      <c r="D103" s="1873"/>
      <c r="E103" s="1873"/>
      <c r="F103" s="1865">
        <v>0.05</v>
      </c>
    </row>
    <row r="104" spans="1:6" ht="14.25" thickBot="1">
      <c r="A104" s="1859" t="s">
        <v>1411</v>
      </c>
      <c r="B104" s="1863" t="s">
        <v>2104</v>
      </c>
      <c r="C104" s="1873"/>
      <c r="D104" s="1873"/>
      <c r="E104" s="1873"/>
      <c r="F104" s="1865">
        <v>0.05</v>
      </c>
    </row>
    <row r="105" spans="1:6" ht="14.25" thickBot="1">
      <c r="A105" s="1859" t="s">
        <v>1411</v>
      </c>
      <c r="B105" s="1863" t="s">
        <v>2105</v>
      </c>
      <c r="C105" s="1873"/>
      <c r="D105" s="1873"/>
      <c r="E105" s="1873"/>
      <c r="F105" s="1865">
        <v>0.05</v>
      </c>
    </row>
    <row r="106" spans="1:6" ht="14.25" thickBot="1">
      <c r="A106" s="1859" t="s">
        <v>1411</v>
      </c>
      <c r="B106" s="1863" t="s">
        <v>2106</v>
      </c>
      <c r="C106" s="1873"/>
      <c r="D106" s="1873"/>
      <c r="E106" s="1873"/>
      <c r="F106" s="1865">
        <v>0.05</v>
      </c>
    </row>
    <row r="107" spans="1:6" ht="24.75" thickBot="1">
      <c r="A107" s="1859" t="s">
        <v>1411</v>
      </c>
      <c r="B107" s="1863" t="s">
        <v>2107</v>
      </c>
      <c r="C107" s="1873"/>
      <c r="D107" s="1873"/>
      <c r="E107" s="1873"/>
      <c r="F107" s="1865">
        <v>0.05</v>
      </c>
    </row>
    <row r="108" spans="1:6" ht="24.75" thickBot="1">
      <c r="A108" s="1859" t="s">
        <v>1411</v>
      </c>
      <c r="B108" s="1863" t="s">
        <v>2108</v>
      </c>
      <c r="C108" s="1873"/>
      <c r="D108" s="1873"/>
      <c r="E108" s="1873"/>
      <c r="F108" s="1865">
        <v>0.05</v>
      </c>
    </row>
    <row r="109" spans="1:6" ht="24.75" thickBot="1">
      <c r="A109" s="1867" t="s">
        <v>1411</v>
      </c>
      <c r="B109" s="1874" t="s">
        <v>2109</v>
      </c>
      <c r="C109" s="1870"/>
      <c r="D109" s="1870"/>
      <c r="E109" s="1870"/>
      <c r="F109" s="1875">
        <v>0.05</v>
      </c>
    </row>
    <row r="110" spans="1:6" ht="14.25" thickBot="1">
      <c r="A110" s="1859" t="s">
        <v>1413</v>
      </c>
      <c r="B110" s="1860" t="s">
        <v>2110</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2111</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2112</v>
      </c>
      <c r="C138" s="1864">
        <v>0.105</v>
      </c>
      <c r="D138" s="1864">
        <v>0.125</v>
      </c>
      <c r="E138" s="1864">
        <v>0.112</v>
      </c>
      <c r="F138" s="1872"/>
    </row>
    <row r="139" spans="1:6" ht="14.25" thickBot="1">
      <c r="A139" s="1859" t="s">
        <v>1413</v>
      </c>
      <c r="B139" s="1863" t="s">
        <v>2113</v>
      </c>
      <c r="C139" s="1864">
        <v>0.127</v>
      </c>
      <c r="D139" s="1864">
        <v>0.127</v>
      </c>
      <c r="E139" s="1864">
        <v>0.122</v>
      </c>
      <c r="F139" s="1865">
        <v>0.13</v>
      </c>
    </row>
    <row r="140" spans="1:6" ht="14.25" thickBot="1">
      <c r="A140" s="1859" t="s">
        <v>1413</v>
      </c>
      <c r="B140" s="1863" t="s">
        <v>2114</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2115</v>
      </c>
      <c r="C144" s="1877">
        <v>0.126</v>
      </c>
      <c r="D144" s="1877">
        <v>0.126</v>
      </c>
      <c r="E144" s="1877">
        <v>0.121</v>
      </c>
      <c r="F144" s="1872"/>
    </row>
    <row r="145" spans="1:6" ht="14.25" thickBot="1">
      <c r="A145" s="1867" t="s">
        <v>1413</v>
      </c>
      <c r="B145" s="1878" t="s">
        <v>2116</v>
      </c>
      <c r="C145" s="1879"/>
      <c r="D145" s="1879"/>
      <c r="E145" s="1879"/>
      <c r="F145" s="1880">
        <v>0.05</v>
      </c>
    </row>
    <row r="146" spans="1:6" ht="24.75" thickBot="1">
      <c r="A146" s="1881" t="s">
        <v>1413</v>
      </c>
      <c r="B146" s="1866" t="s">
        <v>2117</v>
      </c>
      <c r="C146" s="1873"/>
      <c r="D146" s="1873"/>
      <c r="E146" s="1873"/>
      <c r="F146" s="1882">
        <v>0.05</v>
      </c>
    </row>
    <row r="147" spans="1:6" ht="24.75" thickBot="1">
      <c r="A147" s="1859" t="s">
        <v>1413</v>
      </c>
      <c r="B147" s="1863" t="s">
        <v>2118</v>
      </c>
      <c r="C147" s="1873"/>
      <c r="D147" s="1873"/>
      <c r="E147" s="1873"/>
      <c r="F147" s="1865">
        <v>0.05</v>
      </c>
    </row>
    <row r="148" spans="1:6" ht="24.75" thickBot="1">
      <c r="A148" s="1859" t="s">
        <v>1413</v>
      </c>
      <c r="B148" s="1863" t="s">
        <v>2119</v>
      </c>
      <c r="C148" s="1873"/>
      <c r="D148" s="1873"/>
      <c r="E148" s="1873"/>
      <c r="F148" s="1865">
        <v>0.05</v>
      </c>
    </row>
    <row r="149" spans="1:6" ht="24.75" thickBot="1">
      <c r="A149" s="1859" t="s">
        <v>1413</v>
      </c>
      <c r="B149" s="1863" t="s">
        <v>2120</v>
      </c>
      <c r="C149" s="1873"/>
      <c r="D149" s="1873"/>
      <c r="E149" s="1873"/>
      <c r="F149" s="1865">
        <v>0.05</v>
      </c>
    </row>
    <row r="150" spans="1:6" ht="24.75" thickBot="1">
      <c r="A150" s="1859" t="s">
        <v>1413</v>
      </c>
      <c r="B150" s="1863" t="s">
        <v>2121</v>
      </c>
      <c r="C150" s="1873"/>
      <c r="D150" s="1873"/>
      <c r="E150" s="1873"/>
      <c r="F150" s="1865">
        <v>0.05</v>
      </c>
    </row>
    <row r="151" spans="1:6" ht="24.75" thickBot="1">
      <c r="A151" s="1859" t="s">
        <v>1413</v>
      </c>
      <c r="B151" s="1863" t="s">
        <v>2122</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2123</v>
      </c>
      <c r="C153" s="1873"/>
      <c r="D153" s="1873"/>
      <c r="E153" s="1873"/>
      <c r="F153" s="1865">
        <v>0.05</v>
      </c>
    </row>
    <row r="154" spans="1:6" ht="14.25" thickBot="1">
      <c r="A154" s="1859" t="s">
        <v>1413</v>
      </c>
      <c r="B154" s="1863" t="s">
        <v>2124</v>
      </c>
      <c r="C154" s="1873"/>
      <c r="D154" s="1873"/>
      <c r="E154" s="1873"/>
      <c r="F154" s="1865">
        <v>0.05</v>
      </c>
    </row>
    <row r="155" spans="1:6" ht="24.75" thickBot="1">
      <c r="A155" s="1859" t="s">
        <v>1413</v>
      </c>
      <c r="B155" s="1863" t="s">
        <v>2125</v>
      </c>
      <c r="C155" s="1873"/>
      <c r="D155" s="1873"/>
      <c r="E155" s="1873"/>
      <c r="F155" s="1865">
        <v>0.05</v>
      </c>
    </row>
    <row r="156" spans="1:6" ht="24.75" thickBot="1">
      <c r="A156" s="1859" t="s">
        <v>1413</v>
      </c>
      <c r="B156" s="1863" t="s">
        <v>2126</v>
      </c>
      <c r="C156" s="1873"/>
      <c r="D156" s="1873"/>
      <c r="E156" s="1873"/>
      <c r="F156" s="1865">
        <v>0.05</v>
      </c>
    </row>
    <row r="157" spans="1:6" ht="14.25" thickBot="1">
      <c r="A157" s="1867" t="s">
        <v>1413</v>
      </c>
      <c r="B157" s="1874" t="s">
        <v>2127</v>
      </c>
      <c r="C157" s="1870"/>
      <c r="D157" s="1870"/>
      <c r="E157" s="1870"/>
      <c r="F157" s="1875">
        <v>0.05</v>
      </c>
    </row>
    <row r="158" spans="1:6" ht="14.25" thickBot="1">
      <c r="A158" s="1859" t="s">
        <v>1415</v>
      </c>
      <c r="B158" s="1860" t="s">
        <v>2128</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2129</v>
      </c>
      <c r="C171" s="1864">
        <v>0.127</v>
      </c>
      <c r="D171" s="1864">
        <v>0.126</v>
      </c>
      <c r="E171" s="1864">
        <v>0.126</v>
      </c>
      <c r="F171" s="1865">
        <v>0.11799999999999999</v>
      </c>
    </row>
    <row r="172" spans="1:6" ht="14.25" thickBot="1">
      <c r="A172" s="1859" t="s">
        <v>1415</v>
      </c>
      <c r="B172" s="1863" t="s">
        <v>2130</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2131</v>
      </c>
      <c r="C174" s="1864">
        <v>0.13</v>
      </c>
      <c r="D174" s="1864">
        <v>0.13</v>
      </c>
      <c r="E174" s="1864">
        <v>0.13</v>
      </c>
      <c r="F174" s="1865">
        <v>0.13</v>
      </c>
    </row>
    <row r="175" spans="1:6" ht="14.25" thickBot="1">
      <c r="A175" s="1859" t="s">
        <v>1415</v>
      </c>
      <c r="B175" s="1863" t="s">
        <v>2132</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2133</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2134</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2135</v>
      </c>
      <c r="C185" s="1864">
        <v>0.127</v>
      </c>
      <c r="D185" s="1864">
        <v>0.127</v>
      </c>
      <c r="E185" s="1864">
        <v>0.128</v>
      </c>
      <c r="F185" s="1865">
        <v>0.13</v>
      </c>
    </row>
    <row r="186" spans="1:6" ht="24.75" thickBot="1">
      <c r="A186" s="1859" t="s">
        <v>1415</v>
      </c>
      <c r="B186" s="1863" t="s">
        <v>2136</v>
      </c>
      <c r="C186" s="1873"/>
      <c r="D186" s="1873"/>
      <c r="E186" s="1873"/>
      <c r="F186" s="1865">
        <v>0.05</v>
      </c>
    </row>
    <row r="187" spans="1:6" ht="14.25" thickBot="1">
      <c r="A187" s="1859" t="s">
        <v>1415</v>
      </c>
      <c r="B187" s="1863" t="s">
        <v>2137</v>
      </c>
      <c r="C187" s="1873"/>
      <c r="D187" s="1873"/>
      <c r="E187" s="1873"/>
      <c r="F187" s="1865">
        <v>0.05</v>
      </c>
    </row>
    <row r="188" spans="1:6" ht="14.25" thickBot="1">
      <c r="A188" s="1859" t="s">
        <v>1415</v>
      </c>
      <c r="B188" s="1863" t="s">
        <v>2138</v>
      </c>
      <c r="C188" s="1873"/>
      <c r="D188" s="1873"/>
      <c r="E188" s="1873"/>
      <c r="F188" s="1865">
        <v>0.05</v>
      </c>
    </row>
    <row r="189" spans="1:6" ht="24.75" thickBot="1">
      <c r="A189" s="1859" t="s">
        <v>1415</v>
      </c>
      <c r="B189" s="1863" t="s">
        <v>2139</v>
      </c>
      <c r="C189" s="1873"/>
      <c r="D189" s="1873"/>
      <c r="E189" s="1873"/>
      <c r="F189" s="1865">
        <v>0.05</v>
      </c>
    </row>
    <row r="190" spans="1:6" ht="24.75" thickBot="1">
      <c r="A190" s="1859" t="s">
        <v>1415</v>
      </c>
      <c r="B190" s="1863" t="s">
        <v>2140</v>
      </c>
      <c r="C190" s="1873"/>
      <c r="D190" s="1873"/>
      <c r="E190" s="1873"/>
      <c r="F190" s="1865">
        <v>0.05</v>
      </c>
    </row>
    <row r="191" spans="1:6" ht="24.75" thickBot="1">
      <c r="A191" s="1859" t="s">
        <v>1415</v>
      </c>
      <c r="B191" s="1863" t="s">
        <v>2141</v>
      </c>
      <c r="C191" s="1873"/>
      <c r="D191" s="1873"/>
      <c r="E191" s="1873"/>
      <c r="F191" s="1865">
        <v>0.05</v>
      </c>
    </row>
    <row r="192" spans="1:6" ht="24.75" thickBot="1">
      <c r="A192" s="1859" t="s">
        <v>1415</v>
      </c>
      <c r="B192" s="1863" t="s">
        <v>2142</v>
      </c>
      <c r="C192" s="1873"/>
      <c r="D192" s="1873"/>
      <c r="E192" s="1873"/>
      <c r="F192" s="1865">
        <v>0.05</v>
      </c>
    </row>
    <row r="193" spans="1:6" ht="24.75" thickBot="1">
      <c r="A193" s="1859" t="s">
        <v>1415</v>
      </c>
      <c r="B193" s="1863" t="s">
        <v>2143</v>
      </c>
      <c r="C193" s="1873"/>
      <c r="D193" s="1873"/>
      <c r="E193" s="1873"/>
      <c r="F193" s="1865">
        <v>0.05</v>
      </c>
    </row>
    <row r="194" spans="1:6" ht="24.75" thickBot="1">
      <c r="A194" s="1859" t="s">
        <v>1415</v>
      </c>
      <c r="B194" s="1863" t="s">
        <v>2144</v>
      </c>
      <c r="C194" s="1873"/>
      <c r="D194" s="1873"/>
      <c r="E194" s="1873"/>
      <c r="F194" s="1865">
        <v>0.05</v>
      </c>
    </row>
    <row r="195" spans="1:6" ht="14.25" thickBot="1">
      <c r="A195" s="1859" t="s">
        <v>1415</v>
      </c>
      <c r="B195" s="1863" t="s">
        <v>2145</v>
      </c>
      <c r="C195" s="1873"/>
      <c r="D195" s="1873"/>
      <c r="E195" s="1873"/>
      <c r="F195" s="1865">
        <v>0.05</v>
      </c>
    </row>
    <row r="196" spans="1:6" ht="24.75" thickBot="1">
      <c r="A196" s="1859" t="s">
        <v>1415</v>
      </c>
      <c r="B196" s="1863" t="s">
        <v>2146</v>
      </c>
      <c r="C196" s="1873"/>
      <c r="D196" s="1873"/>
      <c r="E196" s="1873"/>
      <c r="F196" s="1865">
        <v>0.05</v>
      </c>
    </row>
    <row r="197" spans="1:6" ht="24.75" thickBot="1">
      <c r="A197" s="1859" t="s">
        <v>1415</v>
      </c>
      <c r="B197" s="1863" t="s">
        <v>2147</v>
      </c>
      <c r="C197" s="1873"/>
      <c r="D197" s="1873"/>
      <c r="E197" s="1873"/>
      <c r="F197" s="1865">
        <v>0.05</v>
      </c>
    </row>
    <row r="198" spans="1:6" ht="24.75" thickBot="1">
      <c r="A198" s="1859" t="s">
        <v>1415</v>
      </c>
      <c r="B198" s="1863" t="s">
        <v>2148</v>
      </c>
      <c r="C198" s="1873"/>
      <c r="D198" s="1873"/>
      <c r="E198" s="1873"/>
      <c r="F198" s="1865">
        <v>0.05</v>
      </c>
    </row>
    <row r="199" spans="1:6" ht="24.75" thickBot="1">
      <c r="A199" s="1859" t="s">
        <v>1415</v>
      </c>
      <c r="B199" s="1863" t="s">
        <v>2149</v>
      </c>
      <c r="C199" s="1873"/>
      <c r="D199" s="1873"/>
      <c r="E199" s="1873"/>
      <c r="F199" s="1865">
        <v>0.05</v>
      </c>
    </row>
    <row r="200" spans="1:6" ht="24.75" thickBot="1">
      <c r="A200" s="1859" t="s">
        <v>1415</v>
      </c>
      <c r="B200" s="1863" t="s">
        <v>2150</v>
      </c>
      <c r="C200" s="1873"/>
      <c r="D200" s="1873"/>
      <c r="E200" s="1873"/>
      <c r="F200" s="1865">
        <v>0.05</v>
      </c>
    </row>
    <row r="201" spans="1:6" ht="24.75" thickBot="1">
      <c r="A201" s="1859" t="s">
        <v>1415</v>
      </c>
      <c r="B201" s="1863" t="s">
        <v>2151</v>
      </c>
      <c r="C201" s="1873"/>
      <c r="D201" s="1873"/>
      <c r="E201" s="1873"/>
      <c r="F201" s="1865">
        <v>0.05</v>
      </c>
    </row>
    <row r="202" spans="1:6" ht="24.75" thickBot="1">
      <c r="A202" s="1859" t="s">
        <v>1415</v>
      </c>
      <c r="B202" s="1863" t="s">
        <v>2152</v>
      </c>
      <c r="C202" s="1873"/>
      <c r="D202" s="1873"/>
      <c r="E202" s="1873"/>
      <c r="F202" s="1865">
        <v>0.05</v>
      </c>
    </row>
    <row r="203" spans="1:6" ht="24.75" thickBot="1">
      <c r="A203" s="1859" t="s">
        <v>1415</v>
      </c>
      <c r="B203" s="1863" t="s">
        <v>2153</v>
      </c>
      <c r="C203" s="1873"/>
      <c r="D203" s="1873"/>
      <c r="E203" s="1873"/>
      <c r="F203" s="1865">
        <v>0.05</v>
      </c>
    </row>
    <row r="204" spans="1:6" ht="14.25" thickBot="1">
      <c r="A204" s="1859" t="s">
        <v>1415</v>
      </c>
      <c r="B204" s="1863" t="s">
        <v>2154</v>
      </c>
      <c r="C204" s="1873"/>
      <c r="D204" s="1873"/>
      <c r="E204" s="1873"/>
      <c r="F204" s="1865">
        <v>0.05</v>
      </c>
    </row>
    <row r="205" spans="1:6" ht="14.25" thickBot="1">
      <c r="A205" s="1867" t="s">
        <v>1415</v>
      </c>
      <c r="B205" s="1874" t="s">
        <v>2155</v>
      </c>
      <c r="C205" s="1870"/>
      <c r="D205" s="1870"/>
      <c r="E205" s="1870"/>
      <c r="F205" s="1875">
        <v>0.05</v>
      </c>
    </row>
    <row r="206" spans="1:6" ht="14.25" thickBot="1">
      <c r="A206" s="1859" t="s">
        <v>1417</v>
      </c>
      <c r="B206" s="1860" t="s">
        <v>2156</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2157</v>
      </c>
      <c r="C210" s="1864">
        <v>0.15</v>
      </c>
      <c r="D210" s="1864">
        <v>0.15</v>
      </c>
      <c r="E210" s="1864">
        <v>0.15</v>
      </c>
      <c r="F210" s="1865">
        <v>0.13800000000000001</v>
      </c>
    </row>
    <row r="211" spans="1:6" ht="14.25" thickBot="1">
      <c r="A211" s="1859" t="s">
        <v>1417</v>
      </c>
      <c r="B211" s="1863" t="s">
        <v>2158</v>
      </c>
      <c r="C211" s="1864">
        <v>0.13700000000000001</v>
      </c>
      <c r="D211" s="1864">
        <v>0.13500000000000001</v>
      </c>
      <c r="E211" s="1864">
        <v>0.13600000000000001</v>
      </c>
      <c r="F211" s="1865">
        <v>0.1</v>
      </c>
    </row>
    <row r="212" spans="1:6" ht="14.25" thickBot="1">
      <c r="A212" s="1859" t="s">
        <v>1417</v>
      </c>
      <c r="B212" s="1863" t="s">
        <v>2159</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2160</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2161</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2162</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2163</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2164</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2165</v>
      </c>
      <c r="C231" s="1864">
        <v>0.128</v>
      </c>
      <c r="D231" s="1864">
        <v>0.125</v>
      </c>
      <c r="E231" s="1864">
        <v>0.13200000000000001</v>
      </c>
      <c r="F231" s="1872"/>
    </row>
    <row r="232" spans="1:6" ht="14.25" thickBot="1">
      <c r="A232" s="1859" t="s">
        <v>1417</v>
      </c>
      <c r="B232" s="1863" t="s">
        <v>2166</v>
      </c>
      <c r="C232" s="1864">
        <v>0.14499999999999999</v>
      </c>
      <c r="D232" s="1864">
        <v>0.14399999999999999</v>
      </c>
      <c r="E232" s="1864">
        <v>0.14599999999999999</v>
      </c>
      <c r="F232" s="1865">
        <v>0.13800000000000001</v>
      </c>
    </row>
    <row r="233" spans="1:6" ht="14.25" thickBot="1">
      <c r="A233" s="1859" t="s">
        <v>1417</v>
      </c>
      <c r="B233" s="1863" t="s">
        <v>2167</v>
      </c>
      <c r="C233" s="1864">
        <v>0.14499999999999999</v>
      </c>
      <c r="D233" s="1864">
        <v>0.14299999999999999</v>
      </c>
      <c r="E233" s="1864">
        <v>0.14199999999999999</v>
      </c>
      <c r="F233" s="1872"/>
    </row>
    <row r="234" spans="1:6" ht="14.25" thickBot="1">
      <c r="A234" s="1859" t="s">
        <v>1417</v>
      </c>
      <c r="B234" s="1863" t="s">
        <v>2168</v>
      </c>
      <c r="C234" s="1864">
        <v>0.14000000000000001</v>
      </c>
      <c r="D234" s="1864">
        <v>0.14000000000000001</v>
      </c>
      <c r="E234" s="1864">
        <v>0.14399999999999999</v>
      </c>
      <c r="F234" s="1872"/>
    </row>
    <row r="235" spans="1:6" ht="14.25" thickBot="1">
      <c r="A235" s="1859" t="s">
        <v>1417</v>
      </c>
      <c r="B235" s="1863" t="s">
        <v>2169</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2170</v>
      </c>
      <c r="C237" s="1873"/>
      <c r="D237" s="1873"/>
      <c r="E237" s="1873"/>
      <c r="F237" s="1865">
        <v>0.05</v>
      </c>
    </row>
    <row r="238" spans="1:6" ht="24.75" thickBot="1">
      <c r="A238" s="1859" t="s">
        <v>1417</v>
      </c>
      <c r="B238" s="1863" t="s">
        <v>2171</v>
      </c>
      <c r="C238" s="1873"/>
      <c r="D238" s="1873"/>
      <c r="E238" s="1873"/>
      <c r="F238" s="1865">
        <v>0.05</v>
      </c>
    </row>
    <row r="239" spans="1:6" ht="24.75" thickBot="1">
      <c r="A239" s="1859" t="s">
        <v>1417</v>
      </c>
      <c r="B239" s="1863" t="s">
        <v>2172</v>
      </c>
      <c r="C239" s="1873"/>
      <c r="D239" s="1873"/>
      <c r="E239" s="1873"/>
      <c r="F239" s="1865">
        <v>0.05</v>
      </c>
    </row>
    <row r="240" spans="1:6" ht="24.75" thickBot="1">
      <c r="A240" s="1859" t="s">
        <v>1417</v>
      </c>
      <c r="B240" s="1863" t="s">
        <v>2173</v>
      </c>
      <c r="C240" s="1873"/>
      <c r="D240" s="1873"/>
      <c r="E240" s="1873"/>
      <c r="F240" s="1865">
        <v>0.05</v>
      </c>
    </row>
    <row r="241" spans="1:6" ht="24.75" thickBot="1">
      <c r="A241" s="1859" t="s">
        <v>1417</v>
      </c>
      <c r="B241" s="1863" t="s">
        <v>2174</v>
      </c>
      <c r="C241" s="1873"/>
      <c r="D241" s="1873"/>
      <c r="E241" s="1873"/>
      <c r="F241" s="1865">
        <v>0.05</v>
      </c>
    </row>
    <row r="242" spans="1:6" ht="24.75" thickBot="1">
      <c r="A242" s="1859" t="s">
        <v>1417</v>
      </c>
      <c r="B242" s="1863" t="s">
        <v>2175</v>
      </c>
      <c r="C242" s="1873"/>
      <c r="D242" s="1873"/>
      <c r="E242" s="1873"/>
      <c r="F242" s="1865">
        <v>0.05</v>
      </c>
    </row>
    <row r="243" spans="1:6" ht="24.75" thickBot="1">
      <c r="A243" s="1859" t="s">
        <v>1417</v>
      </c>
      <c r="B243" s="1863" t="s">
        <v>2176</v>
      </c>
      <c r="C243" s="1873"/>
      <c r="D243" s="1873"/>
      <c r="E243" s="1873"/>
      <c r="F243" s="1865">
        <v>0.05</v>
      </c>
    </row>
    <row r="244" spans="1:6" ht="24.75" thickBot="1">
      <c r="A244" s="1867" t="s">
        <v>1417</v>
      </c>
      <c r="B244" s="1874" t="s">
        <v>2177</v>
      </c>
      <c r="C244" s="1870"/>
      <c r="D244" s="1870"/>
      <c r="E244" s="1870"/>
      <c r="F244" s="1875">
        <v>0.05</v>
      </c>
    </row>
    <row r="245" spans="1:6" ht="14.25" thickBot="1">
      <c r="A245" s="1859" t="s">
        <v>1419</v>
      </c>
      <c r="B245" s="1860" t="s">
        <v>2178</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2179</v>
      </c>
      <c r="C247" s="1864">
        <v>0.15</v>
      </c>
      <c r="D247" s="1864">
        <v>0.15</v>
      </c>
      <c r="E247" s="1864">
        <v>0.15</v>
      </c>
      <c r="F247" s="1865">
        <v>0.15</v>
      </c>
    </row>
    <row r="248" spans="1:6" ht="14.25" thickBot="1">
      <c r="A248" s="1859" t="s">
        <v>1419</v>
      </c>
      <c r="B248" s="1863" t="s">
        <v>2180</v>
      </c>
      <c r="C248" s="1864">
        <v>0.15</v>
      </c>
      <c r="D248" s="1864">
        <v>0.15</v>
      </c>
      <c r="E248" s="1864">
        <v>0.15</v>
      </c>
      <c r="F248" s="1865">
        <v>0.14000000000000001</v>
      </c>
    </row>
    <row r="249" spans="1:6" ht="14.25" thickBot="1">
      <c r="A249" s="1859" t="s">
        <v>1419</v>
      </c>
      <c r="B249" s="1863" t="s">
        <v>2181</v>
      </c>
      <c r="C249" s="1864">
        <v>0.15</v>
      </c>
      <c r="D249" s="1864">
        <v>0.14899999999999999</v>
      </c>
      <c r="E249" s="1864">
        <v>0.15</v>
      </c>
      <c r="F249" s="1865">
        <v>0.1</v>
      </c>
    </row>
    <row r="250" spans="1:6" ht="14.25" thickBot="1">
      <c r="A250" s="1859" t="s">
        <v>1419</v>
      </c>
      <c r="B250" s="1863" t="s">
        <v>2182</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2183</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2184</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2185</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2186</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2187</v>
      </c>
      <c r="C273" s="1864">
        <v>0.14199999999999999</v>
      </c>
      <c r="D273" s="1864">
        <v>0.14299999999999999</v>
      </c>
      <c r="E273" s="1864">
        <v>0.15</v>
      </c>
      <c r="F273" s="1865">
        <v>0.1</v>
      </c>
    </row>
    <row r="274" spans="1:6" ht="14.25" thickBot="1">
      <c r="A274" s="1859" t="s">
        <v>1419</v>
      </c>
      <c r="B274" s="1863" t="s">
        <v>2188</v>
      </c>
      <c r="C274" s="1864">
        <v>0.14799999999999999</v>
      </c>
      <c r="D274" s="1864">
        <v>0.14799999999999999</v>
      </c>
      <c r="E274" s="1864">
        <v>0.15</v>
      </c>
      <c r="F274" s="1865">
        <v>6.7000000000000004E-2</v>
      </c>
    </row>
    <row r="275" spans="1:6" ht="14.25" thickBot="1">
      <c r="A275" s="1859" t="s">
        <v>1419</v>
      </c>
      <c r="B275" s="1863" t="s">
        <v>2189</v>
      </c>
      <c r="C275" s="1864">
        <v>0.15</v>
      </c>
      <c r="D275" s="1864">
        <v>0.15</v>
      </c>
      <c r="E275" s="1864">
        <v>0.15</v>
      </c>
      <c r="F275" s="1865">
        <v>0.15</v>
      </c>
    </row>
    <row r="276" spans="1:6" ht="14.25" thickBot="1">
      <c r="A276" s="1859" t="s">
        <v>1419</v>
      </c>
      <c r="B276" s="1863" t="s">
        <v>2190</v>
      </c>
      <c r="C276" s="1864">
        <v>0.14499999999999999</v>
      </c>
      <c r="D276" s="1864">
        <v>0.14299999999999999</v>
      </c>
      <c r="E276" s="1864">
        <v>0.15</v>
      </c>
      <c r="F276" s="1865">
        <v>5.8999999999999997E-2</v>
      </c>
    </row>
    <row r="277" spans="1:6" ht="14.25" thickBot="1">
      <c r="A277" s="1859" t="s">
        <v>1419</v>
      </c>
      <c r="B277" s="1863" t="s">
        <v>2191</v>
      </c>
      <c r="C277" s="1864">
        <v>0.15</v>
      </c>
      <c r="D277" s="1864">
        <v>0.15</v>
      </c>
      <c r="E277" s="1864">
        <v>0.15</v>
      </c>
      <c r="F277" s="1865">
        <v>0.121</v>
      </c>
    </row>
    <row r="278" spans="1:6" ht="14.25" thickBot="1">
      <c r="A278" s="1859" t="s">
        <v>1419</v>
      </c>
      <c r="B278" s="1863" t="s">
        <v>2192</v>
      </c>
      <c r="C278" s="1864">
        <v>0.15</v>
      </c>
      <c r="D278" s="1864">
        <v>0.15</v>
      </c>
      <c r="E278" s="1864">
        <v>0.15</v>
      </c>
      <c r="F278" s="1865">
        <v>0.13800000000000001</v>
      </c>
    </row>
    <row r="279" spans="1:6" ht="24.75" thickBot="1">
      <c r="A279" s="1859" t="s">
        <v>1419</v>
      </c>
      <c r="B279" s="1863" t="s">
        <v>2193</v>
      </c>
      <c r="C279" s="1873"/>
      <c r="D279" s="1873"/>
      <c r="E279" s="1873"/>
      <c r="F279" s="1865">
        <v>0.05</v>
      </c>
    </row>
    <row r="280" spans="1:6" ht="24.75" thickBot="1">
      <c r="A280" s="1859" t="s">
        <v>1419</v>
      </c>
      <c r="B280" s="1863" t="s">
        <v>2194</v>
      </c>
      <c r="C280" s="1873"/>
      <c r="D280" s="1873"/>
      <c r="E280" s="1873"/>
      <c r="F280" s="1865">
        <v>0.05</v>
      </c>
    </row>
    <row r="281" spans="1:6" ht="24.75" thickBot="1">
      <c r="A281" s="1859" t="s">
        <v>1419</v>
      </c>
      <c r="B281" s="1863" t="s">
        <v>2195</v>
      </c>
      <c r="C281" s="1873"/>
      <c r="D281" s="1873"/>
      <c r="E281" s="1873"/>
      <c r="F281" s="1865">
        <v>0.05</v>
      </c>
    </row>
    <row r="282" spans="1:6" ht="24.75" thickBot="1">
      <c r="A282" s="1859" t="s">
        <v>1419</v>
      </c>
      <c r="B282" s="1863" t="s">
        <v>2196</v>
      </c>
      <c r="C282" s="1873"/>
      <c r="D282" s="1873"/>
      <c r="E282" s="1873"/>
      <c r="F282" s="1865">
        <v>0.05</v>
      </c>
    </row>
    <row r="283" spans="1:6" ht="24.75" thickBot="1">
      <c r="A283" s="1859" t="s">
        <v>1419</v>
      </c>
      <c r="B283" s="1863" t="s">
        <v>2197</v>
      </c>
      <c r="C283" s="1873"/>
      <c r="D283" s="1873"/>
      <c r="E283" s="1873"/>
      <c r="F283" s="1865">
        <v>0.05</v>
      </c>
    </row>
    <row r="284" spans="1:6" ht="24.75" thickBot="1">
      <c r="A284" s="1859" t="s">
        <v>1419</v>
      </c>
      <c r="B284" s="1863" t="s">
        <v>2198</v>
      </c>
      <c r="C284" s="1873"/>
      <c r="D284" s="1873"/>
      <c r="E284" s="1873"/>
      <c r="F284" s="1865">
        <v>0.05</v>
      </c>
    </row>
    <row r="285" spans="1:6" ht="24.75" thickBot="1">
      <c r="A285" s="1859" t="s">
        <v>1419</v>
      </c>
      <c r="B285" s="1863" t="s">
        <v>2199</v>
      </c>
      <c r="C285" s="1873"/>
      <c r="D285" s="1873"/>
      <c r="E285" s="1873"/>
      <c r="F285" s="1865">
        <v>0.05</v>
      </c>
    </row>
    <row r="286" spans="1:6" ht="24.75" thickBot="1">
      <c r="A286" s="1859" t="s">
        <v>1419</v>
      </c>
      <c r="B286" s="1863" t="s">
        <v>2200</v>
      </c>
      <c r="C286" s="1873"/>
      <c r="D286" s="1873"/>
      <c r="E286" s="1873"/>
      <c r="F286" s="1865">
        <v>0.05</v>
      </c>
    </row>
    <row r="287" spans="1:6" ht="24.75" thickBot="1">
      <c r="A287" s="1859" t="s">
        <v>1419</v>
      </c>
      <c r="B287" s="1863" t="s">
        <v>2201</v>
      </c>
      <c r="C287" s="1873"/>
      <c r="D287" s="1873"/>
      <c r="E287" s="1873"/>
      <c r="F287" s="1865">
        <v>0.05</v>
      </c>
    </row>
    <row r="288" spans="1:6" ht="24.75" thickBot="1">
      <c r="A288" s="1859" t="s">
        <v>1419</v>
      </c>
      <c r="B288" s="1863" t="s">
        <v>2202</v>
      </c>
      <c r="C288" s="1873"/>
      <c r="D288" s="1873"/>
      <c r="E288" s="1873"/>
      <c r="F288" s="1865">
        <v>0.05</v>
      </c>
    </row>
    <row r="289" spans="1:6" ht="24.75" thickBot="1">
      <c r="A289" s="1867" t="s">
        <v>1419</v>
      </c>
      <c r="B289" s="1874" t="s">
        <v>2203</v>
      </c>
      <c r="C289" s="1870"/>
      <c r="D289" s="1870"/>
      <c r="E289" s="1870"/>
      <c r="F289" s="1875">
        <v>0.05</v>
      </c>
    </row>
    <row r="290" spans="1:6" ht="14.25" thickBot="1">
      <c r="A290" s="1859" t="s">
        <v>1423</v>
      </c>
      <c r="B290" s="1860" t="s">
        <v>2204</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2205</v>
      </c>
      <c r="C292" s="1864">
        <v>0.15</v>
      </c>
      <c r="D292" s="1864">
        <v>0.15</v>
      </c>
      <c r="E292" s="1864">
        <v>0.15</v>
      </c>
      <c r="F292" s="1865">
        <v>0.14699999999999999</v>
      </c>
    </row>
    <row r="293" spans="1:6" ht="14.25" thickBot="1">
      <c r="A293" s="1859" t="s">
        <v>1423</v>
      </c>
      <c r="B293" s="1863" t="s">
        <v>2206</v>
      </c>
      <c r="C293" s="1873"/>
      <c r="D293" s="1873"/>
      <c r="E293" s="1873"/>
      <c r="F293" s="1865">
        <v>0.1</v>
      </c>
    </row>
    <row r="294" spans="1:6" ht="14.25" thickBot="1">
      <c r="A294" s="1859" t="s">
        <v>1423</v>
      </c>
      <c r="B294" s="1863" t="s">
        <v>2207</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2208</v>
      </c>
      <c r="C296" s="1864">
        <v>0.15</v>
      </c>
      <c r="D296" s="1864">
        <v>0.15</v>
      </c>
      <c r="E296" s="1864">
        <v>0.15</v>
      </c>
      <c r="F296" s="1865">
        <v>0.15</v>
      </c>
    </row>
    <row r="297" spans="1:6" ht="14.25" thickBot="1">
      <c r="A297" s="1859" t="s">
        <v>1423</v>
      </c>
      <c r="B297" s="1863" t="s">
        <v>2209</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2210</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2211</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2212</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2213</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2214</v>
      </c>
      <c r="C310" s="1864">
        <v>0.15</v>
      </c>
      <c r="D310" s="1864">
        <v>0.15</v>
      </c>
      <c r="E310" s="1864">
        <v>0.15</v>
      </c>
      <c r="F310" s="1865">
        <v>0.13700000000000001</v>
      </c>
    </row>
    <row r="311" spans="1:6" ht="14.25" thickBot="1">
      <c r="A311" s="1859" t="s">
        <v>1423</v>
      </c>
      <c r="B311" s="1863" t="s">
        <v>2215</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2216</v>
      </c>
      <c r="C313" s="1864">
        <v>0.15</v>
      </c>
      <c r="D313" s="1864">
        <v>0.15</v>
      </c>
      <c r="E313" s="1864">
        <v>0.15</v>
      </c>
      <c r="F313" s="1865">
        <v>0.15</v>
      </c>
    </row>
    <row r="314" spans="1:6" ht="24.75" thickBot="1">
      <c r="A314" s="1859" t="s">
        <v>1423</v>
      </c>
      <c r="B314" s="1863" t="s">
        <v>2217</v>
      </c>
      <c r="C314" s="1873"/>
      <c r="D314" s="1873"/>
      <c r="E314" s="1873"/>
      <c r="F314" s="1865">
        <v>0.05</v>
      </c>
    </row>
    <row r="315" spans="1:6" ht="24.75" thickBot="1">
      <c r="A315" s="1859" t="s">
        <v>1423</v>
      </c>
      <c r="B315" s="1863" t="s">
        <v>2218</v>
      </c>
      <c r="C315" s="1873"/>
      <c r="D315" s="1873"/>
      <c r="E315" s="1873"/>
      <c r="F315" s="1865">
        <v>0.05</v>
      </c>
    </row>
    <row r="316" spans="1:6" ht="24.75" thickBot="1">
      <c r="A316" s="1867" t="s">
        <v>1423</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1111</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1180</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1200</v>
      </c>
      <c r="C328" s="1864">
        <v>0.15</v>
      </c>
      <c r="D328" s="1864">
        <v>0.15</v>
      </c>
      <c r="E328" s="1864">
        <v>0.15</v>
      </c>
      <c r="F328" s="1865">
        <v>0.14099999999999999</v>
      </c>
    </row>
    <row r="329" spans="1:6" ht="14.25" thickBot="1">
      <c r="A329" s="1859" t="s">
        <v>2220</v>
      </c>
      <c r="B329" s="1863" t="s">
        <v>1210</v>
      </c>
      <c r="C329" s="1864">
        <v>0.15</v>
      </c>
      <c r="D329" s="1864">
        <v>0.15</v>
      </c>
      <c r="E329" s="1864">
        <v>0.15</v>
      </c>
      <c r="F329" s="1865">
        <v>0.15</v>
      </c>
    </row>
    <row r="330" spans="1:6" ht="14.25" thickBot="1">
      <c r="A330" s="1859" t="s">
        <v>2220</v>
      </c>
      <c r="B330" s="1863" t="s">
        <v>1220</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1240</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1260</v>
      </c>
      <c r="C334" s="1864">
        <v>0.15</v>
      </c>
      <c r="D334" s="1864">
        <v>0.15</v>
      </c>
      <c r="E334" s="1864">
        <v>0.15</v>
      </c>
      <c r="F334" s="1865">
        <v>0.15</v>
      </c>
    </row>
    <row r="335" spans="1:6" ht="14.25" thickBot="1">
      <c r="A335" s="1859" t="s">
        <v>2220</v>
      </c>
      <c r="B335" s="1863" t="s">
        <v>1270</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1288</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1" t="s">
        <v>2953</v>
      </c>
      <c r="B1" s="3143"/>
      <c r="C1" s="3143"/>
      <c r="D1" s="3143"/>
      <c r="E1" s="3143"/>
      <c r="F1" s="3143"/>
    </row>
    <row r="2" spans="1:6" ht="14.25">
      <c r="A2" s="3144" t="s">
        <v>2947</v>
      </c>
      <c r="B2" s="3145" t="e">
        <f ca="1">SUMIF(B7:B14,"&lt;&gt;#ref!",B7:B14)</f>
        <v>#DIV/0!</v>
      </c>
      <c r="C2" s="3144" t="s">
        <v>2948</v>
      </c>
      <c r="D2" s="3143"/>
      <c r="E2" s="3143"/>
      <c r="F2" s="3143"/>
    </row>
    <row r="3" spans="1:6" ht="14.25">
      <c r="A3" s="3144" t="s">
        <v>2950</v>
      </c>
      <c r="B3" s="3145" t="e">
        <f ca="1">ROUND(B2*10000/E3,0)</f>
        <v>#DIV/0!</v>
      </c>
      <c r="C3" s="3144" t="s">
        <v>2082</v>
      </c>
      <c r="D3" s="3144" t="s">
        <v>2949</v>
      </c>
      <c r="E3" s="3145" t="e">
        <f ca="1">SUM(E7:E14)</f>
        <v>#REF!</v>
      </c>
      <c r="F3" s="3143"/>
    </row>
    <row r="4" spans="1:6" ht="14.25">
      <c r="A4" s="3144" t="s">
        <v>2957</v>
      </c>
      <c r="B4" s="3145" t="e">
        <f ca="1">ROUND(B2*10000/E4,0)</f>
        <v>#DIV/0!</v>
      </c>
      <c r="C4" s="3144" t="s">
        <v>2082</v>
      </c>
      <c r="D4" s="3144" t="s">
        <v>2958</v>
      </c>
      <c r="E4" s="3145" t="e">
        <f ca="1">SUM(F7:F14)</f>
        <v>#REF!</v>
      </c>
      <c r="F4" s="3143"/>
    </row>
    <row r="5" spans="1:6" ht="14.25">
      <c r="A5" s="3146"/>
      <c r="B5" s="1885"/>
      <c r="C5" s="1885"/>
      <c r="D5" s="1885"/>
      <c r="E5" s="1885"/>
      <c r="F5" s="3143"/>
    </row>
    <row r="6" spans="1:6" ht="28.5">
      <c r="A6" s="3147" t="s">
        <v>2954</v>
      </c>
      <c r="B6" s="3144" t="s">
        <v>2951</v>
      </c>
      <c r="C6" s="3145"/>
      <c r="D6" s="1885"/>
      <c r="E6" s="3144" t="s">
        <v>2952</v>
      </c>
      <c r="F6" s="3144" t="s">
        <v>2956</v>
      </c>
    </row>
    <row r="7" spans="1:6" ht="14.25">
      <c r="A7" s="260" t="s">
        <v>2955</v>
      </c>
      <c r="B7" s="3148" t="e">
        <f ca="1">SUMIF(INDIRECT("'"&amp;A7&amp;"'"&amp;"!A:A"),"总价",INDIRECT("'"&amp;A7&amp;"'"&amp;"!B:B"))</f>
        <v>#DIV/0!</v>
      </c>
      <c r="C7" s="3144" t="s">
        <v>2948</v>
      </c>
      <c r="D7" s="1885"/>
      <c r="E7" s="3149">
        <f ca="1">SUMIF(INDIRECT("'"&amp;A7&amp;"'"&amp;"!C:C"),"建筑面积",INDIRECT("'"&amp;A7&amp;"'"&amp;"!D:D"))</f>
        <v>0</v>
      </c>
      <c r="F7" s="3149">
        <f ca="1">SUMIF(INDIRECT("'"&amp;A7&amp;"'"&amp;"!E:E"),"土地面积",INDIRECT("'"&amp;A7&amp;"'"&amp;"!F:F"))</f>
        <v>0</v>
      </c>
    </row>
    <row r="8" spans="1:6" ht="14.25">
      <c r="A8" s="260"/>
      <c r="B8" s="3148" t="e">
        <f t="shared" ref="B8:B14" ca="1" si="0">SUMIF(INDIRECT("'"&amp;A8&amp;"'"&amp;"!A:A"),"总价",INDIRECT("'"&amp;A8&amp;"'"&amp;"!B:B"))</f>
        <v>#REF!</v>
      </c>
      <c r="C8" s="3144" t="s">
        <v>2948</v>
      </c>
      <c r="D8" s="1885"/>
      <c r="E8" s="3149" t="e">
        <f t="shared" ref="E8:E14" ca="1" si="1">SUMIF(INDIRECT("'"&amp;A8&amp;"'"&amp;"!C:C"),"建筑面积",INDIRECT("'"&amp;A8&amp;"'"&amp;"!D:D"))</f>
        <v>#REF!</v>
      </c>
      <c r="F8" s="3149" t="e">
        <f t="shared" ref="F8:F14" ca="1" si="2">SUMIF(INDIRECT("'"&amp;A8&amp;"'"&amp;"!E:E"),"土地面积",INDIRECT("'"&amp;A8&amp;"'"&amp;"!F:F"))</f>
        <v>#REF!</v>
      </c>
    </row>
    <row r="9" spans="1:6" ht="14.25">
      <c r="A9" s="260"/>
      <c r="B9" s="3148" t="e">
        <f t="shared" ca="1" si="0"/>
        <v>#REF!</v>
      </c>
      <c r="C9" s="3144" t="s">
        <v>2948</v>
      </c>
      <c r="D9" s="1885"/>
      <c r="E9" s="3149" t="e">
        <f t="shared" ca="1" si="1"/>
        <v>#REF!</v>
      </c>
      <c r="F9" s="3149" t="e">
        <f t="shared" ca="1" si="2"/>
        <v>#REF!</v>
      </c>
    </row>
    <row r="10" spans="1:6" ht="14.25">
      <c r="A10" s="260"/>
      <c r="B10" s="3148" t="e">
        <f t="shared" ca="1" si="0"/>
        <v>#REF!</v>
      </c>
      <c r="C10" s="3144" t="s">
        <v>2948</v>
      </c>
      <c r="D10" s="1885"/>
      <c r="E10" s="3149" t="e">
        <f t="shared" ca="1" si="1"/>
        <v>#REF!</v>
      </c>
      <c r="F10" s="3149" t="e">
        <f t="shared" ca="1" si="2"/>
        <v>#REF!</v>
      </c>
    </row>
    <row r="11" spans="1:6" ht="14.25">
      <c r="A11" s="260"/>
      <c r="B11" s="3148" t="e">
        <f t="shared" ca="1" si="0"/>
        <v>#REF!</v>
      </c>
      <c r="C11" s="3144" t="s">
        <v>2948</v>
      </c>
      <c r="D11" s="1885"/>
      <c r="E11" s="3149" t="e">
        <f t="shared" ca="1" si="1"/>
        <v>#REF!</v>
      </c>
      <c r="F11" s="3149" t="e">
        <f t="shared" ca="1" si="2"/>
        <v>#REF!</v>
      </c>
    </row>
    <row r="12" spans="1:6" ht="14.25">
      <c r="A12" s="260"/>
      <c r="B12" s="3148" t="e">
        <f t="shared" ca="1" si="0"/>
        <v>#REF!</v>
      </c>
      <c r="C12" s="3144" t="s">
        <v>2948</v>
      </c>
      <c r="D12" s="1885"/>
      <c r="E12" s="3149" t="e">
        <f t="shared" ca="1" si="1"/>
        <v>#REF!</v>
      </c>
      <c r="F12" s="3149" t="e">
        <f t="shared" ca="1" si="2"/>
        <v>#REF!</v>
      </c>
    </row>
    <row r="13" spans="1:6" ht="14.25">
      <c r="A13" s="260"/>
      <c r="B13" s="3148" t="e">
        <f t="shared" ca="1" si="0"/>
        <v>#REF!</v>
      </c>
      <c r="C13" s="3144" t="s">
        <v>2948</v>
      </c>
      <c r="D13" s="1885"/>
      <c r="E13" s="3149" t="e">
        <f t="shared" ca="1" si="1"/>
        <v>#REF!</v>
      </c>
      <c r="F13" s="3149" t="e">
        <f t="shared" ca="1" si="2"/>
        <v>#REF!</v>
      </c>
    </row>
    <row r="14" spans="1:6" ht="14.25">
      <c r="A14" s="3142"/>
      <c r="B14" s="3148" t="e">
        <f t="shared" ca="1" si="0"/>
        <v>#REF!</v>
      </c>
      <c r="C14" s="3144" t="s">
        <v>2948</v>
      </c>
      <c r="D14" s="1885"/>
      <c r="E14" s="3149" t="e">
        <f t="shared" ca="1" si="1"/>
        <v>#REF!</v>
      </c>
      <c r="F14" s="3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37" t="s">
        <v>2583</v>
      </c>
      <c r="C1" s="3437"/>
      <c r="D1" s="3437"/>
      <c r="E1" s="3437"/>
      <c r="F1" s="3437"/>
      <c r="G1" s="3436" t="s">
        <v>2584</v>
      </c>
      <c r="H1" s="3436"/>
      <c r="I1" s="3436"/>
      <c r="J1" s="3436"/>
      <c r="K1" s="3436"/>
      <c r="L1" s="3436"/>
      <c r="N1" s="3436" t="s">
        <v>2585</v>
      </c>
      <c r="O1" s="3436"/>
      <c r="P1" s="3436"/>
      <c r="Q1" s="3436"/>
      <c r="R1" s="2688"/>
      <c r="S1" s="3436" t="s">
        <v>2586</v>
      </c>
      <c r="T1" s="3436"/>
      <c r="U1" s="3436"/>
      <c r="V1" s="3436"/>
      <c r="X1" s="3435" t="s">
        <v>2648</v>
      </c>
      <c r="Y1" s="3436"/>
      <c r="Z1" s="3436"/>
      <c r="AA1" s="3436"/>
      <c r="AB1" s="3436"/>
      <c r="AD1" s="3435" t="s">
        <v>2653</v>
      </c>
      <c r="AE1" s="3436"/>
      <c r="AF1" s="3436"/>
      <c r="AG1" s="3436"/>
      <c r="AH1" s="3436"/>
    </row>
    <row r="2" spans="1:34" s="2791" customFormat="1" ht="14.25" thickBot="1">
      <c r="B2" s="2801" t="s">
        <v>2587</v>
      </c>
      <c r="C2" s="2801" t="s">
        <v>2651</v>
      </c>
      <c r="D2" s="2792" t="s">
        <v>1648</v>
      </c>
      <c r="E2" s="2792" t="s">
        <v>1956</v>
      </c>
      <c r="F2" s="2801" t="s">
        <v>2652</v>
      </c>
      <c r="G2" s="2795"/>
      <c r="H2" s="2794"/>
      <c r="I2" s="2801" t="s">
        <v>2960</v>
      </c>
      <c r="J2" s="2792" t="s">
        <v>2962</v>
      </c>
      <c r="K2" s="2792" t="s">
        <v>2963</v>
      </c>
      <c r="L2" s="2801" t="s">
        <v>2964</v>
      </c>
      <c r="N2" s="2801" t="s">
        <v>2587</v>
      </c>
      <c r="O2" s="2792" t="s">
        <v>2961</v>
      </c>
      <c r="P2" s="2792" t="s">
        <v>1956</v>
      </c>
      <c r="Q2" s="2801" t="s">
        <v>2652</v>
      </c>
      <c r="R2" s="2793"/>
      <c r="S2" s="2801" t="s">
        <v>2587</v>
      </c>
      <c r="T2" s="2792" t="s">
        <v>2961</v>
      </c>
      <c r="U2" s="2792" t="s">
        <v>1956</v>
      </c>
      <c r="V2" s="2801" t="s">
        <v>2652</v>
      </c>
      <c r="X2" s="2801" t="s">
        <v>2587</v>
      </c>
      <c r="Y2" s="2801" t="s">
        <v>2651</v>
      </c>
      <c r="Z2" s="2792" t="s">
        <v>1648</v>
      </c>
      <c r="AA2" s="2792" t="s">
        <v>1956</v>
      </c>
      <c r="AB2" s="2801" t="s">
        <v>2652</v>
      </c>
      <c r="AD2" s="2801" t="s">
        <v>2587</v>
      </c>
      <c r="AE2" s="2801" t="s">
        <v>2651</v>
      </c>
      <c r="AF2" s="2792" t="s">
        <v>1648</v>
      </c>
      <c r="AG2" s="2792" t="s">
        <v>1956</v>
      </c>
      <c r="AH2" s="2801" t="s">
        <v>2652</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2588</v>
      </c>
      <c r="B4" s="2690"/>
      <c r="C4" s="2690"/>
      <c r="D4" s="2690"/>
      <c r="E4" s="2690"/>
      <c r="F4" s="2690"/>
      <c r="G4" s="3434">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3" customFormat="1">
      <c r="A5" s="3151" t="s">
        <v>2589</v>
      </c>
      <c r="B5" s="2832">
        <f t="shared" ref="B5:C7" si="2">B6*(1+N5)</f>
        <v>429.62688667359998</v>
      </c>
      <c r="C5" s="2832">
        <f t="shared" si="2"/>
        <v>318.97763788800006</v>
      </c>
      <c r="D5" s="2832">
        <f>C5</f>
        <v>318.97763788800006</v>
      </c>
      <c r="E5" s="2832">
        <f t="shared" ref="E5:F7" si="3">E6*(1+P5)</f>
        <v>613.03761713879999</v>
      </c>
      <c r="F5" s="2832">
        <f t="shared" si="3"/>
        <v>278.506175276448</v>
      </c>
      <c r="G5" s="3432"/>
      <c r="H5" s="3152">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4"/>
      <c r="S5" s="3155"/>
      <c r="T5" s="3154"/>
      <c r="U5" s="3154"/>
      <c r="V5" s="3154"/>
      <c r="W5" s="2799" t="s">
        <v>2649</v>
      </c>
      <c r="X5" s="3156">
        <f>ROUND(SUMPRODUCT(PRODUCT(1+N5:N$18)),4)</f>
        <v>1.3963000000000001</v>
      </c>
      <c r="Y5" s="3156">
        <f>ROUND(SUMPRODUCT(PRODUCT(1+O5:O$18)),4)</f>
        <v>1.2401</v>
      </c>
      <c r="Z5" s="3156">
        <f t="shared" si="0"/>
        <v>1.2401</v>
      </c>
      <c r="AA5" s="3156">
        <f>ROUND(SUMPRODUCT(PRODUCT(1+P5:P$18)),4)</f>
        <v>1.4508000000000001</v>
      </c>
      <c r="AB5" s="3156">
        <f>ROUND(SUMPRODUCT(PRODUCT(1+Q5:Q$18)),4)</f>
        <v>1.2094</v>
      </c>
      <c r="AD5" s="3157">
        <f>ROUND(AVERAGE(I5:I$19)/100,4)</f>
        <v>2.46E-2</v>
      </c>
      <c r="AE5" s="3157">
        <f>ROUND(AVERAGE(J5:J$19)/100,4)</f>
        <v>1.6E-2</v>
      </c>
      <c r="AF5" s="3157">
        <f t="shared" si="1"/>
        <v>1.6E-2</v>
      </c>
      <c r="AG5" s="3157">
        <f>ROUND(AVERAGE(K5:K$19)/100,4)</f>
        <v>2.75E-2</v>
      </c>
      <c r="AH5" s="3157">
        <f>ROUND(AVERAGE(L5:L$19)/100,4)</f>
        <v>1.37E-2</v>
      </c>
    </row>
    <row r="6" spans="1:34" s="2687" customFormat="1">
      <c r="A6" s="2689" t="s">
        <v>2590</v>
      </c>
      <c r="B6" s="2704">
        <f t="shared" si="2"/>
        <v>419.31181600000002</v>
      </c>
      <c r="C6" s="2704">
        <f t="shared" si="2"/>
        <v>313.95436800000004</v>
      </c>
      <c r="D6" s="2704">
        <f>C6</f>
        <v>313.95436800000004</v>
      </c>
      <c r="E6" s="2704">
        <f t="shared" si="3"/>
        <v>596.63028431999999</v>
      </c>
      <c r="F6" s="2704">
        <f t="shared" si="3"/>
        <v>274.74220703999998</v>
      </c>
      <c r="G6" s="3432"/>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2591</v>
      </c>
      <c r="B7" s="2704">
        <f t="shared" si="2"/>
        <v>405.524</v>
      </c>
      <c r="C7" s="2704">
        <f t="shared" si="2"/>
        <v>307.79840000000002</v>
      </c>
      <c r="D7" s="2704">
        <f>C7</f>
        <v>307.79840000000002</v>
      </c>
      <c r="E7" s="2704">
        <f t="shared" si="3"/>
        <v>574.67759999999998</v>
      </c>
      <c r="F7" s="2704">
        <f t="shared" si="3"/>
        <v>270.20280000000002</v>
      </c>
      <c r="G7" s="3433"/>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974</v>
      </c>
      <c r="B8" s="2696">
        <v>392</v>
      </c>
      <c r="C8" s="2696">
        <v>302</v>
      </c>
      <c r="D8" s="2696">
        <f>C8</f>
        <v>302</v>
      </c>
      <c r="E8" s="2696">
        <v>553</v>
      </c>
      <c r="F8" s="2697">
        <v>266</v>
      </c>
      <c r="G8" s="3434">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973</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32"/>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963</v>
      </c>
      <c r="B10" s="2704">
        <f t="shared" si="11"/>
        <v>360.06949782209392</v>
      </c>
      <c r="C10" s="2704">
        <f t="shared" si="11"/>
        <v>289.84672674747821</v>
      </c>
      <c r="D10" s="2704">
        <f t="shared" si="12"/>
        <v>289.84672674747821</v>
      </c>
      <c r="E10" s="2704">
        <f t="shared" si="13"/>
        <v>501.06543001181495</v>
      </c>
      <c r="F10" s="2704">
        <f t="shared" si="13"/>
        <v>256.82882500744967</v>
      </c>
      <c r="G10" s="3432"/>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972</v>
      </c>
      <c r="B11" s="2704">
        <f t="shared" si="11"/>
        <v>346.720748986128</v>
      </c>
      <c r="C11" s="2704">
        <f t="shared" si="11"/>
        <v>284.30282172386285</v>
      </c>
      <c r="D11" s="2704">
        <f t="shared" si="12"/>
        <v>284.30282172386285</v>
      </c>
      <c r="E11" s="2704">
        <f t="shared" si="13"/>
        <v>479.58023546306947</v>
      </c>
      <c r="F11" s="2704">
        <f t="shared" si="13"/>
        <v>253.25788877571213</v>
      </c>
      <c r="G11" s="3433"/>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971</v>
      </c>
      <c r="B12" s="2696">
        <v>333</v>
      </c>
      <c r="C12" s="2696">
        <v>277</v>
      </c>
      <c r="D12" s="2696">
        <f t="shared" si="12"/>
        <v>277</v>
      </c>
      <c r="E12" s="2696">
        <v>459</v>
      </c>
      <c r="F12" s="2697">
        <v>249</v>
      </c>
      <c r="G12" s="3431">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970</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32"/>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969</v>
      </c>
      <c r="B14" s="2704">
        <f t="shared" si="15"/>
        <v>322.34053690220776</v>
      </c>
      <c r="C14" s="2704">
        <f t="shared" si="15"/>
        <v>271.46160770422546</v>
      </c>
      <c r="D14" s="2704">
        <f t="shared" si="12"/>
        <v>271.46160770422546</v>
      </c>
      <c r="E14" s="2704">
        <f t="shared" si="16"/>
        <v>442.69434542172456</v>
      </c>
      <c r="F14" s="2704">
        <f t="shared" si="16"/>
        <v>241.34030753190925</v>
      </c>
      <c r="G14" s="3432"/>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968</v>
      </c>
      <c r="B15" s="2704">
        <f t="shared" si="15"/>
        <v>319.87748030386797</v>
      </c>
      <c r="C15" s="2704">
        <f t="shared" si="15"/>
        <v>269.60135833173649</v>
      </c>
      <c r="D15" s="2704">
        <f t="shared" si="12"/>
        <v>269.60135833173649</v>
      </c>
      <c r="E15" s="2704">
        <f t="shared" si="16"/>
        <v>439.18089823583784</v>
      </c>
      <c r="F15" s="2704">
        <f t="shared" si="16"/>
        <v>239.23503918706311</v>
      </c>
      <c r="G15" s="3433"/>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967</v>
      </c>
      <c r="B16" s="2718">
        <v>318</v>
      </c>
      <c r="C16" s="2718">
        <v>268</v>
      </c>
      <c r="D16" s="2718">
        <f t="shared" si="12"/>
        <v>268</v>
      </c>
      <c r="E16" s="2718">
        <v>437</v>
      </c>
      <c r="F16" s="2719">
        <v>237</v>
      </c>
      <c r="G16" s="3431">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966</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32"/>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965</v>
      </c>
      <c r="B18" s="2704">
        <f t="shared" si="17"/>
        <v>314.72141172386546</v>
      </c>
      <c r="C18" s="2704">
        <f t="shared" si="17"/>
        <v>263.03901319069001</v>
      </c>
      <c r="D18" s="2704">
        <f t="shared" si="12"/>
        <v>263.03901319069001</v>
      </c>
      <c r="E18" s="2704">
        <f t="shared" si="18"/>
        <v>433.65745506782821</v>
      </c>
      <c r="F18" s="2704">
        <f t="shared" si="18"/>
        <v>233.23005080045735</v>
      </c>
      <c r="G18" s="3432"/>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964</v>
      </c>
      <c r="B19" s="2723">
        <f t="shared" si="17"/>
        <v>307.34512863658733</v>
      </c>
      <c r="C19" s="2723">
        <f t="shared" si="17"/>
        <v>257.80556031626975</v>
      </c>
      <c r="D19" s="2723">
        <f t="shared" si="12"/>
        <v>257.80556031626975</v>
      </c>
      <c r="E19" s="2723">
        <f t="shared" si="18"/>
        <v>422.70928459677179</v>
      </c>
      <c r="F19" s="2723">
        <f t="shared" si="18"/>
        <v>229.73803270336617</v>
      </c>
      <c r="G19" s="3433"/>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2650</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2592</v>
      </c>
      <c r="B20" s="2696">
        <v>299</v>
      </c>
      <c r="C20" s="2696">
        <v>252</v>
      </c>
      <c r="D20" s="2696">
        <f t="shared" si="12"/>
        <v>252</v>
      </c>
      <c r="E20" s="2696">
        <v>409</v>
      </c>
      <c r="F20" s="2697">
        <v>227</v>
      </c>
      <c r="G20" s="3438">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2593</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39"/>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2594</v>
      </c>
      <c r="B22" s="2704">
        <f t="shared" si="21"/>
        <v>288.2649053828776</v>
      </c>
      <c r="C22" s="2704">
        <f t="shared" si="21"/>
        <v>243.64564425013293</v>
      </c>
      <c r="D22" s="2704">
        <f t="shared" si="12"/>
        <v>243.64564425013293</v>
      </c>
      <c r="E22" s="2704">
        <f t="shared" si="22"/>
        <v>393.31080825986544</v>
      </c>
      <c r="F22" s="2704">
        <f t="shared" si="22"/>
        <v>223.07903790551154</v>
      </c>
      <c r="G22" s="3439"/>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2595</v>
      </c>
      <c r="B23" s="2704">
        <f t="shared" si="21"/>
        <v>282.50186729015837</v>
      </c>
      <c r="C23" s="2704">
        <f t="shared" si="21"/>
        <v>238.09796174155468</v>
      </c>
      <c r="D23" s="2704">
        <f t="shared" si="12"/>
        <v>238.09796174155468</v>
      </c>
      <c r="E23" s="2704">
        <f t="shared" si="22"/>
        <v>385.33438646014054</v>
      </c>
      <c r="F23" s="2704">
        <f t="shared" si="22"/>
        <v>221.55034055567739</v>
      </c>
      <c r="G23" s="3440"/>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2596</v>
      </c>
      <c r="B24" s="2734">
        <v>278</v>
      </c>
      <c r="C24" s="2734">
        <v>234</v>
      </c>
      <c r="D24" s="2734">
        <f t="shared" si="12"/>
        <v>234</v>
      </c>
      <c r="E24" s="2734">
        <v>379</v>
      </c>
      <c r="F24" s="2735">
        <v>220</v>
      </c>
      <c r="G24" s="3431">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2597</v>
      </c>
      <c r="B25" s="2704">
        <f>B24/(1+N24)</f>
        <v>275.49301357645425</v>
      </c>
      <c r="C25" s="2704">
        <f>C24/(1+O24)</f>
        <v>232.41954707985698</v>
      </c>
      <c r="D25" s="2704">
        <f t="shared" si="12"/>
        <v>232.41954707985698</v>
      </c>
      <c r="E25" s="2704">
        <f t="shared" ref="E25:F27" si="23">E24/(1+P24)</f>
        <v>375.32184591008121</v>
      </c>
      <c r="F25" s="2704">
        <f t="shared" si="23"/>
        <v>218.03766105054513</v>
      </c>
      <c r="G25" s="3432"/>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2598</v>
      </c>
      <c r="B26" s="2704">
        <f>B25/(1+N25)</f>
        <v>275.24529281292263</v>
      </c>
      <c r="C26" s="2704">
        <f>C25/(1+O25)</f>
        <v>231.74747938962707</v>
      </c>
      <c r="D26" s="2704">
        <f t="shared" si="12"/>
        <v>231.74747938962707</v>
      </c>
      <c r="E26" s="2704">
        <f t="shared" si="23"/>
        <v>375.35938184826603</v>
      </c>
      <c r="F26" s="2704">
        <f t="shared" si="23"/>
        <v>216.78033510692495</v>
      </c>
      <c r="G26" s="3432"/>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2599</v>
      </c>
      <c r="B27" s="2704">
        <f>B26/(1+N26)</f>
        <v>275.19025476197027</v>
      </c>
      <c r="C27" s="2736">
        <v>232</v>
      </c>
      <c r="D27" s="2736">
        <f t="shared" si="12"/>
        <v>232</v>
      </c>
      <c r="E27" s="2704">
        <f t="shared" si="23"/>
        <v>375.65990977608692</v>
      </c>
      <c r="F27" s="2704">
        <f t="shared" si="23"/>
        <v>214.12518283971252</v>
      </c>
      <c r="G27" s="3433"/>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2600</v>
      </c>
      <c r="B28" s="2696">
        <v>275</v>
      </c>
      <c r="C28" s="2696">
        <v>232</v>
      </c>
      <c r="D28" s="2696">
        <f t="shared" si="12"/>
        <v>232</v>
      </c>
      <c r="E28" s="2696">
        <v>376</v>
      </c>
      <c r="F28" s="2697">
        <v>213</v>
      </c>
      <c r="G28" s="3431">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2601</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32">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2602</v>
      </c>
      <c r="B30" s="2704">
        <f t="shared" si="24"/>
        <v>275.19335084830601</v>
      </c>
      <c r="C30" s="2704">
        <f t="shared" si="24"/>
        <v>230.18088050139744</v>
      </c>
      <c r="D30" s="2704">
        <f t="shared" si="12"/>
        <v>230.18088050139744</v>
      </c>
      <c r="E30" s="2704">
        <f t="shared" si="25"/>
        <v>377.58482925212331</v>
      </c>
      <c r="F30" s="2704">
        <f t="shared" si="25"/>
        <v>210.90687997847917</v>
      </c>
      <c r="G30" s="3432">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2603</v>
      </c>
      <c r="B31" s="2704">
        <f t="shared" si="24"/>
        <v>276.29854502841971</v>
      </c>
      <c r="C31" s="2704">
        <f t="shared" si="24"/>
        <v>229.79023709833027</v>
      </c>
      <c r="D31" s="2704">
        <f t="shared" si="12"/>
        <v>229.79023709833027</v>
      </c>
      <c r="E31" s="2704">
        <f t="shared" si="25"/>
        <v>379.78759731655936</v>
      </c>
      <c r="F31" s="2704">
        <f t="shared" si="25"/>
        <v>211.32953905659235</v>
      </c>
      <c r="G31" s="3433">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2604</v>
      </c>
      <c r="B32" s="2696">
        <v>269</v>
      </c>
      <c r="C32" s="2696">
        <v>221</v>
      </c>
      <c r="D32" s="2696">
        <f t="shared" si="12"/>
        <v>221</v>
      </c>
      <c r="E32" s="2696">
        <v>373</v>
      </c>
      <c r="F32" s="2697">
        <v>196</v>
      </c>
      <c r="G32" s="3431">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2605</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32">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2606</v>
      </c>
      <c r="B34" s="2704">
        <f t="shared" si="26"/>
        <v>242.95398227588385</v>
      </c>
      <c r="C34" s="2704">
        <f t="shared" si="26"/>
        <v>199.59137053614126</v>
      </c>
      <c r="D34" s="2704">
        <f t="shared" si="12"/>
        <v>199.59137053614126</v>
      </c>
      <c r="E34" s="2704">
        <f t="shared" si="27"/>
        <v>335.92189522342125</v>
      </c>
      <c r="F34" s="2704">
        <f t="shared" si="27"/>
        <v>183.10139991109489</v>
      </c>
      <c r="G34" s="3432">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2607</v>
      </c>
      <c r="B35" s="2704">
        <f t="shared" si="26"/>
        <v>232.06990378821649</v>
      </c>
      <c r="C35" s="2704">
        <f t="shared" si="26"/>
        <v>192.74878854286936</v>
      </c>
      <c r="D35" s="2704">
        <f t="shared" si="12"/>
        <v>192.74878854286936</v>
      </c>
      <c r="E35" s="2704">
        <f t="shared" si="27"/>
        <v>319.71247284992984</v>
      </c>
      <c r="F35" s="2704">
        <f t="shared" si="27"/>
        <v>175.67053622862409</v>
      </c>
      <c r="G35" s="3433">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2608</v>
      </c>
      <c r="B36" s="2696">
        <v>220</v>
      </c>
      <c r="C36" s="2696">
        <v>187</v>
      </c>
      <c r="D36" s="2696">
        <f t="shared" si="12"/>
        <v>187</v>
      </c>
      <c r="E36" s="2696">
        <v>301</v>
      </c>
      <c r="F36" s="2697">
        <v>168</v>
      </c>
      <c r="G36" s="3431">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2609</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32">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2610</v>
      </c>
      <c r="B38" s="2704">
        <f t="shared" si="28"/>
        <v>210.630522469011</v>
      </c>
      <c r="C38" s="2704">
        <f t="shared" si="28"/>
        <v>181.69567812247232</v>
      </c>
      <c r="D38" s="2704">
        <f t="shared" si="12"/>
        <v>181.69567812247232</v>
      </c>
      <c r="E38" s="2704">
        <f t="shared" si="29"/>
        <v>286.13517466736738</v>
      </c>
      <c r="F38" s="2704">
        <f t="shared" si="29"/>
        <v>165.47535084591149</v>
      </c>
      <c r="G38" s="3432">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2611</v>
      </c>
      <c r="B39" s="2704">
        <f t="shared" si="28"/>
        <v>208.83454537875372</v>
      </c>
      <c r="C39" s="2704">
        <f t="shared" si="28"/>
        <v>183.77230517090351</v>
      </c>
      <c r="D39" s="2704">
        <f t="shared" si="12"/>
        <v>183.77230517090351</v>
      </c>
      <c r="E39" s="2704">
        <f t="shared" si="29"/>
        <v>281.10342338870947</v>
      </c>
      <c r="F39" s="2704">
        <f t="shared" si="29"/>
        <v>168.97309388942256</v>
      </c>
      <c r="G39" s="3433">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2612</v>
      </c>
      <c r="B40" s="2734">
        <v>214</v>
      </c>
      <c r="C40" s="2734">
        <v>188</v>
      </c>
      <c r="D40" s="2734">
        <f t="shared" si="12"/>
        <v>188</v>
      </c>
      <c r="E40" s="2734">
        <v>289</v>
      </c>
      <c r="F40" s="2735">
        <v>166</v>
      </c>
      <c r="G40" s="3431">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2613</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32">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2614</v>
      </c>
      <c r="B42" s="2704">
        <f t="shared" si="30"/>
        <v>206.31694671589116</v>
      </c>
      <c r="C42" s="2704">
        <f t="shared" si="30"/>
        <v>183.61041121036101</v>
      </c>
      <c r="D42" s="2704">
        <f t="shared" si="12"/>
        <v>183.61041121036101</v>
      </c>
      <c r="E42" s="2704">
        <f t="shared" si="31"/>
        <v>276.66850301795557</v>
      </c>
      <c r="F42" s="2704">
        <f t="shared" si="31"/>
        <v>165.1360938278614</v>
      </c>
      <c r="G42" s="3432">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2615</v>
      </c>
      <c r="B43" s="2737">
        <f t="shared" si="30"/>
        <v>196.62341248059772</v>
      </c>
      <c r="C43" s="2737">
        <f t="shared" si="30"/>
        <v>170.99125648199012</v>
      </c>
      <c r="D43" s="2737">
        <f t="shared" si="12"/>
        <v>170.99125648199012</v>
      </c>
      <c r="E43" s="2737">
        <f t="shared" si="31"/>
        <v>266.07857570490052</v>
      </c>
      <c r="F43" s="2737">
        <f t="shared" si="31"/>
        <v>154.53499328828505</v>
      </c>
      <c r="G43" s="3433">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2616</v>
      </c>
      <c r="B44" s="2696">
        <v>188</v>
      </c>
      <c r="C44" s="2696">
        <v>165</v>
      </c>
      <c r="D44" s="2696">
        <f t="shared" si="12"/>
        <v>165</v>
      </c>
      <c r="E44" s="2696">
        <v>254</v>
      </c>
      <c r="F44" s="2697">
        <v>148</v>
      </c>
      <c r="G44" s="3431">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2617</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32">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2618</v>
      </c>
      <c r="B46" s="2704">
        <f t="shared" si="34"/>
        <v>168.82017748715555</v>
      </c>
      <c r="C46" s="2704">
        <f t="shared" si="34"/>
        <v>148.06267029972753</v>
      </c>
      <c r="D46" s="2704">
        <f t="shared" si="12"/>
        <v>148.06267029972753</v>
      </c>
      <c r="E46" s="2704">
        <f t="shared" si="35"/>
        <v>216.46288379323747</v>
      </c>
      <c r="F46" s="2704">
        <f t="shared" si="35"/>
        <v>134.23529411764704</v>
      </c>
      <c r="G46" s="3432">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2619</v>
      </c>
      <c r="B47" s="2704">
        <f t="shared" si="34"/>
        <v>163.84913591779542</v>
      </c>
      <c r="C47" s="2704">
        <f t="shared" si="34"/>
        <v>145.0283378746594</v>
      </c>
      <c r="D47" s="2704">
        <f t="shared" si="12"/>
        <v>145.0283378746594</v>
      </c>
      <c r="E47" s="2704">
        <f t="shared" si="35"/>
        <v>204.95180722891567</v>
      </c>
      <c r="F47" s="2704">
        <f t="shared" si="35"/>
        <v>125.95920303605313</v>
      </c>
      <c r="G47" s="3433">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2620</v>
      </c>
      <c r="B48" s="2718">
        <v>159</v>
      </c>
      <c r="C48" s="2718">
        <v>141</v>
      </c>
      <c r="D48" s="2718">
        <f t="shared" si="12"/>
        <v>141</v>
      </c>
      <c r="E48" s="2718">
        <v>195</v>
      </c>
      <c r="F48" s="2719">
        <v>122</v>
      </c>
      <c r="G48" s="3431">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2621</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32">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2622</v>
      </c>
      <c r="B50" s="2704">
        <f t="shared" si="38"/>
        <v>146.57412060301507</v>
      </c>
      <c r="C50" s="2704">
        <f t="shared" si="38"/>
        <v>136.46831955922866</v>
      </c>
      <c r="D50" s="2704">
        <f t="shared" si="12"/>
        <v>136.46831955922866</v>
      </c>
      <c r="E50" s="2704">
        <f t="shared" si="39"/>
        <v>166.73864894795128</v>
      </c>
      <c r="F50" s="2704">
        <f t="shared" si="39"/>
        <v>115.05882352941177</v>
      </c>
      <c r="G50" s="3432">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2623</v>
      </c>
      <c r="B51" s="2704">
        <f t="shared" si="38"/>
        <v>144.04145728643215</v>
      </c>
      <c r="C51" s="2704">
        <f t="shared" si="38"/>
        <v>136.12396694214877</v>
      </c>
      <c r="D51" s="2704">
        <f t="shared" si="12"/>
        <v>136.12396694214877</v>
      </c>
      <c r="E51" s="2704">
        <f t="shared" si="39"/>
        <v>158.32225913621264</v>
      </c>
      <c r="F51" s="2704">
        <f t="shared" si="39"/>
        <v>114.04278074866311</v>
      </c>
      <c r="G51" s="3433">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2624</v>
      </c>
      <c r="B52" s="2718">
        <v>138</v>
      </c>
      <c r="C52" s="2718">
        <v>131</v>
      </c>
      <c r="D52" s="2718">
        <f t="shared" si="12"/>
        <v>131</v>
      </c>
      <c r="E52" s="2718">
        <v>155</v>
      </c>
      <c r="F52" s="2719">
        <v>114</v>
      </c>
      <c r="G52" s="3431">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2625</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32">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2626</v>
      </c>
      <c r="B54" s="2704">
        <f t="shared" si="42"/>
        <v>124.29032258064517</v>
      </c>
      <c r="C54" s="2704">
        <f t="shared" si="42"/>
        <v>123.8968609865471</v>
      </c>
      <c r="D54" s="2704">
        <f t="shared" si="12"/>
        <v>123.8968609865471</v>
      </c>
      <c r="E54" s="2704">
        <f t="shared" si="43"/>
        <v>138.00507614213197</v>
      </c>
      <c r="F54" s="2704">
        <f t="shared" si="43"/>
        <v>107.96106557377048</v>
      </c>
      <c r="G54" s="3432">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2627</v>
      </c>
      <c r="B55" s="2704">
        <f t="shared" si="42"/>
        <v>122.57204301075269</v>
      </c>
      <c r="C55" s="2704">
        <f t="shared" si="42"/>
        <v>123.4932735426009</v>
      </c>
      <c r="D55" s="2704">
        <f t="shared" si="12"/>
        <v>123.4932735426009</v>
      </c>
      <c r="E55" s="2704">
        <f t="shared" si="43"/>
        <v>129.82233502538071</v>
      </c>
      <c r="F55" s="2704">
        <f t="shared" si="43"/>
        <v>107.39446721311475</v>
      </c>
      <c r="G55" s="3433">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2628</v>
      </c>
      <c r="B56" s="2734">
        <v>121</v>
      </c>
      <c r="C56" s="2734">
        <v>122</v>
      </c>
      <c r="D56" s="2734">
        <f t="shared" si="12"/>
        <v>122</v>
      </c>
      <c r="E56" s="2734">
        <v>124</v>
      </c>
      <c r="F56" s="2735">
        <v>107</v>
      </c>
      <c r="G56" s="3431">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2629</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32">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2630</v>
      </c>
      <c r="B58" s="2704">
        <f t="shared" si="46"/>
        <v>116.99099099099099</v>
      </c>
      <c r="C58" s="2704">
        <f t="shared" si="46"/>
        <v>118.84848484848486</v>
      </c>
      <c r="D58" s="2704">
        <f t="shared" si="12"/>
        <v>118.84848484848486</v>
      </c>
      <c r="E58" s="2704">
        <f t="shared" si="47"/>
        <v>117.60960960960961</v>
      </c>
      <c r="F58" s="2704">
        <f t="shared" si="47"/>
        <v>104</v>
      </c>
      <c r="G58" s="3432">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2631</v>
      </c>
      <c r="B59" s="2737">
        <f t="shared" si="46"/>
        <v>112.48648648648648</v>
      </c>
      <c r="C59" s="2737">
        <f t="shared" si="46"/>
        <v>115.21212121212122</v>
      </c>
      <c r="D59" s="2737">
        <f t="shared" si="12"/>
        <v>115.21212121212122</v>
      </c>
      <c r="E59" s="2737">
        <f t="shared" si="47"/>
        <v>110.4024024024024</v>
      </c>
      <c r="F59" s="2737">
        <f t="shared" si="47"/>
        <v>104</v>
      </c>
      <c r="G59" s="3433">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2632</v>
      </c>
      <c r="B60" s="2755">
        <v>111</v>
      </c>
      <c r="C60" s="2755">
        <v>114</v>
      </c>
      <c r="D60" s="2755">
        <f t="shared" si="12"/>
        <v>114</v>
      </c>
      <c r="E60" s="2755">
        <v>108</v>
      </c>
      <c r="F60" s="2756">
        <v>104</v>
      </c>
      <c r="G60" s="3431">
        <v>2003</v>
      </c>
      <c r="H60" s="2745">
        <v>4</v>
      </c>
      <c r="I60" s="2757"/>
      <c r="J60" s="2757"/>
      <c r="K60" s="2757"/>
      <c r="L60" s="2757"/>
      <c r="N60" s="2758"/>
      <c r="O60" s="2757"/>
      <c r="P60" s="2757"/>
      <c r="Q60" s="2757"/>
      <c r="S60" s="2758"/>
      <c r="T60" s="2757"/>
      <c r="U60" s="2757"/>
      <c r="V60" s="2757"/>
      <c r="X60" s="2749"/>
      <c r="Y60" s="2749"/>
      <c r="Z60" s="2749"/>
    </row>
    <row r="61" spans="1:26">
      <c r="A61" s="2689" t="s">
        <v>2633</v>
      </c>
      <c r="B61" s="2759">
        <f t="shared" ref="B61:C63" si="48">B62+(B$60-B$64)/4</f>
        <v>109.75</v>
      </c>
      <c r="C61" s="2759">
        <f t="shared" si="48"/>
        <v>112.25</v>
      </c>
      <c r="D61" s="2759">
        <f t="shared" si="12"/>
        <v>112.25</v>
      </c>
      <c r="E61" s="2759">
        <f t="shared" ref="E61:F63" si="49">E62+(E$60-E$64)/4</f>
        <v>107.25</v>
      </c>
      <c r="F61" s="2759">
        <f t="shared" si="49"/>
        <v>103.5</v>
      </c>
      <c r="G61" s="3432">
        <v>2003</v>
      </c>
      <c r="H61" s="2715">
        <v>3</v>
      </c>
      <c r="I61" s="2757"/>
      <c r="J61" s="2757"/>
      <c r="K61" s="2757"/>
      <c r="L61" s="2757"/>
      <c r="X61" s="2749"/>
      <c r="Y61" s="2749"/>
      <c r="Z61" s="2749"/>
    </row>
    <row r="62" spans="1:26">
      <c r="A62" s="2689" t="s">
        <v>2634</v>
      </c>
      <c r="B62" s="2759">
        <f t="shared" si="48"/>
        <v>108.5</v>
      </c>
      <c r="C62" s="2759">
        <f t="shared" si="48"/>
        <v>110.5</v>
      </c>
      <c r="D62" s="2759">
        <f t="shared" si="12"/>
        <v>110.5</v>
      </c>
      <c r="E62" s="2759">
        <f t="shared" si="49"/>
        <v>106.5</v>
      </c>
      <c r="F62" s="2759">
        <f t="shared" si="49"/>
        <v>103</v>
      </c>
      <c r="G62" s="3432">
        <v>2003</v>
      </c>
      <c r="H62" s="2695">
        <v>2</v>
      </c>
      <c r="I62" s="2757"/>
      <c r="J62" s="2757"/>
      <c r="K62" s="2757"/>
      <c r="L62" s="2757"/>
      <c r="X62" s="2749"/>
      <c r="Y62" s="2749"/>
      <c r="Z62" s="2749"/>
    </row>
    <row r="63" spans="1:26" ht="13.5" thickBot="1">
      <c r="A63" s="2689" t="s">
        <v>2635</v>
      </c>
      <c r="B63" s="2759">
        <f t="shared" si="48"/>
        <v>107.25</v>
      </c>
      <c r="C63" s="2759">
        <f t="shared" si="48"/>
        <v>108.75</v>
      </c>
      <c r="D63" s="2759">
        <f t="shared" si="12"/>
        <v>108.75</v>
      </c>
      <c r="E63" s="2759">
        <f t="shared" si="49"/>
        <v>105.75</v>
      </c>
      <c r="F63" s="2759">
        <f t="shared" si="49"/>
        <v>102.5</v>
      </c>
      <c r="G63" s="3433">
        <v>2003</v>
      </c>
      <c r="H63" s="2760">
        <v>1</v>
      </c>
      <c r="I63" s="2757"/>
      <c r="J63" s="2757"/>
      <c r="K63" s="2757"/>
      <c r="L63" s="2757"/>
      <c r="S63" s="2699"/>
      <c r="T63" s="2700"/>
      <c r="U63" s="2700"/>
      <c r="X63" s="2749"/>
      <c r="Y63" s="2749"/>
      <c r="Z63" s="2749"/>
    </row>
    <row r="64" spans="1:26" ht="13.5" thickBot="1">
      <c r="A64" s="2689" t="s">
        <v>2636</v>
      </c>
      <c r="B64" s="2761">
        <v>106</v>
      </c>
      <c r="C64" s="2761">
        <v>107</v>
      </c>
      <c r="D64" s="2761">
        <f t="shared" si="12"/>
        <v>107</v>
      </c>
      <c r="E64" s="2761">
        <v>105</v>
      </c>
      <c r="F64" s="2762">
        <v>102</v>
      </c>
      <c r="G64" s="3431">
        <v>2002</v>
      </c>
      <c r="H64" s="2710">
        <v>4</v>
      </c>
      <c r="I64" s="2757"/>
      <c r="J64" s="2757"/>
      <c r="K64" s="2757"/>
      <c r="L64" s="2757"/>
      <c r="N64" s="2758"/>
      <c r="O64" s="2757"/>
      <c r="P64" s="2757"/>
      <c r="Q64" s="2757"/>
      <c r="S64" s="2758"/>
      <c r="T64" s="2757"/>
      <c r="U64" s="2757"/>
      <c r="V64" s="2757"/>
      <c r="X64" s="2749"/>
      <c r="Y64" s="2749"/>
      <c r="Z64" s="2749"/>
    </row>
    <row r="65" spans="1:26">
      <c r="A65" s="2689" t="s">
        <v>2637</v>
      </c>
      <c r="B65" s="2759">
        <f t="shared" ref="B65:C67" si="50">B66+(B$64-B$68)/4</f>
        <v>105</v>
      </c>
      <c r="C65" s="2759">
        <f t="shared" si="50"/>
        <v>106</v>
      </c>
      <c r="D65" s="2759">
        <f t="shared" si="12"/>
        <v>106</v>
      </c>
      <c r="E65" s="2759">
        <f t="shared" ref="E65:F67" si="51">E66+(E$64-E$68)/4</f>
        <v>104.5</v>
      </c>
      <c r="F65" s="2759">
        <f t="shared" si="51"/>
        <v>101.5</v>
      </c>
      <c r="G65" s="3432">
        <v>2002</v>
      </c>
      <c r="H65" s="2715">
        <v>3</v>
      </c>
      <c r="I65" s="2757"/>
      <c r="J65" s="2757"/>
      <c r="K65" s="2757"/>
      <c r="L65" s="2757"/>
      <c r="X65" s="2749"/>
      <c r="Y65" s="2749"/>
      <c r="Z65" s="2749"/>
    </row>
    <row r="66" spans="1:26">
      <c r="A66" s="2689" t="s">
        <v>2638</v>
      </c>
      <c r="B66" s="2759">
        <f t="shared" si="50"/>
        <v>104</v>
      </c>
      <c r="C66" s="2759">
        <f t="shared" si="50"/>
        <v>105</v>
      </c>
      <c r="D66" s="2759">
        <f t="shared" si="12"/>
        <v>105</v>
      </c>
      <c r="E66" s="2759">
        <f t="shared" si="51"/>
        <v>104</v>
      </c>
      <c r="F66" s="2759">
        <f t="shared" si="51"/>
        <v>101</v>
      </c>
      <c r="G66" s="3432">
        <v>2002</v>
      </c>
      <c r="H66" s="2695">
        <v>2</v>
      </c>
      <c r="I66" s="2757"/>
      <c r="J66" s="2757"/>
      <c r="K66" s="2757"/>
      <c r="L66" s="2757"/>
      <c r="X66" s="2749"/>
      <c r="Y66" s="2749"/>
      <c r="Z66" s="2749"/>
    </row>
    <row r="67" spans="1:26" s="2726" customFormat="1" ht="13.5" thickBot="1">
      <c r="A67" s="2722" t="s">
        <v>2639</v>
      </c>
      <c r="B67" s="2763">
        <f t="shared" si="50"/>
        <v>103</v>
      </c>
      <c r="C67" s="2763">
        <f t="shared" si="50"/>
        <v>104</v>
      </c>
      <c r="D67" s="2763">
        <f t="shared" si="12"/>
        <v>104</v>
      </c>
      <c r="E67" s="2763">
        <f t="shared" si="51"/>
        <v>103.5</v>
      </c>
      <c r="F67" s="2763">
        <f t="shared" si="51"/>
        <v>100.5</v>
      </c>
      <c r="G67" s="3433">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2640</v>
      </c>
      <c r="G70" s="2773"/>
      <c r="N70" s="2773"/>
      <c r="S70" s="2773"/>
    </row>
    <row r="71" spans="1:26" s="2772" customFormat="1">
      <c r="A71" s="2772" t="s">
        <v>2641</v>
      </c>
      <c r="G71" s="2773"/>
      <c r="N71" s="2773"/>
      <c r="S71" s="2773"/>
    </row>
    <row r="72" spans="1:26" s="2772" customFormat="1">
      <c r="A72" s="2772" t="s">
        <v>2642</v>
      </c>
      <c r="G72" s="2773"/>
      <c r="I72" s="2774"/>
      <c r="J72" s="2774"/>
      <c r="K72" s="2774"/>
      <c r="L72" s="2774"/>
      <c r="N72" s="2775"/>
      <c r="O72" s="2774"/>
      <c r="P72" s="2774"/>
      <c r="Q72" s="2774"/>
      <c r="S72" s="2775"/>
      <c r="T72" s="2774"/>
      <c r="U72" s="2774"/>
      <c r="V72" s="2774"/>
    </row>
    <row r="73" spans="1:26" s="2772" customFormat="1">
      <c r="A73" s="2772" t="s">
        <v>2643</v>
      </c>
      <c r="G73" s="2773"/>
      <c r="N73" s="2773"/>
      <c r="S73" s="2773"/>
    </row>
    <row r="80" spans="1:26" ht="13.5" thickBot="1"/>
    <row r="81" spans="14:22" s="2698" customFormat="1">
      <c r="N81" s="2714"/>
      <c r="S81" s="2776" t="s">
        <v>2644</v>
      </c>
      <c r="T81" s="2777" t="s">
        <v>2645</v>
      </c>
      <c r="U81" s="2777" t="s">
        <v>2646</v>
      </c>
      <c r="V81" s="2777" t="s">
        <v>2647</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117501平方米。根据《出让合同》[]，估价对象规划建筑面积为258502.2平方米。</v>
      </c>
    </row>
    <row r="7" spans="1:4" ht="56.25">
      <c r="A7" s="1799" t="s">
        <v>2757</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2944</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根据《不动产权利证书》，估价对象（分摊）出让国有建设用地使用权面积为117501平方米。根据《出让合同》[]，估价对象规划建筑面积为258502.2平方米。</v>
      </c>
    </row>
    <row r="21" spans="1:1" ht="18.75">
      <c r="A21" s="1795" t="s">
        <v>2078</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本次估价对象为出让国有建设用地使用权，《不动产权利证书》证载土地终止日期为住宅2087年5月18日、商业2057年5月18日。截至估价期日，出让国有建设用地使用权剩余土地使用年限为。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629</v>
      </c>
      <c r="B1" s="741"/>
      <c r="C1" s="776"/>
      <c r="D1" s="2054"/>
      <c r="E1" s="2055"/>
      <c r="F1" s="2055"/>
      <c r="G1" s="777">
        <f>MATCH(C1,'数据-取费表'!A6:A16,0)+5</f>
        <v>8</v>
      </c>
      <c r="H1" s="1352"/>
      <c r="I1" s="2056"/>
      <c r="J1" s="2056"/>
      <c r="K1" s="2057"/>
      <c r="L1" s="2056"/>
      <c r="M1" s="2056"/>
      <c r="N1" s="2058"/>
      <c r="O1" s="2058"/>
      <c r="P1" s="2058"/>
      <c r="Q1" s="2058"/>
      <c r="R1" s="2058"/>
      <c r="S1" s="2058"/>
      <c r="T1" s="2058"/>
      <c r="U1" s="2058"/>
      <c r="V1" s="2058"/>
      <c r="W1" s="2058"/>
      <c r="X1" s="2058"/>
      <c r="Y1" s="2058"/>
    </row>
    <row r="2" spans="1:25" ht="18" customHeight="1">
      <c r="A2" s="1647" t="s">
        <v>630</v>
      </c>
      <c r="B2" s="778">
        <f ca="1">IF(ISERROR(C45+J31),0,C45+J31)</f>
        <v>0</v>
      </c>
      <c r="C2" s="1353"/>
      <c r="D2" s="2060"/>
      <c r="E2" s="2061"/>
      <c r="F2" s="2061"/>
      <c r="G2" s="1593"/>
      <c r="H2" s="1366"/>
      <c r="I2" s="2062"/>
      <c r="J2" s="2062"/>
      <c r="K2" s="2063"/>
      <c r="L2" s="2062"/>
      <c r="M2" s="2062"/>
    </row>
    <row r="3" spans="1:25" ht="18" customHeight="1">
      <c r="A3" s="1648" t="s">
        <v>1690</v>
      </c>
      <c r="B3" s="1395">
        <f ca="1">ROUND(B2*10000/'数据-汇总表'!E3,0)</f>
        <v>0</v>
      </c>
      <c r="C3" s="1353"/>
      <c r="D3" s="2060"/>
      <c r="E3" s="2061"/>
      <c r="F3" s="2061"/>
      <c r="G3" s="1593"/>
      <c r="H3" s="779" t="s">
        <v>697</v>
      </c>
      <c r="I3" s="2062"/>
      <c r="J3" s="2062"/>
      <c r="K3" s="2063"/>
      <c r="L3" s="2062"/>
      <c r="M3" s="2062"/>
    </row>
    <row r="4" spans="1:25" ht="18" customHeight="1">
      <c r="A4" s="1649" t="s">
        <v>698</v>
      </c>
      <c r="B4" s="1354">
        <f ca="1">ROUND(B2*10000/'数据-汇总表'!D3,0)</f>
        <v>0</v>
      </c>
      <c r="C4" s="431"/>
      <c r="D4" s="2060"/>
      <c r="E4" s="2061"/>
      <c r="F4" s="2061"/>
      <c r="G4" s="1593"/>
      <c r="H4" s="779"/>
      <c r="I4" s="2062"/>
      <c r="J4" s="2062"/>
      <c r="K4" s="2063"/>
      <c r="L4" s="2062"/>
      <c r="M4" s="2062"/>
    </row>
    <row r="5" spans="1:25" ht="18" customHeight="1" thickBot="1">
      <c r="A5" s="1650"/>
      <c r="B5" s="433">
        <f ca="1">ROUND(B2/('数据-汇总表'!D3/666.67),0)</f>
        <v>0</v>
      </c>
      <c r="C5" s="434" t="s">
        <v>699</v>
      </c>
      <c r="D5" s="2060"/>
      <c r="E5" s="2061"/>
      <c r="F5" s="2061"/>
      <c r="G5" s="1593"/>
      <c r="H5" s="779"/>
      <c r="I5" s="2062"/>
      <c r="J5" s="2062"/>
      <c r="K5" s="2063"/>
      <c r="L5" s="2062"/>
      <c r="M5" s="2062"/>
    </row>
    <row r="6" spans="1:25" ht="18" customHeight="1">
      <c r="A6" s="1832" t="s">
        <v>700</v>
      </c>
      <c r="B6" s="1824" t="s">
        <v>701</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9" t="s">
        <v>2467</v>
      </c>
      <c r="E7" s="2523"/>
      <c r="F7" s="2524"/>
      <c r="G7" s="1595"/>
      <c r="H7" s="784">
        <v>1</v>
      </c>
      <c r="I7" s="785" t="s">
        <v>2464</v>
      </c>
      <c r="J7" s="53">
        <f ca="1">J8+J12+J14</f>
        <v>0</v>
      </c>
      <c r="K7" s="2529" t="s">
        <v>2467</v>
      </c>
      <c r="L7" s="2523"/>
      <c r="M7" s="2524"/>
    </row>
    <row r="8" spans="1:25" ht="18" customHeight="1">
      <c r="A8" s="1834" t="s">
        <v>1829</v>
      </c>
      <c r="B8" s="3442" t="s">
        <v>2469</v>
      </c>
      <c r="C8" s="1829">
        <f ca="1">ROUND(F8*F10*F9*(1-F11)/10000,0)</f>
        <v>0</v>
      </c>
      <c r="D8" s="1826" t="s">
        <v>2541</v>
      </c>
      <c r="E8" s="61" t="s">
        <v>638</v>
      </c>
      <c r="F8" s="788">
        <f ca="1">INDIRECT("'数据-取费表'!u"&amp;$G$1)</f>
        <v>0</v>
      </c>
      <c r="G8" s="1595"/>
      <c r="H8" s="2537" t="s">
        <v>1829</v>
      </c>
      <c r="I8" s="3442" t="s">
        <v>2469</v>
      </c>
      <c r="J8" s="786">
        <f ca="1">ROUND(M8*M10*M9*(1-M11)/10000,0)</f>
        <v>0</v>
      </c>
      <c r="K8" s="344" t="s">
        <v>2541</v>
      </c>
      <c r="L8" s="787" t="s">
        <v>1742</v>
      </c>
      <c r="M8" s="788">
        <f ca="1">INDIRECT("'数据-取费表'!z"&amp;$G$1)</f>
        <v>0</v>
      </c>
    </row>
    <row r="9" spans="1:25" ht="18" customHeight="1">
      <c r="A9" s="2533"/>
      <c r="B9" s="3443"/>
      <c r="C9" s="1830"/>
      <c r="D9" s="1827"/>
      <c r="E9" s="61" t="s">
        <v>639</v>
      </c>
      <c r="F9" s="788">
        <f ca="1">IF(INDIRECT("'数据-取费表'!ah"&amp;$G$1)="",INDIRECT("'数据-取费表'!k"&amp;$G$1),INDIRECT("'数据-取费表'!ah"&amp;$G$1))</f>
        <v>0</v>
      </c>
      <c r="G9" s="1595"/>
      <c r="H9" s="2522"/>
      <c r="I9" s="3443"/>
      <c r="J9" s="791"/>
      <c r="K9" s="792"/>
      <c r="L9" s="787" t="s">
        <v>1743</v>
      </c>
      <c r="M9" s="788">
        <f ca="1">F9</f>
        <v>0</v>
      </c>
    </row>
    <row r="10" spans="1:25" ht="18" customHeight="1">
      <c r="A10" s="2526"/>
      <c r="B10" s="3444"/>
      <c r="C10" s="1830"/>
      <c r="D10" s="1827"/>
      <c r="E10" s="61" t="s">
        <v>640</v>
      </c>
      <c r="F10" s="788">
        <f ca="1">INDIRECT("'数据-取费表'!ai"&amp;$G$1)</f>
        <v>0</v>
      </c>
      <c r="G10" s="1595"/>
      <c r="H10" s="2522"/>
      <c r="I10" s="3444"/>
      <c r="J10" s="791"/>
      <c r="K10" s="792"/>
      <c r="L10" s="787" t="s">
        <v>1744</v>
      </c>
      <c r="M10" s="788">
        <f ca="1">INDIRECT("'数据-取费表'!ai"&amp;$G$1)</f>
        <v>0</v>
      </c>
    </row>
    <row r="11" spans="1:25" ht="18" customHeight="1">
      <c r="A11" s="789"/>
      <c r="B11" s="3445"/>
      <c r="C11" s="1830"/>
      <c r="D11" s="1827"/>
      <c r="E11" s="61" t="s">
        <v>641</v>
      </c>
      <c r="F11" s="797">
        <f ca="1">INDIRECT("'数据-取费表'!w"&amp;$G$1)</f>
        <v>0</v>
      </c>
      <c r="G11" s="1595"/>
      <c r="H11" s="2538"/>
      <c r="I11" s="3444"/>
      <c r="J11" s="791"/>
      <c r="K11" s="792"/>
      <c r="L11" s="798" t="s">
        <v>1745</v>
      </c>
      <c r="M11" s="799">
        <f ca="1">INDIRECT("'数据-取费表'!ab"&amp;$G$1)</f>
        <v>0</v>
      </c>
    </row>
    <row r="12" spans="1:25" ht="18" customHeight="1">
      <c r="A12" s="1834" t="s">
        <v>1830</v>
      </c>
      <c r="B12" s="2527" t="s">
        <v>2465</v>
      </c>
      <c r="C12" s="802">
        <f ca="1">ROUND(IF(F12="押一",F8*F10*F9/12*F13,IF(F12="押二",F8*F10*F9/12*2*F13,IF(F12="押三",F8*F10*F9/12*3*F13,C13*F13)))/10000,0)</f>
        <v>0</v>
      </c>
      <c r="D12" s="2534" t="s">
        <v>2472</v>
      </c>
      <c r="E12" s="2531" t="s">
        <v>2470</v>
      </c>
      <c r="F12" s="2654"/>
      <c r="G12" s="1595"/>
      <c r="H12" s="2594" t="s">
        <v>1830</v>
      </c>
      <c r="I12" s="2599" t="s">
        <v>2465</v>
      </c>
      <c r="J12" s="786">
        <f ca="1">ROUND(IF(M12="押一",M8*M10*M9/12*M13,IF(M12="押二",M8*M10*M9/12*2*M13,IF(M12="押三",M8*M10*M9/12*3*M13,J13*M13)))/10000,0)</f>
        <v>0</v>
      </c>
      <c r="K12" s="2534" t="s">
        <v>2472</v>
      </c>
      <c r="L12" s="2531" t="s">
        <v>2470</v>
      </c>
      <c r="M12" s="2654"/>
    </row>
    <row r="13" spans="1:25" ht="18" customHeight="1">
      <c r="A13" s="793"/>
      <c r="B13" s="2528" t="s">
        <v>2580</v>
      </c>
      <c r="C13" s="2532"/>
      <c r="D13" s="792"/>
      <c r="E13" s="2531" t="s">
        <v>2462</v>
      </c>
      <c r="F13" s="799">
        <f ca="1">'数据-取费表'!B39</f>
        <v>1.4999999999999999E-2</v>
      </c>
      <c r="G13" s="1595"/>
      <c r="H13" s="2595"/>
      <c r="I13" s="2528" t="s">
        <v>2580</v>
      </c>
      <c r="J13" s="2532"/>
      <c r="K13" s="2596"/>
      <c r="L13" s="2531" t="s">
        <v>2462</v>
      </c>
      <c r="M13" s="2525">
        <f ca="1">'数据-取费表'!B39</f>
        <v>1.4999999999999999E-2</v>
      </c>
    </row>
    <row r="14" spans="1:25" ht="18" customHeight="1" thickBot="1">
      <c r="A14" s="2570" t="s">
        <v>2474</v>
      </c>
      <c r="B14" s="2571" t="s">
        <v>2466</v>
      </c>
      <c r="C14" s="2572"/>
      <c r="D14" s="2573"/>
      <c r="E14" s="2574"/>
      <c r="F14" s="2575"/>
      <c r="G14" s="1595"/>
      <c r="H14" s="2584" t="s">
        <v>2474</v>
      </c>
      <c r="I14" s="2597" t="s">
        <v>2466</v>
      </c>
      <c r="J14" s="2598"/>
      <c r="K14" s="2573"/>
      <c r="L14" s="2574"/>
      <c r="M14" s="2587"/>
    </row>
    <row r="15" spans="1:25" ht="18" customHeight="1" thickTop="1">
      <c r="A15" s="1833" t="s">
        <v>1879</v>
      </c>
      <c r="B15" s="1831" t="s">
        <v>642</v>
      </c>
      <c r="C15" s="795">
        <f ca="1">ROUND(C31*F15,0)</f>
        <v>0</v>
      </c>
      <c r="D15" s="1838" t="s">
        <v>643</v>
      </c>
      <c r="E15" s="798" t="s">
        <v>644</v>
      </c>
      <c r="F15" s="803">
        <f ca="1">INDIRECT("'数据-取费表'!y"&amp;$G$1)</f>
        <v>0</v>
      </c>
      <c r="G15" s="1595"/>
      <c r="H15" s="1833" t="s">
        <v>1831</v>
      </c>
      <c r="I15" s="1831" t="s">
        <v>645</v>
      </c>
      <c r="J15" s="1823">
        <f ca="1">ROUND(J16*J17,0)</f>
        <v>0</v>
      </c>
      <c r="K15" s="1825" t="s">
        <v>643</v>
      </c>
      <c r="L15" s="804"/>
      <c r="M15" s="805"/>
    </row>
    <row r="16" spans="1:25" ht="18" customHeight="1">
      <c r="A16" s="806" t="s">
        <v>1880</v>
      </c>
      <c r="B16" s="787" t="s">
        <v>646</v>
      </c>
      <c r="C16" s="807">
        <f ca="1">INDIRECT("'数据-取费表'!m"&amp;$G$1)+INDIRECT("'数据-取费表'!t"&amp;$G$1)</f>
        <v>0</v>
      </c>
      <c r="D16" s="1983" t="s">
        <v>647</v>
      </c>
      <c r="E16" s="1984"/>
      <c r="F16" s="808"/>
      <c r="G16" s="1595"/>
      <c r="H16" s="806" t="s">
        <v>2073</v>
      </c>
      <c r="I16" s="2239" t="s">
        <v>2835</v>
      </c>
      <c r="J16" s="53">
        <f ca="1">C31</f>
        <v>0</v>
      </c>
      <c r="K16" s="26"/>
      <c r="L16" s="804"/>
      <c r="M16" s="805"/>
    </row>
    <row r="17" spans="1:25" s="2069" customFormat="1" ht="18" customHeight="1">
      <c r="A17" s="806" t="s">
        <v>1854</v>
      </c>
      <c r="B17" s="787" t="s">
        <v>648</v>
      </c>
      <c r="C17" s="53">
        <f ca="1">ROUND(C16*F17,0)</f>
        <v>0</v>
      </c>
      <c r="D17" s="809" t="s">
        <v>649</v>
      </c>
      <c r="E17" s="809" t="s">
        <v>650</v>
      </c>
      <c r="F17" s="810">
        <f>'数据-取费表'!B33</f>
        <v>0.05</v>
      </c>
      <c r="G17" s="1596"/>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5"/>
      <c r="H18" s="800" t="s">
        <v>1832</v>
      </c>
      <c r="I18" s="801" t="s">
        <v>652</v>
      </c>
      <c r="J18" s="802">
        <f ca="1">ROUND(J19+J24+J25+J26,0)</f>
        <v>0</v>
      </c>
      <c r="K18" s="26" t="s">
        <v>653</v>
      </c>
      <c r="L18" s="1986"/>
      <c r="M18" s="56"/>
    </row>
    <row r="19" spans="1:25" s="2069" customFormat="1" ht="18" customHeight="1">
      <c r="A19" s="806" t="s">
        <v>1856</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1857</v>
      </c>
      <c r="B20" s="787" t="s">
        <v>660</v>
      </c>
      <c r="C20" s="53">
        <f ca="1">ROUND(C16*F20,0)</f>
        <v>0</v>
      </c>
      <c r="D20" s="787" t="s">
        <v>649</v>
      </c>
      <c r="E20" s="787" t="s">
        <v>650</v>
      </c>
      <c r="F20" s="812">
        <f>'数据-取费表'!B36</f>
        <v>1.4999999999999999E-2</v>
      </c>
      <c r="G20" s="1596"/>
      <c r="H20" s="806" t="s">
        <v>1836</v>
      </c>
      <c r="I20" s="787" t="s">
        <v>661</v>
      </c>
      <c r="J20" s="53">
        <f ca="1">ROUND(J7*M20/1.05,1)</f>
        <v>0</v>
      </c>
      <c r="K20" s="1981"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1881</v>
      </c>
      <c r="B21" s="787" t="s">
        <v>663</v>
      </c>
      <c r="C21" s="53">
        <f ca="1">SUM(C16:C20)</f>
        <v>0</v>
      </c>
      <c r="D21" s="261" t="s">
        <v>664</v>
      </c>
      <c r="E21" s="1986"/>
      <c r="F21" s="56"/>
      <c r="G21" s="1595"/>
      <c r="H21" s="1834" t="s">
        <v>1854</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1882</v>
      </c>
      <c r="B22" s="787" t="s">
        <v>667</v>
      </c>
      <c r="C22" s="53">
        <f ca="1">ROUND(C21*F22,0)</f>
        <v>0</v>
      </c>
      <c r="D22" s="815" t="s">
        <v>668</v>
      </c>
      <c r="E22" s="787" t="s">
        <v>650</v>
      </c>
      <c r="F22" s="812">
        <f>'数据-取费表'!B37</f>
        <v>0.02</v>
      </c>
      <c r="G22" s="1596"/>
      <c r="H22" s="1836" t="s">
        <v>1855</v>
      </c>
      <c r="I22" s="1826" t="s">
        <v>669</v>
      </c>
      <c r="J22" s="54">
        <f ca="1">ROUND(M22*M23/10000,0)</f>
        <v>0</v>
      </c>
      <c r="K22" s="817" t="s">
        <v>670</v>
      </c>
      <c r="L22" s="787" t="s">
        <v>671</v>
      </c>
      <c r="M22" s="643">
        <f>'数据-取费表'!B52</f>
        <v>3</v>
      </c>
      <c r="N22" s="2068"/>
      <c r="O22" s="2068"/>
      <c r="P22" s="2068"/>
      <c r="Q22" s="2068"/>
      <c r="R22" s="2068"/>
      <c r="S22" s="2068"/>
      <c r="T22" s="2068"/>
      <c r="U22" s="2068"/>
      <c r="V22" s="2068"/>
      <c r="W22" s="2068"/>
      <c r="X22" s="2068"/>
      <c r="Y22" s="2068"/>
    </row>
    <row r="23" spans="1:25" s="2069" customFormat="1" ht="18" customHeight="1">
      <c r="A23" s="806" t="s">
        <v>1883</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1884</v>
      </c>
      <c r="B24" s="787" t="s">
        <v>676</v>
      </c>
      <c r="C24" s="53"/>
      <c r="D24" s="2605"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9" customFormat="1" ht="18" customHeight="1">
      <c r="A25" s="806" t="s">
        <v>1880</v>
      </c>
      <c r="B25" s="787" t="s">
        <v>2442</v>
      </c>
      <c r="C25" s="53">
        <f ca="1">ROUND(IF('数据-取费表'!B22&lt;=1,(C21+C22)*F26*F25/2,(C21+C22)*(POWER((1+F26),F25/2)-1)),0)</f>
        <v>0</v>
      </c>
      <c r="D25" s="2604" t="str">
        <f>IF(F25&lt;=1,"(建造成本+管理费用)×利率×(建设周期÷2)","(建造成本+管理费用)×((1+利率)^(建设周期÷2)-1)")</f>
        <v>(建造成本+管理费用)×((1+利率)^(建设周期÷2)-1)</v>
      </c>
      <c r="E25" s="787" t="s">
        <v>679</v>
      </c>
      <c r="F25" s="643">
        <f>'数据-取费表'!B20</f>
        <v>3</v>
      </c>
      <c r="G25" s="1596"/>
      <c r="H25" s="806" t="s">
        <v>1883</v>
      </c>
      <c r="I25" s="787" t="s">
        <v>680</v>
      </c>
      <c r="J25" s="53">
        <f ca="1">ROUND(J15*M25,0)</f>
        <v>0</v>
      </c>
      <c r="K25" s="1981"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1854</v>
      </c>
      <c r="B26" s="787" t="s">
        <v>682</v>
      </c>
      <c r="C26" s="53">
        <f ca="1">ROUND(IF('数据-取费表'!B22&lt;=1,F23*F26*F25/2,F23*(POWER((1+F26),F25/2)-1)),4)</f>
        <v>1.4E-3</v>
      </c>
      <c r="D26" s="2604" t="str">
        <f>IF(F25&lt;=1,"销售费用×利率×(建设周期÷2)","销售费用×((1+利率)^(建设周期÷2)-1)")</f>
        <v>销售费用×((1+利率)^(建设周期÷2)-1)</v>
      </c>
      <c r="E26" s="787" t="s">
        <v>683</v>
      </c>
      <c r="F26" s="822">
        <f ca="1">'数据-取费表'!B40</f>
        <v>4.7500000000000001E-2</v>
      </c>
      <c r="G26" s="1596"/>
      <c r="H26" s="806" t="s">
        <v>1884</v>
      </c>
      <c r="I26" s="787" t="s">
        <v>667</v>
      </c>
      <c r="J26" s="53">
        <f ca="1">ROUND(J7*M26,0)</f>
        <v>0</v>
      </c>
      <c r="K26" s="1981"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1886</v>
      </c>
      <c r="B27" s="787" t="s">
        <v>685</v>
      </c>
      <c r="C27" s="53"/>
      <c r="D27" s="261" t="s">
        <v>686</v>
      </c>
      <c r="E27" s="1986"/>
      <c r="F27" s="56"/>
      <c r="G27" s="1595"/>
      <c r="H27" s="800" t="s">
        <v>1833</v>
      </c>
      <c r="I27" s="3048" t="s">
        <v>2832</v>
      </c>
      <c r="J27" s="802">
        <f ca="1">J7-J18</f>
        <v>0</v>
      </c>
      <c r="K27" s="1983" t="s">
        <v>702</v>
      </c>
      <c r="L27" s="1985"/>
      <c r="M27" s="823"/>
    </row>
    <row r="28" spans="1:25" ht="18" customHeight="1">
      <c r="A28" s="806" t="s">
        <v>1880</v>
      </c>
      <c r="B28" s="787" t="s">
        <v>2443</v>
      </c>
      <c r="C28" s="53">
        <f ca="1">ROUND((C21+C22)*F28,0)</f>
        <v>0</v>
      </c>
      <c r="D28" s="815" t="s">
        <v>703</v>
      </c>
      <c r="E28" s="798" t="s">
        <v>704</v>
      </c>
      <c r="F28" s="797">
        <f ca="1">INDIRECT("'数据-取费表'!q"&amp;$G$1)</f>
        <v>0</v>
      </c>
      <c r="G28" s="1595"/>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5"/>
      <c r="H29" s="789"/>
      <c r="I29" s="790"/>
      <c r="J29" s="791"/>
      <c r="K29" s="824" t="s">
        <v>709</v>
      </c>
      <c r="L29" s="787" t="s">
        <v>710</v>
      </c>
      <c r="M29" s="825">
        <f ca="1">INDIRECT("'数据-取费表'!ag"&amp;$G$1)</f>
        <v>0</v>
      </c>
    </row>
    <row r="30" spans="1:25" s="2069" customFormat="1" ht="18" customHeight="1">
      <c r="A30" s="806" t="s">
        <v>1887</v>
      </c>
      <c r="B30" s="787" t="s">
        <v>688</v>
      </c>
      <c r="C30" s="53">
        <f>ROUND(F30/(1+'数据-取费表'!C42),4)</f>
        <v>5.2400000000000002E-2</v>
      </c>
      <c r="D30" s="815" t="s">
        <v>711</v>
      </c>
      <c r="E30" s="787" t="s">
        <v>650</v>
      </c>
      <c r="F30" s="812">
        <f>'数据-取费表'!B41</f>
        <v>5.5000000000000007E-2</v>
      </c>
      <c r="G30" s="1596"/>
      <c r="H30" s="793"/>
      <c r="I30" s="794"/>
      <c r="J30" s="795"/>
      <c r="K30" s="819"/>
      <c r="L30" s="787" t="s">
        <v>712</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1888</v>
      </c>
      <c r="B31" s="2574" t="s">
        <v>2833</v>
      </c>
      <c r="C31" s="2577">
        <f ca="1">ROUND((C21+C22+C25+C28)/(1-F23-C26-C29-C30),0)</f>
        <v>0</v>
      </c>
      <c r="D31" s="2578"/>
      <c r="E31" s="2579"/>
      <c r="F31" s="2580"/>
      <c r="G31" s="1596"/>
      <c r="H31" s="826" t="s">
        <v>1877</v>
      </c>
      <c r="I31" s="3049"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5">
        <f ca="1">ROUND(C33+C38+C39+C40,0)</f>
        <v>0</v>
      </c>
      <c r="D32" s="1825" t="s">
        <v>653</v>
      </c>
      <c r="E32" s="2520"/>
      <c r="F32" s="2524"/>
      <c r="G32" s="2067"/>
      <c r="H32" s="2070"/>
      <c r="I32" s="2071"/>
      <c r="J32" s="2072"/>
      <c r="K32" s="2073"/>
      <c r="L32" s="2074"/>
      <c r="M32" s="2075"/>
    </row>
    <row r="33" spans="1:13" ht="18" customHeight="1">
      <c r="A33" s="806" t="s">
        <v>1881</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6" t="s">
        <v>1880</v>
      </c>
      <c r="B34" s="787" t="s">
        <v>661</v>
      </c>
      <c r="C34" s="53">
        <f ca="1">ROUND(C7*F34/1.05,1)</f>
        <v>0</v>
      </c>
      <c r="D34" s="1981" t="s">
        <v>662</v>
      </c>
      <c r="E34" s="787" t="s">
        <v>650</v>
      </c>
      <c r="F34" s="812">
        <f>'数据-取费表'!B41</f>
        <v>5.5000000000000007E-2</v>
      </c>
      <c r="G34" s="2067"/>
      <c r="H34" s="2076"/>
      <c r="I34" s="2077"/>
      <c r="J34" s="2078"/>
      <c r="K34" s="2079"/>
      <c r="L34" s="2080"/>
      <c r="M34" s="2081"/>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7"/>
      <c r="H35" s="2082"/>
      <c r="I35" s="2082"/>
      <c r="J35" s="2082"/>
      <c r="K35" s="2083"/>
      <c r="L35" s="2082"/>
      <c r="M35" s="2082"/>
    </row>
    <row r="36" spans="1:13" ht="18" customHeight="1">
      <c r="A36" s="816" t="s">
        <v>1885</v>
      </c>
      <c r="B36" s="344" t="s">
        <v>669</v>
      </c>
      <c r="C36" s="54">
        <f ca="1">ROUND(F36*F37/10000,1)</f>
        <v>0</v>
      </c>
      <c r="D36" s="817" t="s">
        <v>670</v>
      </c>
      <c r="E36" s="787" t="s">
        <v>671</v>
      </c>
      <c r="F36" s="643">
        <f>'数据-取费表'!B52</f>
        <v>3</v>
      </c>
      <c r="G36" s="2067"/>
      <c r="H36" s="2070"/>
      <c r="I36" s="3441"/>
      <c r="J36" s="2084"/>
      <c r="K36" s="2085"/>
      <c r="L36" s="2084"/>
      <c r="M36" s="2084"/>
    </row>
    <row r="37" spans="1:13" ht="18" customHeight="1">
      <c r="A37" s="818"/>
      <c r="B37" s="796"/>
      <c r="C37" s="69"/>
      <c r="D37" s="819"/>
      <c r="E37" s="787" t="s">
        <v>675</v>
      </c>
      <c r="F37" s="788">
        <f ca="1">INDIRECT("'数据-取费表'!r"&amp;$G$1)</f>
        <v>0</v>
      </c>
      <c r="G37" s="2067"/>
      <c r="H37" s="2070"/>
      <c r="I37" s="3441"/>
      <c r="J37" s="2082"/>
      <c r="K37" s="2083"/>
      <c r="L37" s="2082"/>
      <c r="M37" s="2082"/>
    </row>
    <row r="38" spans="1:13" ht="18" customHeight="1">
      <c r="A38" s="806" t="s">
        <v>1882</v>
      </c>
      <c r="B38" s="787" t="s">
        <v>677</v>
      </c>
      <c r="C38" s="53">
        <f ca="1">ROUND(C31*F38,1)</f>
        <v>0</v>
      </c>
      <c r="D38" s="1981" t="s">
        <v>693</v>
      </c>
      <c r="E38" s="787" t="s">
        <v>650</v>
      </c>
      <c r="F38" s="820">
        <f ca="1">INDIRECT("'数据-取费表'!Ak"&amp;$G$1)</f>
        <v>0</v>
      </c>
      <c r="G38" s="2067"/>
      <c r="H38" s="2082"/>
      <c r="I38" s="2086"/>
      <c r="J38" s="1992"/>
      <c r="K38" s="2087"/>
      <c r="L38" s="2082"/>
      <c r="M38" s="2082"/>
    </row>
    <row r="39" spans="1:13" ht="18" customHeight="1">
      <c r="A39" s="806" t="s">
        <v>1883</v>
      </c>
      <c r="B39" s="787" t="s">
        <v>680</v>
      </c>
      <c r="C39" s="53">
        <f ca="1">ROUND(C15*F39,1)</f>
        <v>0</v>
      </c>
      <c r="D39" s="1981" t="s">
        <v>681</v>
      </c>
      <c r="E39" s="787" t="s">
        <v>650</v>
      </c>
      <c r="F39" s="821">
        <f ca="1">INDIRECT("'数据-取费表'!Al"&amp;$G$1)</f>
        <v>0</v>
      </c>
      <c r="G39" s="2067"/>
      <c r="H39" s="2082"/>
      <c r="I39" s="2086"/>
      <c r="J39" s="1992"/>
      <c r="K39" s="2087"/>
      <c r="L39" s="2082"/>
      <c r="M39" s="2082"/>
    </row>
    <row r="40" spans="1:13" ht="18" customHeight="1" thickBot="1">
      <c r="A40" s="2593" t="s">
        <v>1884</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5"/>
      <c r="D41" s="1356"/>
      <c r="E41" s="1356"/>
      <c r="F41" s="1357"/>
      <c r="G41" s="2067"/>
      <c r="H41" s="2067"/>
      <c r="I41" s="2067"/>
      <c r="J41" s="2067"/>
      <c r="K41" s="2088"/>
      <c r="L41" s="2067"/>
      <c r="M41" s="2067"/>
    </row>
    <row r="42" spans="1:13" ht="18" customHeight="1">
      <c r="A42" s="806" t="s">
        <v>1881</v>
      </c>
      <c r="B42" s="838" t="s">
        <v>695</v>
      </c>
      <c r="C42" s="832">
        <f ca="1">C7-C32</f>
        <v>0</v>
      </c>
      <c r="D42" s="1983" t="s">
        <v>696</v>
      </c>
      <c r="E42" s="1985"/>
      <c r="F42" s="823"/>
      <c r="G42" s="2067"/>
      <c r="H42" s="2067"/>
      <c r="I42" s="2067"/>
      <c r="J42" s="2067"/>
      <c r="K42" s="2088"/>
      <c r="L42" s="2067"/>
      <c r="M42" s="2067"/>
    </row>
    <row r="43" spans="1:13" ht="18" customHeight="1">
      <c r="A43" s="806" t="s">
        <v>1882</v>
      </c>
      <c r="B43" s="838" t="s">
        <v>713</v>
      </c>
      <c r="C43" s="839">
        <f ca="1">ROUND(C15*F43,0)</f>
        <v>0</v>
      </c>
      <c r="D43" s="1358" t="s">
        <v>714</v>
      </c>
      <c r="E43" s="1358" t="s">
        <v>715</v>
      </c>
      <c r="F43" s="1359">
        <f ca="1">INDIRECT("'数据-取费表'!j"&amp;$G$1)</f>
        <v>0</v>
      </c>
      <c r="G43" s="2067"/>
      <c r="H43" s="2067"/>
      <c r="I43" s="2067"/>
      <c r="J43" s="2067"/>
      <c r="K43" s="2088"/>
      <c r="L43" s="2067"/>
      <c r="M43" s="2067"/>
    </row>
    <row r="44" spans="1:13" ht="18" customHeight="1">
      <c r="A44" s="806" t="s">
        <v>1883</v>
      </c>
      <c r="B44" s="838" t="s">
        <v>716</v>
      </c>
      <c r="C44" s="1360">
        <f ca="1">C42-C43</f>
        <v>0</v>
      </c>
      <c r="D44" s="466" t="s">
        <v>717</v>
      </c>
      <c r="E44" s="467"/>
      <c r="F44" s="468"/>
      <c r="G44" s="2067"/>
      <c r="H44" s="2067"/>
      <c r="I44" s="2067"/>
      <c r="J44" s="2067"/>
      <c r="K44" s="2088"/>
      <c r="L44" s="2067"/>
      <c r="M44" s="2067"/>
    </row>
    <row r="45" spans="1:13" ht="18" customHeight="1">
      <c r="A45" s="806" t="s">
        <v>1884</v>
      </c>
      <c r="B45" s="1358" t="s">
        <v>718</v>
      </c>
      <c r="C45" s="3073">
        <f ca="1">ROUND(-PV(F45,F46,C44,0),0)</f>
        <v>0</v>
      </c>
      <c r="D45" s="1361" t="s">
        <v>719</v>
      </c>
      <c r="E45" s="809" t="s">
        <v>720</v>
      </c>
      <c r="F45" s="833">
        <f ca="1">INDIRECT("'数据-取费表'!h"&amp;$G$1)</f>
        <v>0</v>
      </c>
      <c r="G45" s="2067"/>
      <c r="H45" s="2067"/>
      <c r="I45" s="2067"/>
      <c r="J45" s="2067"/>
      <c r="K45" s="2088"/>
      <c r="L45" s="2067"/>
      <c r="M45" s="2067"/>
    </row>
    <row r="46" spans="1:13" ht="18" customHeight="1" thickBot="1">
      <c r="A46" s="834"/>
      <c r="B46" s="1362"/>
      <c r="C46" s="1363"/>
      <c r="D46" s="1364"/>
      <c r="E46" s="830" t="s">
        <v>710</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0" sqref="J50"/>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1729</v>
      </c>
      <c r="B1" s="741"/>
      <c r="C1" s="776" t="s">
        <v>3003</v>
      </c>
      <c r="D1" s="2054"/>
      <c r="E1" s="2420" t="s">
        <v>2379</v>
      </c>
      <c r="F1" s="2421">
        <f ca="1">J53</f>
        <v>39.68</v>
      </c>
      <c r="G1" s="777">
        <f>MATCH(C1,'数据-取费表'!A6:A16,0)+5</f>
        <v>7</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6" t="s">
        <v>1730</v>
      </c>
      <c r="B2" s="778">
        <f ca="1">C40+J29+L46</f>
        <v>11365</v>
      </c>
      <c r="C2" s="2062"/>
      <c r="D2" s="2060"/>
      <c r="E2" s="2061"/>
      <c r="F2" s="2061"/>
      <c r="G2" s="1593"/>
      <c r="H2" s="2062"/>
      <c r="I2" s="2062"/>
      <c r="J2" s="2062"/>
      <c r="K2" s="2063"/>
      <c r="L2" s="2062"/>
      <c r="M2" s="2062"/>
    </row>
    <row r="3" spans="1:33" ht="18" customHeight="1" thickBot="1">
      <c r="A3" s="836" t="s">
        <v>1731</v>
      </c>
      <c r="B3" s="837">
        <f ca="1">IF(ISERROR(B2*10000/F43),0,ROUND(B2*10000/F43,0))</f>
        <v>8793</v>
      </c>
      <c r="C3" s="2062"/>
      <c r="D3" s="2060"/>
      <c r="E3" s="2061"/>
      <c r="F3" s="2061"/>
      <c r="G3" s="1593"/>
      <c r="H3" s="779" t="s">
        <v>697</v>
      </c>
      <c r="I3" s="1366"/>
      <c r="J3" s="1366"/>
      <c r="K3" s="1594"/>
      <c r="L3" s="1366"/>
      <c r="M3" s="1366"/>
    </row>
    <row r="4" spans="1:33" ht="18" customHeight="1">
      <c r="A4" s="780" t="s">
        <v>1732</v>
      </c>
      <c r="B4" s="781" t="s">
        <v>1733</v>
      </c>
      <c r="C4" s="781" t="s">
        <v>1734</v>
      </c>
      <c r="D4" s="781" t="s">
        <v>634</v>
      </c>
      <c r="E4" s="782" t="s">
        <v>1735</v>
      </c>
      <c r="F4" s="783"/>
      <c r="G4" s="1595"/>
      <c r="H4" s="780" t="s">
        <v>1736</v>
      </c>
      <c r="I4" s="781" t="s">
        <v>1737</v>
      </c>
      <c r="J4" s="781" t="s">
        <v>1738</v>
      </c>
      <c r="K4" s="781" t="s">
        <v>1739</v>
      </c>
      <c r="L4" s="782" t="s">
        <v>1740</v>
      </c>
      <c r="M4" s="783"/>
    </row>
    <row r="5" spans="1:33" ht="18" customHeight="1">
      <c r="A5" s="784">
        <v>1</v>
      </c>
      <c r="B5" s="785" t="s">
        <v>2464</v>
      </c>
      <c r="C5" s="55">
        <f ca="1">C6+C10+C12</f>
        <v>603</v>
      </c>
      <c r="D5" s="2529" t="s">
        <v>2467</v>
      </c>
      <c r="E5" s="2523"/>
      <c r="F5" s="2524"/>
      <c r="G5" s="1595"/>
      <c r="H5" s="784">
        <v>1</v>
      </c>
      <c r="I5" s="785" t="s">
        <v>2464</v>
      </c>
      <c r="J5" s="55">
        <f ca="1">J6+J10+J12</f>
        <v>0</v>
      </c>
      <c r="K5" s="2529" t="s">
        <v>2467</v>
      </c>
      <c r="L5" s="2523"/>
      <c r="M5" s="2524"/>
    </row>
    <row r="6" spans="1:33" ht="18" customHeight="1">
      <c r="A6" s="1834" t="s">
        <v>1829</v>
      </c>
      <c r="B6" s="3442" t="s">
        <v>2469</v>
      </c>
      <c r="C6" s="786">
        <f ca="1">ROUND(F6*F8*F7*(1-F9)/10000,0)</f>
        <v>602</v>
      </c>
      <c r="D6" s="2530" t="s">
        <v>2468</v>
      </c>
      <c r="E6" s="787" t="s">
        <v>1742</v>
      </c>
      <c r="F6" s="788">
        <f ca="1">INDIRECT("'数据-取费表'!u"&amp;$G$1)</f>
        <v>1.5</v>
      </c>
      <c r="G6" s="1595"/>
      <c r="H6" s="2537" t="s">
        <v>2475</v>
      </c>
      <c r="I6" s="3442" t="s">
        <v>2469</v>
      </c>
      <c r="J6" s="786">
        <f ca="1">ROUND(M6*M8*M7*(1-M9)/10000,0)</f>
        <v>0</v>
      </c>
      <c r="K6" s="344" t="s">
        <v>1741</v>
      </c>
      <c r="L6" s="787" t="s">
        <v>1742</v>
      </c>
      <c r="M6" s="788">
        <f ca="1">INDIRECT("'数据-取费表'!z"&amp;$G$1)</f>
        <v>0</v>
      </c>
    </row>
    <row r="7" spans="1:33" ht="18" customHeight="1">
      <c r="A7" s="2533"/>
      <c r="B7" s="3443"/>
      <c r="C7" s="791"/>
      <c r="D7" s="792"/>
      <c r="E7" s="787" t="s">
        <v>1743</v>
      </c>
      <c r="F7" s="788">
        <f ca="1">IF(INDIRECT("'数据-取费表'!ah"&amp;$G$1)="",INDIRECT("'数据-取费表'!k"&amp;$G$1),INDIRECT("'数据-取费表'!ah"&amp;$G$1))</f>
        <v>12925.200000000012</v>
      </c>
      <c r="G7" s="1595"/>
      <c r="H7" s="2522"/>
      <c r="I7" s="3443"/>
      <c r="J7" s="791"/>
      <c r="K7" s="792"/>
      <c r="L7" s="787" t="s">
        <v>1743</v>
      </c>
      <c r="M7" s="788">
        <f ca="1">F7</f>
        <v>12925.200000000012</v>
      </c>
    </row>
    <row r="8" spans="1:33" ht="18" customHeight="1">
      <c r="A8" s="2526"/>
      <c r="B8" s="3444"/>
      <c r="C8" s="791"/>
      <c r="D8" s="792"/>
      <c r="E8" s="787" t="s">
        <v>1744</v>
      </c>
      <c r="F8" s="788">
        <f ca="1">INDIRECT("'数据-取费表'!ai"&amp;$G$1)</f>
        <v>365</v>
      </c>
      <c r="G8" s="1595"/>
      <c r="H8" s="2522"/>
      <c r="I8" s="3444"/>
      <c r="J8" s="791"/>
      <c r="K8" s="792"/>
      <c r="L8" s="787" t="s">
        <v>1744</v>
      </c>
      <c r="M8" s="788">
        <f ca="1">INDIRECT("'数据-取费表'!ai"&amp;$G$1)</f>
        <v>365</v>
      </c>
    </row>
    <row r="9" spans="1:33" ht="18" customHeight="1">
      <c r="A9" s="789"/>
      <c r="B9" s="3445"/>
      <c r="C9" s="791"/>
      <c r="D9" s="792"/>
      <c r="E9" s="787" t="s">
        <v>1745</v>
      </c>
      <c r="F9" s="797">
        <f ca="1">INDIRECT("'数据-取费表'!w"&amp;$G$1)</f>
        <v>0.15</v>
      </c>
      <c r="G9" s="1595"/>
      <c r="H9" s="2538"/>
      <c r="I9" s="3444"/>
      <c r="J9" s="791"/>
      <c r="K9" s="792"/>
      <c r="L9" s="798" t="s">
        <v>1745</v>
      </c>
      <c r="M9" s="799">
        <f ca="1">INDIRECT("'数据-取费表'!ab"&amp;$G$1)</f>
        <v>0</v>
      </c>
    </row>
    <row r="10" spans="1:33" ht="18" customHeight="1">
      <c r="A10" s="1834" t="s">
        <v>2473</v>
      </c>
      <c r="B10" s="2527" t="s">
        <v>2465</v>
      </c>
      <c r="C10" s="802">
        <f ca="1">ROUND(IF(F10="押一",F6*F8*F7/12*F11,IF(F10="押二",F6*F8*F7/12*2*F11,IF(F10="押三",F6*F8*F7/12*3*F11,C11*F11)))/10000,0)</f>
        <v>1</v>
      </c>
      <c r="D10" s="2534" t="s">
        <v>2472</v>
      </c>
      <c r="E10" s="2531" t="s">
        <v>2470</v>
      </c>
      <c r="F10" s="2654" t="s">
        <v>3042</v>
      </c>
      <c r="G10" s="1595"/>
      <c r="H10" s="2594" t="s">
        <v>2476</v>
      </c>
      <c r="I10" s="2599" t="s">
        <v>2465</v>
      </c>
      <c r="J10" s="786">
        <f ca="1">ROUND(IF(M10="押一",M6*M8*M7/12*M11,IF(M10="押二",M6*M8*M7/12*2*M11,IF(M10="押三",M6*M8*M7/12*3*M11,J11*M11)))/10000,0)</f>
        <v>0</v>
      </c>
      <c r="K10" s="2534" t="s">
        <v>2472</v>
      </c>
      <c r="L10" s="2531" t="s">
        <v>2470</v>
      </c>
      <c r="M10" s="2654"/>
    </row>
    <row r="11" spans="1:33" ht="18" customHeight="1">
      <c r="A11" s="793"/>
      <c r="B11" s="2528" t="s">
        <v>2580</v>
      </c>
      <c r="C11" s="2532"/>
      <c r="D11" s="792"/>
      <c r="E11" s="2531" t="s">
        <v>2471</v>
      </c>
      <c r="F11" s="799">
        <f ca="1">'数据-取费表'!B39</f>
        <v>1.4999999999999999E-2</v>
      </c>
      <c r="G11" s="1595"/>
      <c r="H11" s="2595"/>
      <c r="I11" s="2528" t="s">
        <v>2580</v>
      </c>
      <c r="J11" s="2532"/>
      <c r="K11" s="2596"/>
      <c r="L11" s="2531" t="s">
        <v>2471</v>
      </c>
      <c r="M11" s="2525">
        <f ca="1">'数据-取费表'!B39</f>
        <v>1.4999999999999999E-2</v>
      </c>
    </row>
    <row r="12" spans="1:33" ht="18" customHeight="1" thickBot="1">
      <c r="A12" s="2570" t="s">
        <v>2474</v>
      </c>
      <c r="B12" s="2571" t="s">
        <v>2466</v>
      </c>
      <c r="C12" s="2572"/>
      <c r="D12" s="2573"/>
      <c r="E12" s="2574"/>
      <c r="F12" s="2575"/>
      <c r="G12" s="1595"/>
      <c r="H12" s="2584" t="s">
        <v>2477</v>
      </c>
      <c r="I12" s="2597" t="s">
        <v>2466</v>
      </c>
      <c r="J12" s="2598"/>
      <c r="K12" s="2573"/>
      <c r="L12" s="2574"/>
      <c r="M12" s="2587"/>
    </row>
    <row r="13" spans="1:33" ht="18" customHeight="1" thickTop="1">
      <c r="A13" s="1833">
        <v>2</v>
      </c>
      <c r="B13" s="1831" t="s">
        <v>1746</v>
      </c>
      <c r="C13" s="795">
        <f ca="1">ROUND(C29*F13,0)</f>
        <v>4066</v>
      </c>
      <c r="D13" s="1838" t="s">
        <v>2301</v>
      </c>
      <c r="E13" s="1838" t="s">
        <v>1748</v>
      </c>
      <c r="F13" s="2569">
        <f ca="1">INDIRECT("'数据-取费表'!y"&amp;$G$1)</f>
        <v>1</v>
      </c>
      <c r="G13" s="1595"/>
      <c r="H13" s="1833">
        <v>2</v>
      </c>
      <c r="I13" s="1831" t="s">
        <v>1746</v>
      </c>
      <c r="J13" s="1823">
        <f ca="1">ROUND(J14*J15,0)</f>
        <v>0</v>
      </c>
      <c r="K13" s="1825" t="s">
        <v>1747</v>
      </c>
      <c r="L13" s="2585"/>
      <c r="M13" s="2586"/>
    </row>
    <row r="14" spans="1:33" ht="18" customHeight="1">
      <c r="A14" s="1651" t="s">
        <v>1889</v>
      </c>
      <c r="B14" s="787" t="s">
        <v>646</v>
      </c>
      <c r="C14" s="807">
        <f ca="1">INDIRECT("'数据-取费表'!m"&amp;$G$1)+INDIRECT("'数据-取费表'!t"&amp;$G$1)</f>
        <v>2585</v>
      </c>
      <c r="D14" s="1983" t="s">
        <v>1749</v>
      </c>
      <c r="E14" s="1984"/>
      <c r="F14" s="808"/>
      <c r="G14" s="1595"/>
      <c r="H14" s="1652" t="s">
        <v>1835</v>
      </c>
      <c r="I14" s="2239" t="s">
        <v>2836</v>
      </c>
      <c r="J14" s="53">
        <f ca="1">C29</f>
        <v>4066</v>
      </c>
      <c r="K14" s="26"/>
      <c r="L14" s="804"/>
      <c r="M14" s="805"/>
    </row>
    <row r="15" spans="1:33" s="2069" customFormat="1" ht="18" customHeight="1" thickBot="1">
      <c r="A15" s="1651" t="s">
        <v>1890</v>
      </c>
      <c r="B15" s="787" t="s">
        <v>648</v>
      </c>
      <c r="C15" s="53">
        <f ca="1">ROUND(C14*F15,0)</f>
        <v>129</v>
      </c>
      <c r="D15" s="809" t="s">
        <v>1750</v>
      </c>
      <c r="E15" s="809" t="s">
        <v>1751</v>
      </c>
      <c r="F15" s="810">
        <f>'数据-取费表'!B33</f>
        <v>0.05</v>
      </c>
      <c r="G15" s="1596"/>
      <c r="H15" s="2584" t="s">
        <v>1894</v>
      </c>
      <c r="I15" s="2579" t="s">
        <v>1748</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7" t="s">
        <v>651</v>
      </c>
      <c r="C16" s="53">
        <f ca="1">ROUND(INDIRECT("'数据-取费表'!m"&amp;$G$1)*F16,0)</f>
        <v>0</v>
      </c>
      <c r="D16" s="787" t="s">
        <v>1750</v>
      </c>
      <c r="E16" s="787" t="s">
        <v>1751</v>
      </c>
      <c r="F16" s="812">
        <f ca="1">IF(INDIRECT("'数据-取费表'!c"&amp;$G$1)="住宅",'数据-取费表'!B34,0)</f>
        <v>0</v>
      </c>
      <c r="G16" s="1595"/>
      <c r="H16" s="1833" t="s">
        <v>1752</v>
      </c>
      <c r="I16" s="1831" t="s">
        <v>1753</v>
      </c>
      <c r="J16" s="795">
        <f ca="1">ROUND(J17+J22+J23+J24,0)</f>
        <v>97</v>
      </c>
      <c r="K16" s="1825" t="s">
        <v>1754</v>
      </c>
      <c r="L16" s="2519"/>
      <c r="M16" s="2524"/>
    </row>
    <row r="17" spans="1:33" s="2069" customFormat="1" ht="18" customHeight="1">
      <c r="A17" s="1651" t="s">
        <v>1892</v>
      </c>
      <c r="B17" s="787" t="s">
        <v>654</v>
      </c>
      <c r="C17" s="53">
        <f ca="1">ROUND(F17*(F43+INDIRECT("'数据-取费表'!S"&amp;$G$1))/10000,0)</f>
        <v>259</v>
      </c>
      <c r="D17" s="787" t="s">
        <v>1755</v>
      </c>
      <c r="E17" s="787" t="s">
        <v>1756</v>
      </c>
      <c r="F17" s="56">
        <f>'数据-取费表'!B35</f>
        <v>200</v>
      </c>
      <c r="G17" s="1596"/>
      <c r="H17" s="1652" t="s">
        <v>1835</v>
      </c>
      <c r="I17" s="787" t="s">
        <v>657</v>
      </c>
      <c r="J17" s="53">
        <f ca="1">ROUND(IF(项目基本情况!B11="自然人",J5*M17,J18+J19+J20),0)</f>
        <v>36</v>
      </c>
      <c r="K17" s="2518" t="s">
        <v>1757</v>
      </c>
      <c r="L17" s="2517" t="s">
        <v>1758</v>
      </c>
      <c r="M17" s="813">
        <f ca="1">IF(项目基本情况!B11="企业","",IF(INDIRECT("'数据-取费表'!c"&amp;$G$1)="住宅",5%,IF(M6*M7*M8/12/(1+'数据-取费表'!C42)&gt;20000,12%,7%)))</f>
        <v>7.0000000000000007E-2</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7" t="s">
        <v>660</v>
      </c>
      <c r="C18" s="53">
        <f ca="1">ROUND(C14*F18,0)</f>
        <v>39</v>
      </c>
      <c r="D18" s="787" t="s">
        <v>1750</v>
      </c>
      <c r="E18" s="787" t="s">
        <v>1751</v>
      </c>
      <c r="F18" s="812">
        <f>'数据-取费表'!B36</f>
        <v>1.4999999999999999E-2</v>
      </c>
      <c r="G18" s="1596"/>
      <c r="H18" s="1651" t="s">
        <v>1889</v>
      </c>
      <c r="I18" s="787" t="s">
        <v>1759</v>
      </c>
      <c r="J18" s="53">
        <f ca="1">ROUND(J5*M18/1.05,1)</f>
        <v>0</v>
      </c>
      <c r="K18" s="2517" t="s">
        <v>1760</v>
      </c>
      <c r="L18" s="787" t="s">
        <v>1751</v>
      </c>
      <c r="M18" s="812">
        <f>'数据-取费表'!B41</f>
        <v>5.5000000000000007E-2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7" t="s">
        <v>663</v>
      </c>
      <c r="C19" s="53">
        <f ca="1">SUM(C14:C18)</f>
        <v>3012</v>
      </c>
      <c r="D19" s="261" t="s">
        <v>1761</v>
      </c>
      <c r="E19" s="1986"/>
      <c r="F19" s="56"/>
      <c r="G19" s="1595"/>
      <c r="H19" s="1651" t="s">
        <v>1890</v>
      </c>
      <c r="I19" s="787" t="s">
        <v>1762</v>
      </c>
      <c r="J19" s="53">
        <f ca="1">IF(K19="按租金收入计税",ROUND(J5*M19,1),ROUND(C29*F33*0.7,1))</f>
        <v>34.200000000000003</v>
      </c>
      <c r="K19" s="814" t="s">
        <v>666</v>
      </c>
      <c r="L19" s="787" t="s">
        <v>1751</v>
      </c>
      <c r="M19" s="812">
        <f>IF(K19="按租金收入计税",'数据-取费表'!B51,'数据-取费表'!B50)</f>
        <v>1.2E-2</v>
      </c>
    </row>
    <row r="20" spans="1:33" s="2069" customFormat="1" ht="18" customHeight="1">
      <c r="A20" s="1652" t="s">
        <v>1894</v>
      </c>
      <c r="B20" s="787" t="s">
        <v>667</v>
      </c>
      <c r="C20" s="53">
        <f ca="1">ROUND(C19*F20,0)</f>
        <v>60</v>
      </c>
      <c r="D20" s="815" t="s">
        <v>1763</v>
      </c>
      <c r="E20" s="787" t="s">
        <v>1751</v>
      </c>
      <c r="F20" s="812">
        <f>'数据-取费表'!B37</f>
        <v>0.02</v>
      </c>
      <c r="G20" s="1596"/>
      <c r="H20" s="1654" t="s">
        <v>1885</v>
      </c>
      <c r="I20" s="344" t="s">
        <v>1764</v>
      </c>
      <c r="J20" s="54">
        <f ca="1">ROUND(M20*M21/10000,0)</f>
        <v>2</v>
      </c>
      <c r="K20" s="817" t="s">
        <v>1765</v>
      </c>
      <c r="L20" s="787" t="s">
        <v>1766</v>
      </c>
      <c r="M20" s="643">
        <f>'数据-取费表'!B52</f>
        <v>3</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7" t="s">
        <v>1767</v>
      </c>
      <c r="C21" s="53" t="s">
        <v>1768</v>
      </c>
      <c r="D21" s="815" t="s">
        <v>2302</v>
      </c>
      <c r="E21" s="787" t="s">
        <v>1769</v>
      </c>
      <c r="F21" s="812">
        <f>'数据-取费表'!B38</f>
        <v>0.02</v>
      </c>
      <c r="G21" s="1596"/>
      <c r="H21" s="2539"/>
      <c r="I21" s="796"/>
      <c r="J21" s="69"/>
      <c r="K21" s="819"/>
      <c r="L21" s="787" t="s">
        <v>1770</v>
      </c>
      <c r="M21" s="788">
        <f ca="1">INDIRECT("'数据-取费表'!r"&amp;$G$1)</f>
        <v>5875.09</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7" t="s">
        <v>1771</v>
      </c>
      <c r="C22" s="53"/>
      <c r="D22" s="2605" t="str">
        <f>IF(F23&lt;=1,"单利计息。","复利计息。")&amp;"建造成本、管理费用、销售费用产生的利息。"</f>
        <v>复利计息。建造成本、管理费用、销售费用产生的利息。</v>
      </c>
      <c r="E22" s="1986"/>
      <c r="F22" s="56"/>
      <c r="G22" s="1595"/>
      <c r="H22" s="1652" t="s">
        <v>1894</v>
      </c>
      <c r="I22" s="787" t="s">
        <v>1772</v>
      </c>
      <c r="J22" s="53">
        <f ca="1">ROUND(J14*M22,0)</f>
        <v>61</v>
      </c>
      <c r="K22" s="2517" t="s">
        <v>1773</v>
      </c>
      <c r="L22" s="787" t="s">
        <v>1751</v>
      </c>
      <c r="M22" s="820">
        <f ca="1">INDIRECT("'数据-取费表'!Ak"&amp;$G$1)</f>
        <v>1.4999999999999999E-2</v>
      </c>
    </row>
    <row r="23" spans="1:33" s="2069" customFormat="1" ht="18" customHeight="1">
      <c r="A23" s="1651" t="s">
        <v>1836</v>
      </c>
      <c r="B23" s="787" t="s">
        <v>2542</v>
      </c>
      <c r="C23" s="53">
        <f ca="1">ROUND(IF('数据-取费表'!B22&lt;=1,(C19+C20)*F24*F23/2,(C19+C20)*(POWER((1+F24),F23/2)-1)),0)</f>
        <v>221</v>
      </c>
      <c r="D23" s="2604" t="str">
        <f>IF(F23&lt;=1,"(建造成本+管理费用)×利率×(建设周期÷2)","(建造成本+管理费用)×((1+利率)^(建设周期÷2)-1)")</f>
        <v>(建造成本+管理费用)×((1+利率)^(建设周期÷2)-1)</v>
      </c>
      <c r="E23" s="787" t="s">
        <v>1774</v>
      </c>
      <c r="F23" s="643">
        <f>'数据-取费表'!B20</f>
        <v>3</v>
      </c>
      <c r="G23" s="1596"/>
      <c r="H23" s="1652" t="s">
        <v>1895</v>
      </c>
      <c r="I23" s="787" t="s">
        <v>680</v>
      </c>
      <c r="J23" s="53">
        <f ca="1">ROUND(J13*M23,0)</f>
        <v>0</v>
      </c>
      <c r="K23" s="2517" t="s">
        <v>1775</v>
      </c>
      <c r="L23" s="787" t="s">
        <v>1751</v>
      </c>
      <c r="M23" s="821">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7" t="s">
        <v>1776</v>
      </c>
      <c r="C24" s="53">
        <f ca="1">ROUND(IF('数据-取费表'!B22&lt;=1,F21*F24*F23/2,F21*(POWER((1+F24),F23/2)-1)),4)</f>
        <v>1.4E-3</v>
      </c>
      <c r="D24" s="2604" t="str">
        <f>IF(F23&lt;=1,"销售费用×利率×(建设周期÷2)","销售费用×((1+利率)^(建设周期÷2)-1)")</f>
        <v>销售费用×((1+利率)^(建设周期÷2)-1)</v>
      </c>
      <c r="E24" s="787" t="s">
        <v>1777</v>
      </c>
      <c r="F24" s="822">
        <f ca="1">'数据-取费表'!B40</f>
        <v>4.7500000000000001E-2</v>
      </c>
      <c r="G24" s="1596"/>
      <c r="H24" s="2584" t="s">
        <v>1896</v>
      </c>
      <c r="I24" s="2579" t="s">
        <v>667</v>
      </c>
      <c r="J24" s="2577">
        <f ca="1">ROUND(J5*M24,0)</f>
        <v>0</v>
      </c>
      <c r="K24" s="2578" t="s">
        <v>1778</v>
      </c>
      <c r="L24" s="2579" t="s">
        <v>1751</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7" t="s">
        <v>685</v>
      </c>
      <c r="C25" s="53"/>
      <c r="D25" s="261" t="s">
        <v>1779</v>
      </c>
      <c r="E25" s="1986"/>
      <c r="F25" s="56"/>
      <c r="G25" s="1595"/>
      <c r="H25" s="1833" t="s">
        <v>1780</v>
      </c>
      <c r="I25" s="3047" t="s">
        <v>2832</v>
      </c>
      <c r="J25" s="795">
        <f ca="1">J5-J16</f>
        <v>-97</v>
      </c>
      <c r="K25" s="2581" t="s">
        <v>1781</v>
      </c>
      <c r="L25" s="2582"/>
      <c r="M25" s="2583"/>
    </row>
    <row r="26" spans="1:33" ht="18" customHeight="1">
      <c r="A26" s="1651" t="s">
        <v>1836</v>
      </c>
      <c r="B26" s="787" t="s">
        <v>2443</v>
      </c>
      <c r="C26" s="53">
        <f ca="1">ROUND((C19+C20)*F26,0)</f>
        <v>461</v>
      </c>
      <c r="D26" s="815" t="s">
        <v>1782</v>
      </c>
      <c r="E26" s="798" t="s">
        <v>1783</v>
      </c>
      <c r="F26" s="797">
        <f ca="1">INDIRECT("'数据-取费表'!q"&amp;$G$1)</f>
        <v>0.15</v>
      </c>
      <c r="G26" s="1595"/>
      <c r="H26" s="2535" t="s">
        <v>1784</v>
      </c>
      <c r="I26" s="2240" t="s">
        <v>2837</v>
      </c>
      <c r="J26" s="786">
        <f ca="1">IF(J5&lt;&gt;0,ROUND(J25*(1-((1+M28)/(1+M26))^M27)/(M26-M28),0),0)</f>
        <v>0</v>
      </c>
      <c r="K26" s="817" t="s">
        <v>1785</v>
      </c>
      <c r="L26" s="787" t="s">
        <v>2424</v>
      </c>
      <c r="M26" s="797">
        <f ca="1">INDIRECT("'数据-取费表'!I"&amp;$G$1)</f>
        <v>5.5E-2</v>
      </c>
    </row>
    <row r="27" spans="1:33" ht="18" customHeight="1">
      <c r="A27" s="1651" t="s">
        <v>1837</v>
      </c>
      <c r="B27" s="787" t="s">
        <v>687</v>
      </c>
      <c r="C27" s="53">
        <f ca="1">ROUND(F21*F26,4)</f>
        <v>3.0000000000000001E-3</v>
      </c>
      <c r="D27" s="815" t="s">
        <v>1786</v>
      </c>
      <c r="E27" s="809"/>
      <c r="F27" s="810"/>
      <c r="G27" s="1595"/>
      <c r="H27" s="2536"/>
      <c r="I27" s="790"/>
      <c r="J27" s="791"/>
      <c r="K27" s="824" t="s">
        <v>1787</v>
      </c>
      <c r="L27" s="787" t="s">
        <v>1788</v>
      </c>
      <c r="M27" s="825">
        <f ca="1">INDIRECT("'数据-取费表'!ag"&amp;$G$1)</f>
        <v>0</v>
      </c>
    </row>
    <row r="28" spans="1:33" s="2069" customFormat="1" ht="18" customHeight="1">
      <c r="A28" s="1653" t="s">
        <v>1846</v>
      </c>
      <c r="B28" s="787" t="s">
        <v>688</v>
      </c>
      <c r="C28" s="53">
        <f>ROUND(F28/(1+'数据-取费表'!C42),4)</f>
        <v>5.2400000000000002E-2</v>
      </c>
      <c r="D28" s="815" t="s">
        <v>2303</v>
      </c>
      <c r="E28" s="787" t="s">
        <v>1789</v>
      </c>
      <c r="F28" s="812">
        <f>'数据-取费表'!B41</f>
        <v>5.5000000000000007E-2</v>
      </c>
      <c r="G28" s="1596"/>
      <c r="H28" s="1833"/>
      <c r="I28" s="794"/>
      <c r="J28" s="795"/>
      <c r="K28" s="819"/>
      <c r="L28" s="787" t="s">
        <v>1790</v>
      </c>
      <c r="M28" s="797">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1897</v>
      </c>
      <c r="B29" s="2574" t="s">
        <v>2304</v>
      </c>
      <c r="C29" s="2577">
        <f ca="1">ROUND((C19+C20+C23+C26)/(1-F21-C24-C27-C28),0)</f>
        <v>4066</v>
      </c>
      <c r="D29" s="2578"/>
      <c r="E29" s="2579"/>
      <c r="F29" s="2580"/>
      <c r="G29" s="1596"/>
      <c r="H29" s="826" t="s">
        <v>1791</v>
      </c>
      <c r="I29" s="827" t="s">
        <v>1792</v>
      </c>
      <c r="J29" s="828">
        <f ca="1">ROUND(J26/(1+F40)^F41,0)</f>
        <v>0</v>
      </c>
      <c r="K29" s="829" t="s">
        <v>1793</v>
      </c>
      <c r="L29" s="830"/>
      <c r="M29" s="831">
        <f ca="1">INDIRECT("'数据-取费表'!k"&amp;$G$1)</f>
        <v>12925.200000000012</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5">
        <f ca="1">ROUND(C31+C36+C37+C38,0)</f>
        <v>141</v>
      </c>
      <c r="D30" s="1825" t="s">
        <v>1795</v>
      </c>
      <c r="E30" s="2519"/>
      <c r="F30" s="2524"/>
      <c r="G30" s="2067"/>
      <c r="H30" s="2070"/>
      <c r="I30" s="2071"/>
      <c r="J30" s="2072"/>
      <c r="K30" s="2073"/>
      <c r="L30" s="2074"/>
      <c r="M30" s="2075"/>
    </row>
    <row r="31" spans="1:33" ht="18" customHeight="1">
      <c r="A31" s="1652" t="s">
        <v>1835</v>
      </c>
      <c r="B31" s="787" t="s">
        <v>657</v>
      </c>
      <c r="C31" s="53">
        <f ca="1">ROUND(IF(项目基本情况!B11="自然人",C5*F31,C32+C33+C34),1)</f>
        <v>67.599999999999994</v>
      </c>
      <c r="D31" s="1983" t="s">
        <v>1796</v>
      </c>
      <c r="E31" s="1981" t="s">
        <v>1797</v>
      </c>
      <c r="F31" s="813">
        <f ca="1">IF(项目基本情况!B11="企业","",IF(INDIRECT("'数据-取费表'!c"&amp;$G$1)="住宅",5%,IF(F6*F7*F8/12/(1+'数据-取费表'!C42)&gt;20000,12%,7%)))</f>
        <v>0.12</v>
      </c>
      <c r="G31" s="2067"/>
      <c r="H31" s="2070"/>
      <c r="I31" s="2071"/>
      <c r="J31" s="2072"/>
      <c r="K31" s="2073"/>
      <c r="L31" s="2074"/>
      <c r="M31" s="2075"/>
    </row>
    <row r="32" spans="1:33" ht="18" customHeight="1">
      <c r="A32" s="1651" t="s">
        <v>1836</v>
      </c>
      <c r="B32" s="787" t="s">
        <v>1798</v>
      </c>
      <c r="C32" s="53">
        <f ca="1">ROUND(C5*F32/1.05,1)</f>
        <v>31.6</v>
      </c>
      <c r="D32" s="1981" t="s">
        <v>1799</v>
      </c>
      <c r="E32" s="787" t="s">
        <v>1800</v>
      </c>
      <c r="F32" s="812">
        <f>'数据-取费表'!B41</f>
        <v>5.5000000000000007E-2</v>
      </c>
      <c r="G32" s="2067"/>
      <c r="H32" s="2076"/>
      <c r="I32" s="2077"/>
      <c r="J32" s="2078"/>
      <c r="K32" s="2079"/>
      <c r="L32" s="2080"/>
      <c r="M32" s="2081"/>
    </row>
    <row r="33" spans="1:18" ht="18" customHeight="1">
      <c r="A33" s="1651" t="s">
        <v>1837</v>
      </c>
      <c r="B33" s="787" t="s">
        <v>1801</v>
      </c>
      <c r="C33" s="53">
        <f ca="1">IF(D33="按租金收入计税",ROUND(C5*F33,1),IF(D33="按房产原值计税",ROUND(C29*F33*0.7,1),INDIRECT("'数据-取费表'!Aj"&amp;$G$1)))</f>
        <v>34.200000000000003</v>
      </c>
      <c r="D33" s="814" t="s">
        <v>1684</v>
      </c>
      <c r="E33" s="787" t="s">
        <v>1800</v>
      </c>
      <c r="F33" s="812">
        <f>IF(D33="按租金收入计税",'数据-取费表'!B51,'数据-取费表'!B50)</f>
        <v>1.2E-2</v>
      </c>
      <c r="G33" s="2067"/>
      <c r="H33" s="2082"/>
      <c r="I33" s="2082"/>
      <c r="J33" s="2082"/>
      <c r="K33" s="2083"/>
      <c r="L33" s="2082"/>
      <c r="M33" s="2082"/>
    </row>
    <row r="34" spans="1:18" ht="18" customHeight="1">
      <c r="A34" s="1654" t="s">
        <v>1838</v>
      </c>
      <c r="B34" s="344" t="s">
        <v>1802</v>
      </c>
      <c r="C34" s="54">
        <f ca="1">ROUND(F34*F35/10000,1)</f>
        <v>1.8</v>
      </c>
      <c r="D34" s="817" t="s">
        <v>1803</v>
      </c>
      <c r="E34" s="787" t="s">
        <v>1804</v>
      </c>
      <c r="F34" s="643">
        <f>'数据-取费表'!B52</f>
        <v>3</v>
      </c>
      <c r="G34" s="2067"/>
      <c r="H34" s="2070"/>
      <c r="I34" s="838" t="s">
        <v>1818</v>
      </c>
      <c r="J34" s="839"/>
      <c r="K34" s="2085"/>
      <c r="L34" s="2084"/>
      <c r="M34" s="2084"/>
    </row>
    <row r="35" spans="1:18" ht="18" customHeight="1">
      <c r="A35" s="818"/>
      <c r="B35" s="796"/>
      <c r="C35" s="69"/>
      <c r="D35" s="819"/>
      <c r="E35" s="787" t="s">
        <v>1805</v>
      </c>
      <c r="F35" s="788">
        <f ca="1">INDIRECT("'数据-取费表'!r"&amp;$G$1)</f>
        <v>5875.09</v>
      </c>
      <c r="G35" s="2067"/>
      <c r="H35" s="2070"/>
      <c r="I35" s="840" t="s">
        <v>1819</v>
      </c>
      <c r="J35" s="841">
        <f ca="1">ROUND(C13*J36,0)</f>
        <v>0</v>
      </c>
      <c r="K35" s="2083"/>
      <c r="L35" s="2082"/>
      <c r="M35" s="2082"/>
    </row>
    <row r="36" spans="1:18" ht="18" customHeight="1">
      <c r="A36" s="1652" t="s">
        <v>1894</v>
      </c>
      <c r="B36" s="787" t="s">
        <v>1806</v>
      </c>
      <c r="C36" s="53">
        <f ca="1">ROUND(C29*F36,1)</f>
        <v>61</v>
      </c>
      <c r="D36" s="1981" t="s">
        <v>1807</v>
      </c>
      <c r="E36" s="787" t="s">
        <v>1800</v>
      </c>
      <c r="F36" s="820">
        <f ca="1">INDIRECT("'数据-取费表'!Ak"&amp;$G$1)</f>
        <v>1.4999999999999999E-2</v>
      </c>
      <c r="G36" s="2067"/>
      <c r="H36" s="2082"/>
      <c r="I36" s="842" t="s">
        <v>1820</v>
      </c>
      <c r="J36" s="843">
        <f ca="1">INDIRECT("'数据-取费表'!j"&amp;$G$1)</f>
        <v>0</v>
      </c>
      <c r="K36" s="2087"/>
      <c r="L36" s="2082"/>
      <c r="M36" s="2082"/>
    </row>
    <row r="37" spans="1:18" ht="18" customHeight="1">
      <c r="A37" s="1652" t="s">
        <v>1895</v>
      </c>
      <c r="B37" s="787" t="s">
        <v>680</v>
      </c>
      <c r="C37" s="53">
        <f ca="1">ROUND(C13*F37,1)</f>
        <v>6.1</v>
      </c>
      <c r="D37" s="1981" t="s">
        <v>1808</v>
      </c>
      <c r="E37" s="787" t="s">
        <v>1800</v>
      </c>
      <c r="F37" s="821">
        <f ca="1">INDIRECT("'数据-取费表'!Al"&amp;$G$1)</f>
        <v>1.5E-3</v>
      </c>
      <c r="G37" s="2067"/>
      <c r="H37" s="2082"/>
      <c r="I37" s="844" t="s">
        <v>1821</v>
      </c>
      <c r="J37" s="845"/>
      <c r="K37" s="2087"/>
      <c r="L37" s="2082"/>
      <c r="M37" s="2082"/>
    </row>
    <row r="38" spans="1:18" ht="18" customHeight="1" thickBot="1">
      <c r="A38" s="2584" t="s">
        <v>1896</v>
      </c>
      <c r="B38" s="2579" t="s">
        <v>667</v>
      </c>
      <c r="C38" s="2577">
        <f ca="1">ROUND(C5*F38,1)</f>
        <v>6</v>
      </c>
      <c r="D38" s="2578" t="s">
        <v>1809</v>
      </c>
      <c r="E38" s="2579" t="s">
        <v>1800</v>
      </c>
      <c r="F38" s="2575">
        <f ca="1">INDIRECT("'数据-取费表'!Am"&amp;$G$1)</f>
        <v>0.01</v>
      </c>
      <c r="G38" s="2067"/>
      <c r="H38" s="2082"/>
      <c r="I38" s="846" t="s">
        <v>1822</v>
      </c>
      <c r="J38" s="847"/>
      <c r="K38" s="2088"/>
      <c r="L38" s="2082"/>
      <c r="M38" s="2082"/>
    </row>
    <row r="39" spans="1:18" ht="24.6" customHeight="1" thickTop="1">
      <c r="A39" s="1833" t="s">
        <v>1899</v>
      </c>
      <c r="B39" s="3047" t="s">
        <v>2832</v>
      </c>
      <c r="C39" s="795">
        <f ca="1">C5-C30</f>
        <v>462</v>
      </c>
      <c r="D39" s="2581" t="s">
        <v>1810</v>
      </c>
      <c r="E39" s="2582"/>
      <c r="F39" s="2583"/>
      <c r="G39" s="2067"/>
      <c r="H39" s="2082"/>
      <c r="I39" s="840" t="s">
        <v>1823</v>
      </c>
      <c r="J39" s="848">
        <f ca="1">ROUND(J35/C39,3)</f>
        <v>0</v>
      </c>
      <c r="K39" s="2088"/>
      <c r="L39" s="2082"/>
      <c r="M39" s="2082"/>
    </row>
    <row r="40" spans="1:18" ht="18" customHeight="1">
      <c r="A40" s="784" t="s">
        <v>1900</v>
      </c>
      <c r="B40" s="2240" t="s">
        <v>2305</v>
      </c>
      <c r="C40" s="786">
        <f ca="1">ROUND(C39*(1-((1+F42)/(1+F40))^F41)/(F40-F42),0)</f>
        <v>9739</v>
      </c>
      <c r="D40" s="817" t="s">
        <v>1811</v>
      </c>
      <c r="E40" s="787" t="s">
        <v>2424</v>
      </c>
      <c r="F40" s="797">
        <f ca="1">INDIRECT("'数据-取费表'!I"&amp;$G$1)</f>
        <v>5.5E-2</v>
      </c>
      <c r="G40" s="2067"/>
      <c r="H40" s="2067"/>
      <c r="I40" s="840" t="s">
        <v>1824</v>
      </c>
      <c r="J40" s="848">
        <f ca="1">1-J39</f>
        <v>1</v>
      </c>
      <c r="K40" s="2088"/>
      <c r="L40" s="2067"/>
      <c r="M40" s="2067"/>
    </row>
    <row r="41" spans="1:18" ht="18" customHeight="1">
      <c r="A41" s="789"/>
      <c r="B41" s="790"/>
      <c r="C41" s="791"/>
      <c r="D41" s="824" t="s">
        <v>1812</v>
      </c>
      <c r="E41" s="787" t="s">
        <v>1813</v>
      </c>
      <c r="F41" s="825">
        <f ca="1">IF(INDIRECT("'数据-取费表'!af"&amp;$G$1)=0,INDIRECT("'数据-取费表'!ae"&amp;$G$1),INDIRECT("'数据-取费表'!af"&amp;$G$1))</f>
        <v>39.68</v>
      </c>
      <c r="G41" s="2067"/>
      <c r="H41" s="1992"/>
      <c r="I41" s="846" t="s">
        <v>1825</v>
      </c>
      <c r="J41" s="849"/>
      <c r="K41" s="2087"/>
      <c r="L41" s="1992"/>
      <c r="M41" s="1992"/>
    </row>
    <row r="42" spans="1:18" ht="18" customHeight="1">
      <c r="A42" s="793"/>
      <c r="B42" s="794"/>
      <c r="C42" s="795"/>
      <c r="D42" s="819"/>
      <c r="E42" s="787" t="s">
        <v>1814</v>
      </c>
      <c r="F42" s="797">
        <f ca="1">INDIRECT("'数据-取费表'!v"&amp;$G$1)</f>
        <v>0.02</v>
      </c>
      <c r="G42" s="2067"/>
      <c r="H42" s="1992"/>
      <c r="I42" s="850" t="s">
        <v>1826</v>
      </c>
      <c r="J42" s="848">
        <f ca="1">ROUND(C13/C40,3)</f>
        <v>0.41699999999999998</v>
      </c>
      <c r="K42" s="2087"/>
      <c r="L42" s="1992"/>
      <c r="M42" s="1992"/>
    </row>
    <row r="43" spans="1:18" ht="18" customHeight="1" thickBot="1">
      <c r="A43" s="826" t="s">
        <v>1791</v>
      </c>
      <c r="B43" s="827" t="s">
        <v>1815</v>
      </c>
      <c r="C43" s="828">
        <f ca="1">ROUND(C40*10000/F43,0)</f>
        <v>7535</v>
      </c>
      <c r="D43" s="829" t="s">
        <v>1816</v>
      </c>
      <c r="E43" s="830" t="s">
        <v>1817</v>
      </c>
      <c r="F43" s="831">
        <f ca="1">INDIRECT("'数据-取费表'!k"&amp;$G$1)</f>
        <v>12925.200000000012</v>
      </c>
      <c r="G43" s="2067"/>
      <c r="H43" s="1992"/>
      <c r="I43" s="850" t="s">
        <v>1827</v>
      </c>
      <c r="J43" s="851">
        <f ca="1">1-J42</f>
        <v>0.58299999999999996</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2299</v>
      </c>
      <c r="B46" s="2090"/>
      <c r="C46" s="2607">
        <f ca="1">C67-C40</f>
        <v>-11388</v>
      </c>
      <c r="D46" s="2090"/>
      <c r="E46" s="2090"/>
      <c r="F46" s="2090"/>
      <c r="I46" s="2386" t="s">
        <v>2347</v>
      </c>
      <c r="J46" s="2387"/>
      <c r="K46" s="2388"/>
      <c r="L46" s="2389">
        <f ca="1">IF(M47="住宅",0,IF(L48&gt;J51,L60,J60))</f>
        <v>1626</v>
      </c>
      <c r="O46" s="2427" t="s">
        <v>2415</v>
      </c>
      <c r="P46" s="1595"/>
      <c r="Q46" s="1607"/>
      <c r="R46" s="1595"/>
    </row>
    <row r="47" spans="1:18" s="2064" customFormat="1" ht="18" customHeight="1" thickBot="1">
      <c r="A47" s="2380">
        <v>1</v>
      </c>
      <c r="B47" s="2381" t="s">
        <v>636</v>
      </c>
      <c r="C47" s="2607">
        <f ca="1">C48+C52+C54</f>
        <v>0</v>
      </c>
      <c r="D47" s="2090"/>
      <c r="E47" s="2090"/>
      <c r="F47" s="2090"/>
      <c r="I47" s="2390" t="s">
        <v>2348</v>
      </c>
      <c r="J47" s="2395" t="s">
        <v>3043</v>
      </c>
      <c r="K47" s="2396" t="s">
        <v>2354</v>
      </c>
      <c r="L47" s="2397">
        <f ca="1">INDIRECT("'数据-取费表'!d"&amp;$G$1)</f>
        <v>40</v>
      </c>
      <c r="M47" s="1607" t="str">
        <f>IF(ISNUMBER(FIND("住宅",C1)),"住宅","非住宅")</f>
        <v>非住宅</v>
      </c>
      <c r="O47" s="2428" t="s">
        <v>2380</v>
      </c>
      <c r="P47" s="2429" t="s">
        <v>2381</v>
      </c>
      <c r="Q47" s="2430" t="s">
        <v>2382</v>
      </c>
      <c r="R47" s="2429" t="s">
        <v>2383</v>
      </c>
    </row>
    <row r="48" spans="1:18" s="2064" customFormat="1" ht="18" customHeight="1" thickBot="1">
      <c r="A48" s="2676" t="s">
        <v>2544</v>
      </c>
      <c r="B48" s="2677" t="s">
        <v>2545</v>
      </c>
      <c r="C48" s="2382">
        <f ca="1">ROUND(F48*F50*F49*(1-F51)/10000,0)</f>
        <v>0</v>
      </c>
      <c r="D48" s="2383" t="s">
        <v>637</v>
      </c>
      <c r="E48" s="2384" t="s">
        <v>2300</v>
      </c>
      <c r="F48" s="2385"/>
      <c r="G48" s="2095"/>
      <c r="I48" s="2391" t="s">
        <v>2349</v>
      </c>
      <c r="J48" s="2398" t="s">
        <v>2355</v>
      </c>
      <c r="K48" s="2399" t="s">
        <v>2356</v>
      </c>
      <c r="L48" s="2400">
        <f ca="1">INDIRECT("'数据-取费表'!f"&amp;$G$1)</f>
        <v>39.68</v>
      </c>
      <c r="O48" s="2431" t="s">
        <v>2384</v>
      </c>
      <c r="P48" s="2432" t="s">
        <v>2410</v>
      </c>
      <c r="Q48" s="2433">
        <f ca="1">C40+J29</f>
        <v>9739</v>
      </c>
      <c r="R48" s="2432" t="s">
        <v>2385</v>
      </c>
    </row>
    <row r="49" spans="1:18" s="2064" customFormat="1" ht="18" customHeight="1" thickBot="1">
      <c r="A49" s="789"/>
      <c r="B49" s="790"/>
      <c r="C49" s="791"/>
      <c r="D49" s="792"/>
      <c r="E49" s="787" t="s">
        <v>1743</v>
      </c>
      <c r="F49" s="788">
        <f ca="1">F7</f>
        <v>12925.200000000012</v>
      </c>
      <c r="G49" s="2095"/>
      <c r="H49" s="2098"/>
      <c r="I49" s="2391" t="s">
        <v>2350</v>
      </c>
      <c r="J49" s="2401">
        <v>2020</v>
      </c>
      <c r="K49" s="2402" t="s">
        <v>2357</v>
      </c>
      <c r="L49" s="2403"/>
      <c r="O49" s="2431" t="s">
        <v>2386</v>
      </c>
      <c r="P49" s="2432" t="s">
        <v>2411</v>
      </c>
      <c r="Q49" s="2433">
        <f ca="1">J60</f>
        <v>1626</v>
      </c>
      <c r="R49" s="2432" t="s">
        <v>2387</v>
      </c>
    </row>
    <row r="50" spans="1:18" s="2064" customFormat="1" ht="18" customHeight="1" thickBot="1">
      <c r="A50" s="789"/>
      <c r="B50" s="790"/>
      <c r="C50" s="791"/>
      <c r="D50" s="792"/>
      <c r="E50" s="787" t="s">
        <v>1744</v>
      </c>
      <c r="F50" s="788">
        <f ca="1">F8</f>
        <v>365</v>
      </c>
      <c r="G50" s="2103"/>
      <c r="H50" s="2098"/>
      <c r="I50" s="2391" t="s">
        <v>2351</v>
      </c>
      <c r="J50" s="2404">
        <f>SUMPRODUCT((I63:I65=J47)*(J62:L62=J48)*(J63:L65))</f>
        <v>60</v>
      </c>
      <c r="K50" s="2402" t="s">
        <v>2358</v>
      </c>
      <c r="L50" s="2403"/>
      <c r="O50" s="2434" t="s">
        <v>2388</v>
      </c>
      <c r="P50" s="2432" t="s">
        <v>2412</v>
      </c>
      <c r="Q50" s="2433">
        <f ca="1">C29</f>
        <v>4066</v>
      </c>
      <c r="R50" s="2432" t="s">
        <v>2385</v>
      </c>
    </row>
    <row r="51" spans="1:18" s="2064" customFormat="1" ht="18" customHeight="1" thickBot="1">
      <c r="A51" s="789"/>
      <c r="B51" s="790"/>
      <c r="C51" s="791"/>
      <c r="D51" s="792"/>
      <c r="E51" s="787" t="s">
        <v>641</v>
      </c>
      <c r="F51" s="2379"/>
      <c r="H51" s="2098"/>
      <c r="I51" s="2392" t="s">
        <v>2352</v>
      </c>
      <c r="J51" s="2405">
        <f>IF(J49="",J50,J49+J50-YEAR('数据-取费表'!B2))</f>
        <v>63</v>
      </c>
      <c r="K51" s="2391" t="s">
        <v>2359</v>
      </c>
      <c r="L51" s="2406">
        <f ca="1">ROUND(-PV(INDIRECT("'数据-取费表'!h"&amp;$G$1),L48,(C39-C13*J35),0),0)</f>
        <v>8476</v>
      </c>
      <c r="O51" s="2434" t="s">
        <v>2389</v>
      </c>
      <c r="P51" s="2432" t="s">
        <v>2390</v>
      </c>
      <c r="Q51" s="2435">
        <f ca="1">J58</f>
        <v>0.4</v>
      </c>
      <c r="R51" s="2436"/>
    </row>
    <row r="52" spans="1:18" s="2064" customFormat="1" ht="18" customHeight="1" thickBot="1">
      <c r="A52" s="784" t="s">
        <v>2543</v>
      </c>
      <c r="B52" s="2527" t="s">
        <v>2465</v>
      </c>
      <c r="C52" s="802">
        <f ca="1">ROUND(IF(F52="押一",F48*F50*F49/12*F11,IF(F52="押二",F48*F50*F49/12*2*F11,IF(F52="押三",F48*F50*F49/12*3*F11,C53*F11)))/10000,0)</f>
        <v>0</v>
      </c>
      <c r="D52" s="2534" t="s">
        <v>2472</v>
      </c>
      <c r="E52" s="2531" t="s">
        <v>2470</v>
      </c>
      <c r="F52" s="2654"/>
      <c r="I52" s="2393" t="s">
        <v>2426</v>
      </c>
      <c r="J52" s="2407"/>
      <c r="K52" s="2393" t="s">
        <v>2425</v>
      </c>
      <c r="L52" s="2407"/>
      <c r="O52" s="2434" t="s">
        <v>2391</v>
      </c>
      <c r="P52" s="2432" t="s">
        <v>2392</v>
      </c>
      <c r="Q52" s="2435">
        <f>J52</f>
        <v>0</v>
      </c>
      <c r="R52" s="2436"/>
    </row>
    <row r="53" spans="1:18" s="2064" customFormat="1" ht="39.75" customHeight="1" thickBot="1">
      <c r="A53" s="789"/>
      <c r="B53" s="2528" t="s">
        <v>2580</v>
      </c>
      <c r="C53" s="2532"/>
      <c r="D53" s="2534"/>
      <c r="E53" s="2531"/>
      <c r="F53" s="803"/>
      <c r="I53" s="2394" t="s">
        <v>2353</v>
      </c>
      <c r="J53" s="2408">
        <f ca="1">IF(M47="住宅",J51,MIN(J51,L48))</f>
        <v>39.68</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4" t="s">
        <v>2393</v>
      </c>
      <c r="P53" s="2432" t="s">
        <v>2394</v>
      </c>
      <c r="Q53" s="2433">
        <f ca="1">J53</f>
        <v>39.68</v>
      </c>
      <c r="R53" s="2432" t="s">
        <v>2395</v>
      </c>
    </row>
    <row r="54" spans="1:18" s="2064" customFormat="1" ht="18" customHeight="1" thickBot="1">
      <c r="A54" s="2570" t="s">
        <v>2474</v>
      </c>
      <c r="B54" s="2571" t="s">
        <v>2466</v>
      </c>
      <c r="C54" s="2572"/>
      <c r="D54" s="2534"/>
      <c r="E54" s="2531"/>
      <c r="F54" s="803"/>
      <c r="K54" s="2091"/>
      <c r="O54" s="2431" t="s">
        <v>2396</v>
      </c>
      <c r="P54" s="2432" t="s">
        <v>2413</v>
      </c>
      <c r="Q54" s="2433">
        <f ca="1">Q48+Q49</f>
        <v>11365</v>
      </c>
      <c r="R54" s="2436" t="s">
        <v>2397</v>
      </c>
    </row>
    <row r="55" spans="1:18" s="2064" customFormat="1" ht="18" customHeight="1" thickTop="1" thickBot="1">
      <c r="A55" s="800">
        <v>2</v>
      </c>
      <c r="B55" s="801" t="s">
        <v>645</v>
      </c>
      <c r="C55" s="802">
        <f ca="1">C13</f>
        <v>4066</v>
      </c>
      <c r="D55" s="798"/>
      <c r="E55" s="798"/>
      <c r="F55" s="803"/>
      <c r="I55" s="3136" t="s">
        <v>2360</v>
      </c>
      <c r="J55" s="3135">
        <f ca="1">ROUND(IF(J47="钢混",J57/J50,1-(1-2%)*(J50-J57)/J50),3)</f>
        <v>0.38900000000000001</v>
      </c>
      <c r="K55" s="2409" t="s">
        <v>2361</v>
      </c>
      <c r="L55" s="2410"/>
      <c r="O55" s="2437" t="s">
        <v>2416</v>
      </c>
      <c r="P55" s="1595"/>
      <c r="Q55" s="1607"/>
      <c r="R55" s="1595"/>
    </row>
    <row r="56" spans="1:18" s="2064" customFormat="1" ht="42.75" customHeight="1" thickBot="1">
      <c r="A56" s="1653"/>
      <c r="B56" s="2239" t="s">
        <v>2306</v>
      </c>
      <c r="C56" s="53">
        <f ca="1">C29</f>
        <v>4066</v>
      </c>
      <c r="D56" s="2673"/>
      <c r="E56" s="787"/>
      <c r="F56" s="812"/>
      <c r="I56" s="2411" t="s">
        <v>2362</v>
      </c>
      <c r="J56" s="2419"/>
      <c r="K56" s="2391" t="s">
        <v>2367</v>
      </c>
      <c r="L56" s="2400" t="str">
        <f ca="1">IF(L48&lt;J51,"——",L48-J51)</f>
        <v>——</v>
      </c>
      <c r="O56" s="2428" t="s">
        <v>2380</v>
      </c>
      <c r="P56" s="2429" t="s">
        <v>2381</v>
      </c>
      <c r="Q56" s="2430" t="s">
        <v>2382</v>
      </c>
      <c r="R56" s="2429" t="s">
        <v>2383</v>
      </c>
    </row>
    <row r="57" spans="1:18" s="2064" customFormat="1" ht="28.5" customHeight="1" thickBot="1">
      <c r="A57" s="800" t="s">
        <v>1752</v>
      </c>
      <c r="B57" s="801" t="s">
        <v>652</v>
      </c>
      <c r="C57" s="802">
        <f ca="1">ROUND(C58+C63+C64+C65,0)</f>
        <v>103</v>
      </c>
      <c r="D57" s="26" t="s">
        <v>1754</v>
      </c>
      <c r="E57" s="2674"/>
      <c r="F57" s="56"/>
      <c r="I57" s="2412" t="s">
        <v>2363</v>
      </c>
      <c r="J57" s="2414">
        <f ca="1">IF(OR(M47="住宅",J51&lt;L48,J56="是"),"——",J51-L48)</f>
        <v>23.32</v>
      </c>
      <c r="K57" s="2391" t="s">
        <v>2368</v>
      </c>
      <c r="L57" s="2400" t="str">
        <f ca="1">IF(L48&lt;J51,"——",IF(L55="比较法",L49,IF(L55="基准地价",L50,L51)))</f>
        <v>——</v>
      </c>
      <c r="O57" s="2431" t="s">
        <v>2384</v>
      </c>
      <c r="P57" s="2432" t="s">
        <v>2414</v>
      </c>
      <c r="Q57" s="2433">
        <f ca="1">C40+J29</f>
        <v>9739</v>
      </c>
      <c r="R57" s="2432" t="s">
        <v>2385</v>
      </c>
    </row>
    <row r="58" spans="1:18" s="2064" customFormat="1" ht="28.5" customHeight="1" thickBot="1">
      <c r="A58" s="1652" t="s">
        <v>1829</v>
      </c>
      <c r="B58" s="787" t="s">
        <v>657</v>
      </c>
      <c r="C58" s="53">
        <f ca="1">ROUND(IF(项目基本情况!B11="自然人",C47*F58,C59+C60+C61),1)</f>
        <v>36</v>
      </c>
      <c r="D58" s="2672" t="s">
        <v>658</v>
      </c>
      <c r="E58" s="2673" t="s">
        <v>691</v>
      </c>
      <c r="F58" s="813">
        <f ca="1">IF(项目基本情况!B11="企业","",IF(INDIRECT("'数据-取费表'!c"&amp;$G$1)="住宅",5%,IF(F48*F49*F50/12/(1+'数据-取费表'!C42)&gt;20000,12%,7%)))</f>
        <v>7.0000000000000007E-2</v>
      </c>
      <c r="I58" s="2412" t="s">
        <v>2364</v>
      </c>
      <c r="J58" s="3137">
        <f ca="1">IF(J55&lt;0.4,0.4,J55)</f>
        <v>0.4</v>
      </c>
      <c r="K58" s="2391" t="s">
        <v>2369</v>
      </c>
      <c r="L58" s="2400">
        <f ca="1">IF(ISERROR(POWER(1+L52,L47-L48)*(POWER(1+L52,L48)-1)/(POWER(1+L52,L47)-1)),0,POWER(1+L52,L47-L48)*(POWER(1+L52,L48)-1)/(POWER(1+L52,L47)-1))</f>
        <v>0</v>
      </c>
      <c r="O58" s="2431" t="s">
        <v>2386</v>
      </c>
      <c r="P58" s="2432" t="s">
        <v>2417</v>
      </c>
      <c r="Q58" s="2433">
        <f ca="1">L60</f>
        <v>0</v>
      </c>
      <c r="R58" s="2436" t="s">
        <v>2419</v>
      </c>
    </row>
    <row r="59" spans="1:18" s="2064" customFormat="1" ht="28.5" customHeight="1" thickBot="1">
      <c r="A59" s="1651" t="s">
        <v>1836</v>
      </c>
      <c r="B59" s="787" t="s">
        <v>661</v>
      </c>
      <c r="C59" s="53">
        <f ca="1">ROUND(C47*F59/1.05,1)</f>
        <v>0</v>
      </c>
      <c r="D59" s="2673" t="s">
        <v>1760</v>
      </c>
      <c r="E59" s="787" t="s">
        <v>1751</v>
      </c>
      <c r="F59" s="812">
        <f t="shared" ref="F59:F65" si="0">F32</f>
        <v>5.5000000000000007E-2</v>
      </c>
      <c r="I59" s="2412" t="s">
        <v>2365</v>
      </c>
      <c r="J59" s="2414">
        <f ca="1">IF(OR(M47="住宅",J51&lt;L48,J56="是"),"——",ROUND(C29*J58,0))</f>
        <v>1626</v>
      </c>
      <c r="K59" s="2391" t="s">
        <v>2370</v>
      </c>
      <c r="L59" s="2400">
        <f ca="1">IF(ISERROR(POWER(1+L52,L47-J51)*(POWER(1+L52,J51)-1)/(POWER(1+L52,L47)-1)),0,POWER(1+L52,L47-J51)*(POWER(1+L52,J51)-1)/(POWER(1+L52,L47)-1))</f>
        <v>0</v>
      </c>
      <c r="O59" s="2434" t="s">
        <v>2388</v>
      </c>
      <c r="P59" s="2432" t="s">
        <v>2418</v>
      </c>
      <c r="Q59" s="2433">
        <f>IF(L55="比较法",L49,IF(L55="基准地价",L50,0))</f>
        <v>0</v>
      </c>
      <c r="R59" s="2432" t="s">
        <v>2385</v>
      </c>
    </row>
    <row r="60" spans="1:18" s="2064" customFormat="1" ht="18" customHeight="1" thickBot="1">
      <c r="A60" s="1651" t="s">
        <v>1837</v>
      </c>
      <c r="B60" s="787" t="s">
        <v>1762</v>
      </c>
      <c r="C60" s="53">
        <f ca="1">IF(D60="按租金收入计税",ROUND(C47*F60,1),IF(D60="按房产原值计税",ROUND(C56*F60*0.7,1),INDIRECT("'数据-取费表'!Aj"&amp;$G$1)))</f>
        <v>34.200000000000003</v>
      </c>
      <c r="D60" s="2673" t="str">
        <f>D33</f>
        <v>按房产原值计税</v>
      </c>
      <c r="E60" s="787" t="s">
        <v>1751</v>
      </c>
      <c r="F60" s="812">
        <f t="shared" si="0"/>
        <v>1.2E-2</v>
      </c>
      <c r="I60" s="2413" t="s">
        <v>2366</v>
      </c>
      <c r="J60" s="2415">
        <f ca="1">IF(OR(M47="住宅",J51&lt;L48,J56="是"),"0",ROUND(J59/(1+J52)^J53,0))</f>
        <v>1626</v>
      </c>
      <c r="K60" s="2416" t="s">
        <v>2371</v>
      </c>
      <c r="L60" s="2415">
        <f ca="1">IF(OR(M47="住宅",L48&lt;J51),0,ROUND(L57*(L58/L59-1),0))</f>
        <v>0</v>
      </c>
      <c r="O60" s="2434" t="s">
        <v>2389</v>
      </c>
      <c r="P60" s="2432" t="s">
        <v>2398</v>
      </c>
      <c r="Q60" s="2435">
        <f>L52</f>
        <v>0</v>
      </c>
      <c r="R60" s="2436"/>
    </row>
    <row r="61" spans="1:18" s="2064" customFormat="1" ht="18" customHeight="1" thickBot="1">
      <c r="A61" s="1654" t="s">
        <v>1838</v>
      </c>
      <c r="B61" s="344" t="s">
        <v>669</v>
      </c>
      <c r="C61" s="54">
        <f ca="1">ROUND(F61*F62/10000,1)</f>
        <v>1.8</v>
      </c>
      <c r="D61" s="817" t="s">
        <v>670</v>
      </c>
      <c r="E61" s="787" t="s">
        <v>671</v>
      </c>
      <c r="F61" s="643">
        <f t="shared" si="0"/>
        <v>3</v>
      </c>
      <c r="K61" s="2091"/>
      <c r="O61" s="2434" t="s">
        <v>2391</v>
      </c>
      <c r="P61" s="2432" t="s">
        <v>2399</v>
      </c>
      <c r="Q61" s="2433">
        <f ca="1">L58</f>
        <v>0</v>
      </c>
      <c r="R61" s="2436" t="s">
        <v>2400</v>
      </c>
    </row>
    <row r="62" spans="1:18" s="2064" customFormat="1" ht="20.25" thickBot="1">
      <c r="A62" s="818"/>
      <c r="B62" s="796"/>
      <c r="C62" s="69"/>
      <c r="D62" s="819"/>
      <c r="E62" s="787" t="s">
        <v>675</v>
      </c>
      <c r="F62" s="788">
        <f t="shared" ca="1" si="0"/>
        <v>5875.09</v>
      </c>
      <c r="I62" s="2417" t="s">
        <v>2372</v>
      </c>
      <c r="J62" s="2418" t="s">
        <v>2373</v>
      </c>
      <c r="K62" s="2418" t="s">
        <v>2374</v>
      </c>
      <c r="L62" s="2418" t="s">
        <v>2355</v>
      </c>
      <c r="M62" s="3138" t="s">
        <v>2945</v>
      </c>
      <c r="O62" s="2434" t="s">
        <v>2393</v>
      </c>
      <c r="P62" s="2432" t="s">
        <v>2401</v>
      </c>
      <c r="Q62" s="2433">
        <f ca="1">L59</f>
        <v>0</v>
      </c>
      <c r="R62" s="2436" t="s">
        <v>2402</v>
      </c>
    </row>
    <row r="63" spans="1:18" s="2064" customFormat="1" ht="15.75" thickBot="1">
      <c r="A63" s="1652" t="s">
        <v>1894</v>
      </c>
      <c r="B63" s="787" t="s">
        <v>677</v>
      </c>
      <c r="C63" s="53">
        <f ca="1">ROUND(C56*F63,1)</f>
        <v>61</v>
      </c>
      <c r="D63" s="2673" t="s">
        <v>1807</v>
      </c>
      <c r="E63" s="787" t="s">
        <v>1751</v>
      </c>
      <c r="F63" s="820">
        <f t="shared" ca="1" si="0"/>
        <v>1.4999999999999999E-2</v>
      </c>
      <c r="I63" s="2417" t="s">
        <v>2375</v>
      </c>
      <c r="J63" s="2418">
        <v>70</v>
      </c>
      <c r="K63" s="2418">
        <v>50</v>
      </c>
      <c r="L63" s="2418">
        <v>80</v>
      </c>
      <c r="M63" s="3139">
        <v>0.02</v>
      </c>
      <c r="O63" s="2431" t="s">
        <v>2396</v>
      </c>
      <c r="P63" s="2432" t="s">
        <v>2413</v>
      </c>
      <c r="Q63" s="2433">
        <f ca="1">Q57+Q58</f>
        <v>9739</v>
      </c>
      <c r="R63" s="2436" t="s">
        <v>2397</v>
      </c>
    </row>
    <row r="64" spans="1:18" s="2064" customFormat="1" ht="16.5" thickBot="1">
      <c r="A64" s="1652" t="s">
        <v>1895</v>
      </c>
      <c r="B64" s="787" t="s">
        <v>680</v>
      </c>
      <c r="C64" s="53">
        <f ca="1">ROUND(C55*F64,1)</f>
        <v>6.1</v>
      </c>
      <c r="D64" s="2673" t="s">
        <v>681</v>
      </c>
      <c r="E64" s="787" t="s">
        <v>1751</v>
      </c>
      <c r="F64" s="821">
        <f t="shared" ca="1" si="0"/>
        <v>1.5E-3</v>
      </c>
      <c r="I64" s="2417" t="s">
        <v>2376</v>
      </c>
      <c r="J64" s="2418">
        <v>50</v>
      </c>
      <c r="K64" s="2418">
        <v>35</v>
      </c>
      <c r="L64" s="2418">
        <v>60</v>
      </c>
      <c r="M64" s="3140">
        <v>0</v>
      </c>
      <c r="O64" s="2437" t="s">
        <v>2420</v>
      </c>
      <c r="P64" s="1595"/>
      <c r="Q64" s="1607"/>
      <c r="R64" s="1595"/>
    </row>
    <row r="65" spans="1:18" s="2064" customFormat="1" ht="15.75" thickBot="1">
      <c r="A65" s="1652" t="s">
        <v>1896</v>
      </c>
      <c r="B65" s="787" t="s">
        <v>667</v>
      </c>
      <c r="C65" s="53">
        <f ca="1">ROUND(C47*F65,1)</f>
        <v>0</v>
      </c>
      <c r="D65" s="2673" t="s">
        <v>684</v>
      </c>
      <c r="E65" s="787" t="s">
        <v>1751</v>
      </c>
      <c r="F65" s="797">
        <f t="shared" ca="1" si="0"/>
        <v>0.01</v>
      </c>
      <c r="I65" s="2417" t="s">
        <v>2377</v>
      </c>
      <c r="J65" s="2418">
        <v>40</v>
      </c>
      <c r="K65" s="2418">
        <v>30</v>
      </c>
      <c r="L65" s="2418">
        <v>50</v>
      </c>
      <c r="M65" s="3139">
        <v>0.02</v>
      </c>
      <c r="O65" s="2428" t="s">
        <v>2380</v>
      </c>
      <c r="P65" s="2429" t="s">
        <v>2381</v>
      </c>
      <c r="Q65" s="2430" t="s">
        <v>2382</v>
      </c>
      <c r="R65" s="2429" t="s">
        <v>2383</v>
      </c>
    </row>
    <row r="66" spans="1:18" s="2064" customFormat="1" ht="24.75" thickBot="1">
      <c r="A66" s="800" t="s">
        <v>1780</v>
      </c>
      <c r="B66" s="3048" t="s">
        <v>2832</v>
      </c>
      <c r="C66" s="802">
        <f ca="1">C47-C57</f>
        <v>-103</v>
      </c>
      <c r="D66" s="2672" t="s">
        <v>702</v>
      </c>
      <c r="E66" s="2671"/>
      <c r="F66" s="823"/>
      <c r="K66" s="2091"/>
      <c r="O66" s="2431" t="s">
        <v>2384</v>
      </c>
      <c r="P66" s="2432" t="s">
        <v>2414</v>
      </c>
      <c r="Q66" s="2433">
        <f ca="1">C40+J29</f>
        <v>9739</v>
      </c>
      <c r="R66" s="2432" t="s">
        <v>2385</v>
      </c>
    </row>
    <row r="67" spans="1:18" s="2064" customFormat="1" ht="20.25" thickBot="1">
      <c r="A67" s="784" t="s">
        <v>1784</v>
      </c>
      <c r="B67" s="2240" t="s">
        <v>2305</v>
      </c>
      <c r="C67" s="786">
        <f ca="1">ROUND(C66*(1-((1+F69)/(1+F67))^F68)/(F67-F69),0)</f>
        <v>-1649</v>
      </c>
      <c r="D67" s="817" t="s">
        <v>706</v>
      </c>
      <c r="E67" s="787" t="s">
        <v>707</v>
      </c>
      <c r="F67" s="797">
        <f ca="1">F40</f>
        <v>5.5E-2</v>
      </c>
      <c r="K67" s="2091"/>
      <c r="O67" s="2431" t="s">
        <v>2386</v>
      </c>
      <c r="P67" s="2432" t="s">
        <v>2417</v>
      </c>
      <c r="Q67" s="2433">
        <f ca="1">L60</f>
        <v>0</v>
      </c>
      <c r="R67" s="2436" t="s">
        <v>2419</v>
      </c>
    </row>
    <row r="68" spans="1:18" ht="21.75" thickBot="1">
      <c r="A68" s="789"/>
      <c r="B68" s="790"/>
      <c r="C68" s="791"/>
      <c r="D68" s="824" t="s">
        <v>1812</v>
      </c>
      <c r="E68" s="787" t="s">
        <v>1788</v>
      </c>
      <c r="F68" s="825">
        <f ca="1">F41</f>
        <v>39.68</v>
      </c>
      <c r="O68" s="2434" t="s">
        <v>2388</v>
      </c>
      <c r="P68" s="2432" t="s">
        <v>2418</v>
      </c>
      <c r="Q68" s="2438">
        <f ca="1">L51</f>
        <v>8476</v>
      </c>
      <c r="R68" s="2439" t="s">
        <v>2421</v>
      </c>
    </row>
    <row r="69" spans="1:18" ht="20.25" thickBot="1">
      <c r="A69" s="793"/>
      <c r="B69" s="794"/>
      <c r="C69" s="795"/>
      <c r="D69" s="819"/>
      <c r="E69" s="787" t="s">
        <v>712</v>
      </c>
      <c r="F69" s="2379"/>
      <c r="O69" s="2434" t="s">
        <v>2389</v>
      </c>
      <c r="P69" s="2440" t="s">
        <v>2403</v>
      </c>
      <c r="Q69" s="2433">
        <f ca="1">ROUND(Q70-Q71*Q72,0)</f>
        <v>462</v>
      </c>
      <c r="R69" s="2436"/>
    </row>
    <row r="70" spans="1:18" ht="15.75" thickBot="1">
      <c r="A70" s="826" t="s">
        <v>1791</v>
      </c>
      <c r="B70" s="827" t="s">
        <v>1815</v>
      </c>
      <c r="C70" s="828">
        <f ca="1">ROUND(C67*10000/F70,0)</f>
        <v>-1276</v>
      </c>
      <c r="D70" s="829" t="s">
        <v>1816</v>
      </c>
      <c r="E70" s="830" t="s">
        <v>1817</v>
      </c>
      <c r="F70" s="831">
        <f ca="1">F43</f>
        <v>12925.200000000012</v>
      </c>
      <c r="O70" s="2434" t="s">
        <v>2404</v>
      </c>
      <c r="P70" s="2440" t="s">
        <v>2405</v>
      </c>
      <c r="Q70" s="2433">
        <f ca="1">C39</f>
        <v>462</v>
      </c>
      <c r="R70" s="2432" t="s">
        <v>2385</v>
      </c>
    </row>
    <row r="71" spans="1:18" ht="15.75" thickBot="1">
      <c r="O71" s="2434" t="s">
        <v>2406</v>
      </c>
      <c r="P71" s="2440" t="s">
        <v>2407</v>
      </c>
      <c r="Q71" s="2433">
        <f ca="1">C13</f>
        <v>4066</v>
      </c>
      <c r="R71" s="2432" t="s">
        <v>2385</v>
      </c>
    </row>
    <row r="72" spans="1:18" ht="15.75" thickBot="1">
      <c r="O72" s="2434" t="s">
        <v>2408</v>
      </c>
      <c r="P72" s="2440" t="s">
        <v>2409</v>
      </c>
      <c r="Q72" s="2435">
        <f ca="1">J36</f>
        <v>0</v>
      </c>
      <c r="R72" s="2436"/>
    </row>
    <row r="73" spans="1:18" ht="15.75" thickBot="1">
      <c r="O73" s="2434" t="s">
        <v>2391</v>
      </c>
      <c r="P73" s="2432" t="s">
        <v>2398</v>
      </c>
      <c r="Q73" s="2435">
        <f>L52</f>
        <v>0</v>
      </c>
      <c r="R73" s="2436"/>
    </row>
    <row r="74" spans="1:18" ht="20.25" thickBot="1">
      <c r="O74" s="2434" t="s">
        <v>2393</v>
      </c>
      <c r="P74" s="2432" t="s">
        <v>2399</v>
      </c>
      <c r="Q74" s="2433">
        <f ca="1">L58</f>
        <v>0</v>
      </c>
      <c r="R74" s="2436" t="s">
        <v>2400</v>
      </c>
    </row>
    <row r="75" spans="1:18" ht="20.25" thickBot="1">
      <c r="O75" s="2434" t="s">
        <v>2422</v>
      </c>
      <c r="P75" s="2432" t="s">
        <v>2401</v>
      </c>
      <c r="Q75" s="2433">
        <f ca="1">L59</f>
        <v>0</v>
      </c>
      <c r="R75" s="2436" t="s">
        <v>2402</v>
      </c>
    </row>
    <row r="76" spans="1:18" ht="15.75" thickBot="1">
      <c r="O76" s="2431" t="s">
        <v>2396</v>
      </c>
      <c r="P76" s="2432" t="s">
        <v>2413</v>
      </c>
      <c r="Q76" s="2433">
        <f ca="1">Q66+Q67</f>
        <v>9739</v>
      </c>
      <c r="R76" s="243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2478</v>
      </c>
      <c r="B1" s="3449"/>
      <c r="C1" s="3450"/>
      <c r="D1" s="3451">
        <f>SUM(I10,I15,I20,I21,I23)</f>
        <v>0</v>
      </c>
      <c r="E1" s="3451"/>
      <c r="F1" s="3451"/>
      <c r="G1" s="3451"/>
      <c r="H1" s="3451"/>
      <c r="I1" s="3452"/>
    </row>
    <row r="2" spans="1:9">
      <c r="A2" s="3453" t="s">
        <v>2479</v>
      </c>
      <c r="B2" s="3454" t="s">
        <v>2480</v>
      </c>
      <c r="C2" s="3454"/>
      <c r="D2" s="2540" t="s">
        <v>2481</v>
      </c>
      <c r="E2" s="2540" t="s">
        <v>2482</v>
      </c>
      <c r="F2" s="2540" t="s">
        <v>2483</v>
      </c>
      <c r="G2" s="2540" t="s">
        <v>2484</v>
      </c>
      <c r="H2" s="2540" t="s">
        <v>2485</v>
      </c>
      <c r="I2" s="2541" t="s">
        <v>2486</v>
      </c>
    </row>
    <row r="3" spans="1:9">
      <c r="A3" s="3453"/>
      <c r="B3" s="3454" t="s">
        <v>2487</v>
      </c>
      <c r="C3" s="3454"/>
      <c r="D3" s="2542"/>
      <c r="E3" s="2540"/>
      <c r="F3" s="2543"/>
      <c r="G3" s="2543"/>
      <c r="H3" s="2544"/>
      <c r="I3" s="2545">
        <f>ROUND(D3*E3*F3*G3*H3/10000,0)</f>
        <v>0</v>
      </c>
    </row>
    <row r="4" spans="1:9">
      <c r="A4" s="3453"/>
      <c r="B4" s="3454" t="s">
        <v>2488</v>
      </c>
      <c r="C4" s="3454"/>
      <c r="D4" s="2542"/>
      <c r="E4" s="2540"/>
      <c r="F4" s="2543"/>
      <c r="G4" s="2543"/>
      <c r="H4" s="2544"/>
      <c r="I4" s="2545">
        <f t="shared" ref="I4:I9" si="0">ROUND(D4*E4*F4*G4*H4/10000,0)</f>
        <v>0</v>
      </c>
    </row>
    <row r="5" spans="1:9">
      <c r="A5" s="3453"/>
      <c r="B5" s="3454" t="s">
        <v>2489</v>
      </c>
      <c r="C5" s="3454"/>
      <c r="D5" s="2542"/>
      <c r="E5" s="2540"/>
      <c r="F5" s="2543"/>
      <c r="G5" s="2543"/>
      <c r="H5" s="2544"/>
      <c r="I5" s="2545">
        <f t="shared" si="0"/>
        <v>0</v>
      </c>
    </row>
    <row r="6" spans="1:9">
      <c r="A6" s="3453"/>
      <c r="B6" s="3454" t="s">
        <v>2490</v>
      </c>
      <c r="C6" s="3454"/>
      <c r="D6" s="2542"/>
      <c r="E6" s="2540"/>
      <c r="F6" s="2543"/>
      <c r="G6" s="2543"/>
      <c r="H6" s="2544"/>
      <c r="I6" s="2545">
        <f t="shared" si="0"/>
        <v>0</v>
      </c>
    </row>
    <row r="7" spans="1:9">
      <c r="A7" s="3453"/>
      <c r="B7" s="3454" t="s">
        <v>2491</v>
      </c>
      <c r="C7" s="3454"/>
      <c r="D7" s="2542"/>
      <c r="E7" s="2540"/>
      <c r="F7" s="2543"/>
      <c r="G7" s="2543"/>
      <c r="H7" s="2544"/>
      <c r="I7" s="2545">
        <f t="shared" si="0"/>
        <v>0</v>
      </c>
    </row>
    <row r="8" spans="1:9">
      <c r="A8" s="3453"/>
      <c r="B8" s="3454" t="s">
        <v>2492</v>
      </c>
      <c r="C8" s="3454"/>
      <c r="D8" s="2542"/>
      <c r="E8" s="2540"/>
      <c r="F8" s="2543"/>
      <c r="G8" s="2543"/>
      <c r="H8" s="2544"/>
      <c r="I8" s="2545">
        <f t="shared" si="0"/>
        <v>0</v>
      </c>
    </row>
    <row r="9" spans="1:9">
      <c r="A9" s="3453"/>
      <c r="B9" s="3454" t="s">
        <v>2493</v>
      </c>
      <c r="C9" s="3454"/>
      <c r="D9" s="2542"/>
      <c r="E9" s="2540"/>
      <c r="F9" s="2543"/>
      <c r="G9" s="2543"/>
      <c r="H9" s="2544"/>
      <c r="I9" s="2545">
        <f t="shared" si="0"/>
        <v>0</v>
      </c>
    </row>
    <row r="10" spans="1:9">
      <c r="A10" s="3453"/>
      <c r="B10" s="3455" t="s">
        <v>2494</v>
      </c>
      <c r="C10" s="3455"/>
      <c r="D10" s="2546">
        <v>527</v>
      </c>
      <c r="E10" s="2546" t="e">
        <f>ROUND(D1*10000/D10/H9,0)</f>
        <v>#DIV/0!</v>
      </c>
      <c r="F10" s="2547"/>
      <c r="G10" s="2547"/>
      <c r="H10" s="2548"/>
      <c r="I10" s="2549">
        <f>SUM(I3:I9)</f>
        <v>0</v>
      </c>
    </row>
    <row r="11" spans="1:9" ht="14.25">
      <c r="A11" s="3453" t="s">
        <v>2495</v>
      </c>
      <c r="B11" s="3454" t="s">
        <v>2496</v>
      </c>
      <c r="C11" s="3454"/>
      <c r="D11" s="2542" t="s">
        <v>2497</v>
      </c>
      <c r="E11" s="2542" t="s">
        <v>2498</v>
      </c>
      <c r="F11" s="2543" t="s">
        <v>2499</v>
      </c>
      <c r="G11" s="2543" t="s">
        <v>2500</v>
      </c>
      <c r="H11" s="2550" t="s">
        <v>2501</v>
      </c>
      <c r="I11" s="2541" t="s">
        <v>2502</v>
      </c>
    </row>
    <row r="12" spans="1:9">
      <c r="A12" s="3453"/>
      <c r="B12" s="3454" t="s">
        <v>2503</v>
      </c>
      <c r="C12" s="3454"/>
      <c r="D12" s="2542"/>
      <c r="E12" s="2542"/>
      <c r="F12" s="2543"/>
      <c r="G12" s="2544"/>
      <c r="H12" s="2551"/>
      <c r="I12" s="2541">
        <f>ROUND(D12*E12*F12*G12/10000,0)</f>
        <v>0</v>
      </c>
    </row>
    <row r="13" spans="1:9">
      <c r="A13" s="3453"/>
      <c r="B13" s="3454" t="s">
        <v>2504</v>
      </c>
      <c r="C13" s="3454"/>
      <c r="D13" s="2542"/>
      <c r="E13" s="2542"/>
      <c r="F13" s="2543"/>
      <c r="G13" s="2544"/>
      <c r="H13" s="2551"/>
      <c r="I13" s="2541">
        <f>ROUND(D13*E13*F13*G13/10000,0)</f>
        <v>0</v>
      </c>
    </row>
    <row r="14" spans="1:9">
      <c r="A14" s="3453"/>
      <c r="B14" s="3454" t="s">
        <v>2505</v>
      </c>
      <c r="C14" s="3454"/>
      <c r="D14" s="2542"/>
      <c r="E14" s="2542"/>
      <c r="F14" s="2543"/>
      <c r="G14" s="2544"/>
      <c r="H14" s="2551"/>
      <c r="I14" s="2541">
        <f>ROUND(D14*E14*F14*G14/10000,0)</f>
        <v>0</v>
      </c>
    </row>
    <row r="15" spans="1:9">
      <c r="A15" s="3453"/>
      <c r="B15" s="3455" t="s">
        <v>2494</v>
      </c>
      <c r="C15" s="3455"/>
      <c r="D15" s="2546"/>
      <c r="E15" s="2546">
        <f>SUM(E12:E14)</f>
        <v>0</v>
      </c>
      <c r="F15" s="2547"/>
      <c r="G15" s="2544"/>
      <c r="H15" s="2551"/>
      <c r="I15" s="2552">
        <f>SUM(I12:I14)</f>
        <v>0</v>
      </c>
    </row>
    <row r="16" spans="1:9" ht="24">
      <c r="A16" s="3453" t="s">
        <v>2506</v>
      </c>
      <c r="B16" s="3454" t="s">
        <v>2507</v>
      </c>
      <c r="C16" s="3454"/>
      <c r="D16" s="2542" t="s">
        <v>2508</v>
      </c>
      <c r="E16" s="2553" t="s">
        <v>2509</v>
      </c>
      <c r="F16" s="2543" t="s">
        <v>2510</v>
      </c>
      <c r="G16" s="2544" t="s">
        <v>2500</v>
      </c>
      <c r="H16" s="2550" t="s">
        <v>2501</v>
      </c>
      <c r="I16" s="2541" t="s">
        <v>2502</v>
      </c>
    </row>
    <row r="17" spans="1:9" ht="14.25">
      <c r="A17" s="3453"/>
      <c r="B17" s="3454" t="s">
        <v>2511</v>
      </c>
      <c r="C17" s="3454"/>
      <c r="D17" s="2542"/>
      <c r="E17" s="2542"/>
      <c r="F17" s="2543"/>
      <c r="G17" s="2544"/>
      <c r="H17" s="2554"/>
      <c r="I17" s="2555">
        <f>ROUND(D17*E17*F17*G17/10000,0)</f>
        <v>0</v>
      </c>
    </row>
    <row r="18" spans="1:9" ht="14.25">
      <c r="A18" s="3453"/>
      <c r="B18" s="3454" t="s">
        <v>2512</v>
      </c>
      <c r="C18" s="3454"/>
      <c r="D18" s="2542"/>
      <c r="E18" s="2542"/>
      <c r="F18" s="2543"/>
      <c r="G18" s="2544"/>
      <c r="H18" s="2554"/>
      <c r="I18" s="2555">
        <f>ROUND(D18*E18*F18*G18/10000,0)</f>
        <v>0</v>
      </c>
    </row>
    <row r="19" spans="1:9" ht="14.25">
      <c r="A19" s="3453"/>
      <c r="B19" s="3454" t="s">
        <v>2513</v>
      </c>
      <c r="C19" s="3454"/>
      <c r="D19" s="2542"/>
      <c r="E19" s="2542"/>
      <c r="F19" s="2543"/>
      <c r="G19" s="2544"/>
      <c r="H19" s="2554"/>
      <c r="I19" s="2555">
        <f>ROUND(D19*E19*F19*G19/10000,0)</f>
        <v>0</v>
      </c>
    </row>
    <row r="20" spans="1:9">
      <c r="A20" s="3453"/>
      <c r="B20" s="3455" t="s">
        <v>2494</v>
      </c>
      <c r="C20" s="3455"/>
      <c r="D20" s="2546">
        <f>SUM(D17:D19)</f>
        <v>0</v>
      </c>
      <c r="E20" s="2546"/>
      <c r="F20" s="2547"/>
      <c r="G20" s="2544"/>
      <c r="H20" s="2551"/>
      <c r="I20" s="2552">
        <f>SUM(I17:I19)</f>
        <v>0</v>
      </c>
    </row>
    <row r="21" spans="1:9">
      <c r="A21" s="3453" t="s">
        <v>2514</v>
      </c>
      <c r="B21" s="3457"/>
      <c r="C21" s="3457"/>
      <c r="D21" s="3457"/>
      <c r="E21" s="3457"/>
      <c r="F21" s="3457"/>
      <c r="G21" s="3457"/>
      <c r="H21" s="2556">
        <v>0.1</v>
      </c>
      <c r="I21" s="2549">
        <f>ROUND(I10*H21,0)</f>
        <v>0</v>
      </c>
    </row>
    <row r="22" spans="1:9" ht="14.25">
      <c r="A22" s="3458" t="s">
        <v>2515</v>
      </c>
      <c r="B22" s="3459"/>
      <c r="C22" s="3460"/>
      <c r="D22" s="2557" t="s">
        <v>2516</v>
      </c>
      <c r="E22" s="2557" t="s">
        <v>2517</v>
      </c>
      <c r="F22" s="2558" t="s">
        <v>2518</v>
      </c>
      <c r="G22" s="2558" t="s">
        <v>2519</v>
      </c>
      <c r="H22" s="2550" t="s">
        <v>2520</v>
      </c>
      <c r="I22" s="2541" t="s">
        <v>2521</v>
      </c>
    </row>
    <row r="23" spans="1:9" ht="14.25" thickBot="1">
      <c r="A23" s="3461"/>
      <c r="B23" s="3462"/>
      <c r="C23" s="3463"/>
      <c r="D23" s="2559"/>
      <c r="E23" s="2559"/>
      <c r="F23" s="2559"/>
      <c r="G23" s="2560"/>
      <c r="H23" s="2561"/>
      <c r="I23" s="2562">
        <f>ROUND(E23*D23*F23*(1-G23)/10000,0)</f>
        <v>0</v>
      </c>
    </row>
    <row r="26" spans="1:9">
      <c r="A26" s="2563" t="s">
        <v>2522</v>
      </c>
      <c r="B26" s="2563"/>
      <c r="C26" s="2563"/>
      <c r="D26" s="2563"/>
      <c r="E26" s="3464">
        <f>C27-C30-C31-C32</f>
        <v>0</v>
      </c>
      <c r="F26" s="3464"/>
      <c r="G26" s="3464"/>
      <c r="H26" s="3079" t="s">
        <v>2853</v>
      </c>
    </row>
    <row r="27" spans="1:9">
      <c r="A27" s="2564">
        <v>1</v>
      </c>
      <c r="B27" s="2565" t="s">
        <v>2523</v>
      </c>
      <c r="C27" s="2565"/>
      <c r="D27" s="2565"/>
      <c r="E27" s="3465"/>
      <c r="F27" s="3465"/>
      <c r="G27" s="3465"/>
    </row>
    <row r="28" spans="1:9">
      <c r="A28" s="2566" t="s">
        <v>2524</v>
      </c>
      <c r="B28" s="2565" t="s">
        <v>2525</v>
      </c>
      <c r="C28" s="2565"/>
      <c r="D28" s="2565"/>
      <c r="E28" s="3465"/>
      <c r="F28" s="3465"/>
      <c r="G28" s="3465"/>
    </row>
    <row r="29" spans="1:9">
      <c r="A29" s="2566" t="s">
        <v>2526</v>
      </c>
      <c r="B29" s="2565" t="s">
        <v>2466</v>
      </c>
      <c r="C29" s="2565"/>
      <c r="D29" s="2565"/>
      <c r="E29" s="2565" t="s">
        <v>2527</v>
      </c>
      <c r="F29" s="2565"/>
      <c r="G29" s="2565"/>
    </row>
    <row r="30" spans="1:9">
      <c r="A30" s="2564">
        <v>2</v>
      </c>
      <c r="B30" s="2565" t="s">
        <v>2528</v>
      </c>
      <c r="C30" s="2565">
        <f>C27*D30</f>
        <v>0</v>
      </c>
      <c r="D30" s="2567">
        <v>0.2</v>
      </c>
      <c r="E30" s="2565" t="s">
        <v>2529</v>
      </c>
      <c r="F30" s="2565"/>
      <c r="G30" s="2565"/>
    </row>
    <row r="31" spans="1:9">
      <c r="A31" s="2564">
        <v>3</v>
      </c>
      <c r="B31" s="2565" t="s">
        <v>2530</v>
      </c>
      <c r="C31" s="2565">
        <f>C25*D31</f>
        <v>0</v>
      </c>
      <c r="D31" s="2567">
        <v>0.15</v>
      </c>
      <c r="E31" s="2565" t="s">
        <v>2531</v>
      </c>
      <c r="F31" s="2565"/>
      <c r="G31" s="2565"/>
    </row>
    <row r="32" spans="1:9">
      <c r="A32" s="2564">
        <v>4</v>
      </c>
      <c r="B32" s="2565" t="s">
        <v>2532</v>
      </c>
      <c r="C32" s="2565">
        <f>C27*D32</f>
        <v>0</v>
      </c>
      <c r="D32" s="2567">
        <v>0.05</v>
      </c>
      <c r="E32" s="3456"/>
      <c r="F32" s="3456"/>
      <c r="G32" s="3456"/>
    </row>
    <row r="33" spans="1:7" hidden="1">
      <c r="A33" s="3466" t="s">
        <v>2533</v>
      </c>
      <c r="B33" s="3467"/>
      <c r="C33" s="3467"/>
      <c r="D33" s="3468"/>
      <c r="E33" s="3464"/>
      <c r="F33" s="3464"/>
      <c r="G33" s="3464"/>
    </row>
    <row r="34" spans="1:7" hidden="1">
      <c r="A34" s="2568">
        <v>1</v>
      </c>
      <c r="B34" s="2565" t="s">
        <v>2534</v>
      </c>
      <c r="C34" s="2565"/>
      <c r="D34" s="2565"/>
      <c r="E34" s="3465"/>
      <c r="F34" s="3465"/>
      <c r="G34" s="3465"/>
    </row>
    <row r="35" spans="1:7" hidden="1">
      <c r="A35" s="2568">
        <v>2</v>
      </c>
      <c r="B35" s="2565" t="s">
        <v>2535</v>
      </c>
      <c r="C35" s="2565"/>
      <c r="D35" s="2565"/>
      <c r="E35" s="3465"/>
      <c r="F35" s="3465"/>
      <c r="G35" s="3465"/>
    </row>
    <row r="36" spans="1:7" hidden="1">
      <c r="A36" s="2568">
        <v>3</v>
      </c>
      <c r="B36" s="2565" t="s">
        <v>2536</v>
      </c>
      <c r="C36" s="2565"/>
      <c r="D36" s="2565"/>
      <c r="E36" s="3465"/>
      <c r="F36" s="3465"/>
      <c r="G36" s="3465"/>
    </row>
    <row r="37" spans="1:7" hidden="1">
      <c r="A37" s="2568">
        <v>4</v>
      </c>
      <c r="B37" s="2565" t="s">
        <v>2537</v>
      </c>
      <c r="C37" s="2565"/>
      <c r="D37" s="2565"/>
      <c r="E37" s="3465"/>
      <c r="F37" s="3465"/>
      <c r="G37" s="3465"/>
    </row>
    <row r="38" spans="1:7" hidden="1">
      <c r="A38" s="3466" t="s">
        <v>2538</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604</v>
      </c>
      <c r="B1" s="745"/>
      <c r="C1" s="2190"/>
      <c r="D1" s="2190"/>
      <c r="E1" s="2190"/>
      <c r="F1" s="2190"/>
      <c r="G1" s="2116"/>
    </row>
    <row r="2" spans="1:25" s="2064" customFormat="1" ht="18" customHeight="1">
      <c r="A2" s="426" t="s">
        <v>467</v>
      </c>
      <c r="B2" s="428">
        <f ca="1">C23</f>
        <v>0</v>
      </c>
      <c r="C2" s="2116"/>
      <c r="D2" s="2116"/>
      <c r="E2" s="2116"/>
      <c r="F2" s="2116"/>
      <c r="G2" s="2116"/>
    </row>
    <row r="3" spans="1:25" s="2064" customFormat="1" ht="18" customHeight="1">
      <c r="A3" s="1383" t="s">
        <v>1689</v>
      </c>
      <c r="B3" s="428">
        <f ca="1">ROUND(B2*10000/'数据-汇总表'!E3,0)</f>
        <v>0</v>
      </c>
      <c r="C3" s="2116"/>
      <c r="D3" s="2116"/>
      <c r="E3" s="2116"/>
      <c r="F3" s="2116"/>
      <c r="G3" s="2116"/>
    </row>
    <row r="4" spans="1:25" s="2064" customFormat="1" ht="18" customHeight="1">
      <c r="A4" s="429" t="s">
        <v>468</v>
      </c>
      <c r="B4" s="430">
        <f ca="1">ROUND(B2*10000/'数据-汇总表'!D3,0)</f>
        <v>0</v>
      </c>
      <c r="C4" s="2066"/>
      <c r="D4" s="2116"/>
      <c r="E4" s="2116"/>
      <c r="F4" s="2116"/>
      <c r="G4" s="2116"/>
    </row>
    <row r="5" spans="1:25" s="2064" customFormat="1" ht="18" customHeight="1" thickBot="1">
      <c r="A5" s="432"/>
      <c r="B5" s="433">
        <f ca="1">ROUND(B2/('数据-汇总表'!D3/666.67),0)</f>
        <v>0</v>
      </c>
      <c r="C5" s="434" t="s">
        <v>469</v>
      </c>
      <c r="D5" s="2116"/>
      <c r="E5" s="2116"/>
      <c r="F5" s="2116"/>
      <c r="G5" s="2116"/>
    </row>
    <row r="6" spans="1:25" s="2191" customFormat="1" ht="13.5" customHeight="1">
      <c r="A6" s="746"/>
      <c r="B6" s="747" t="s">
        <v>605</v>
      </c>
      <c r="C6" s="748" t="s">
        <v>606</v>
      </c>
      <c r="D6" s="748" t="s">
        <v>607</v>
      </c>
      <c r="E6" s="749" t="s">
        <v>608</v>
      </c>
      <c r="F6" s="749" t="s">
        <v>609</v>
      </c>
      <c r="G6" s="750"/>
    </row>
    <row r="7" spans="1:25" s="2191" customFormat="1" ht="13.5" customHeight="1">
      <c r="A7" s="2502">
        <v>1</v>
      </c>
      <c r="B7" s="751" t="s">
        <v>610</v>
      </c>
      <c r="C7" s="752">
        <f>C8+C9</f>
        <v>0</v>
      </c>
      <c r="D7" s="752"/>
      <c r="E7" s="753"/>
      <c r="F7" s="753"/>
      <c r="G7" s="2512"/>
    </row>
    <row r="8" spans="1:25" s="2191" customFormat="1" ht="13.5" customHeight="1">
      <c r="A8" s="2502" t="s">
        <v>2445</v>
      </c>
      <c r="B8" s="2505" t="s">
        <v>2447</v>
      </c>
      <c r="C8" s="2506"/>
      <c r="D8" s="752"/>
      <c r="E8" s="753"/>
      <c r="F8" s="753"/>
      <c r="G8" s="754"/>
    </row>
    <row r="9" spans="1:25" s="2191" customFormat="1" ht="13.5" customHeight="1">
      <c r="A9" s="2502" t="s">
        <v>2446</v>
      </c>
      <c r="B9" s="2505" t="s">
        <v>2448</v>
      </c>
      <c r="C9" s="2506"/>
      <c r="D9" s="752"/>
      <c r="E9" s="753"/>
      <c r="F9" s="753"/>
      <c r="G9" s="754"/>
    </row>
    <row r="10" spans="1:25" s="2191" customFormat="1" ht="36">
      <c r="A10" s="2502">
        <v>2</v>
      </c>
      <c r="B10" s="751" t="s">
        <v>614</v>
      </c>
      <c r="C10" s="752">
        <f>C11+C14+C15</f>
        <v>0</v>
      </c>
      <c r="D10" s="763">
        <f>'数据-汇总表'!E3</f>
        <v>258502.2</v>
      </c>
      <c r="E10" s="752">
        <f>'数据-取费表'!B31</f>
        <v>0</v>
      </c>
      <c r="F10" s="764"/>
      <c r="G10" s="762" t="s">
        <v>615</v>
      </c>
    </row>
    <row r="11" spans="1:25" s="2191" customFormat="1" ht="13.5" customHeight="1">
      <c r="A11" s="2502" t="s">
        <v>2445</v>
      </c>
      <c r="B11" s="755" t="s">
        <v>611</v>
      </c>
      <c r="C11" s="756">
        <f>'数据-取费表'!B29</f>
        <v>0</v>
      </c>
      <c r="D11" s="757"/>
      <c r="E11" s="756"/>
      <c r="F11" s="758"/>
      <c r="G11" s="2511" t="s">
        <v>2456</v>
      </c>
    </row>
    <row r="12" spans="1:25" s="2191" customFormat="1" ht="13.5" customHeight="1">
      <c r="A12" s="2509" t="s">
        <v>2453</v>
      </c>
      <c r="B12" s="759" t="s">
        <v>612</v>
      </c>
      <c r="C12" s="760">
        <f>ROUND(D12*E12/10000,0)</f>
        <v>1228</v>
      </c>
      <c r="D12" s="761">
        <f>'数据-汇总表'!E5</f>
        <v>245577</v>
      </c>
      <c r="E12" s="760">
        <f>'数据-取费表'!B27</f>
        <v>50</v>
      </c>
      <c r="F12" s="758"/>
      <c r="G12" s="762"/>
    </row>
    <row r="13" spans="1:25" s="2191" customFormat="1" ht="13.5" customHeight="1">
      <c r="A13" s="2509" t="s">
        <v>2452</v>
      </c>
      <c r="B13" s="759" t="s">
        <v>613</v>
      </c>
      <c r="C13" s="760">
        <f>ROUND(D13*E13/10000,0)</f>
        <v>65</v>
      </c>
      <c r="D13" s="761">
        <f>'数据-汇总表'!E6</f>
        <v>12925.200000000012</v>
      </c>
      <c r="E13" s="760">
        <f>'数据-取费表'!B28</f>
        <v>50</v>
      </c>
      <c r="F13" s="758"/>
      <c r="G13" s="762"/>
    </row>
    <row r="14" spans="1:25" s="2191" customFormat="1" ht="13.5" customHeight="1">
      <c r="A14" s="2502" t="s">
        <v>2446</v>
      </c>
      <c r="B14" s="2508" t="s">
        <v>2449</v>
      </c>
      <c r="C14" s="2506"/>
      <c r="D14" s="761"/>
      <c r="E14" s="760"/>
      <c r="F14" s="2507"/>
      <c r="G14" s="2510" t="s">
        <v>2454</v>
      </c>
    </row>
    <row r="15" spans="1:25" s="2191" customFormat="1" ht="13.5" customHeight="1">
      <c r="A15" s="2502" t="s">
        <v>2451</v>
      </c>
      <c r="B15" s="2508" t="s">
        <v>2450</v>
      </c>
      <c r="C15" s="2506"/>
      <c r="D15" s="761"/>
      <c r="E15" s="760"/>
      <c r="F15" s="2507"/>
      <c r="G15" s="2510" t="s">
        <v>2455</v>
      </c>
    </row>
    <row r="16" spans="1:25" s="2192" customFormat="1" ht="48">
      <c r="A16" s="2502">
        <v>3</v>
      </c>
      <c r="B16" s="751" t="s">
        <v>616</v>
      </c>
      <c r="C16" s="2506"/>
      <c r="D16" s="763"/>
      <c r="E16" s="752"/>
      <c r="F16" s="764"/>
      <c r="G16" s="762" t="s">
        <v>2457</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1" t="s">
        <v>617</v>
      </c>
      <c r="C17" s="260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1" t="s">
        <v>618</v>
      </c>
      <c r="C18" s="752">
        <f>ROUND((C7+C10+C16)*F18,0)</f>
        <v>0</v>
      </c>
      <c r="D18" s="765"/>
      <c r="E18" s="766"/>
      <c r="F18" s="764">
        <f>'数据-取费表'!Q16</f>
        <v>0.1</v>
      </c>
      <c r="G18" s="768"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1" t="s">
        <v>620</v>
      </c>
      <c r="C19" s="752">
        <f ca="1">C7+C10+C16+C17+C18</f>
        <v>0</v>
      </c>
      <c r="D19" s="763"/>
      <c r="E19" s="752"/>
      <c r="F19" s="764"/>
      <c r="G19" s="768"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1" t="s">
        <v>622</v>
      </c>
      <c r="C20" s="752">
        <f ca="1">ROUND(C19*F20,0)</f>
        <v>0</v>
      </c>
      <c r="D20" s="763"/>
      <c r="E20" s="752"/>
      <c r="F20" s="1351"/>
      <c r="G20" s="768"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1" t="s">
        <v>624</v>
      </c>
      <c r="C21" s="752">
        <f ca="1">C19+C20</f>
        <v>0</v>
      </c>
      <c r="D21" s="763"/>
      <c r="E21" s="752"/>
      <c r="F21" s="764"/>
      <c r="G21" s="768"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1" t="s">
        <v>626</v>
      </c>
      <c r="C22" s="752">
        <f ca="1">ROUND(C21*F22,0)</f>
        <v>0</v>
      </c>
      <c r="D22" s="763"/>
      <c r="E22" s="752"/>
      <c r="F22" s="769">
        <f>'数据-取费表'!AP16</f>
        <v>0.94699999999999995</v>
      </c>
      <c r="G22" s="768"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70" t="s">
        <v>628</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2656" t="s">
        <v>722</v>
      </c>
      <c r="C1" s="2657" t="s">
        <v>723</v>
      </c>
      <c r="D1" s="2658"/>
      <c r="E1" s="2659"/>
      <c r="F1" s="2844"/>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5" t="e">
        <f>ROUND(B3*D3/10000,0)</f>
        <v>#DIV/0!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5" customFormat="1" ht="28.5" customHeight="1" thickBot="1">
      <c r="A3" s="512" t="s">
        <v>520</v>
      </c>
      <c r="B3" s="854" t="e">
        <f>C49</f>
        <v>#DIV/0!</v>
      </c>
      <c r="C3" s="855" t="s">
        <v>725</v>
      </c>
      <c r="D3" s="854">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5" t="s">
        <v>522</v>
      </c>
      <c r="B4" s="516"/>
      <c r="C4" s="3364" t="s">
        <v>523</v>
      </c>
      <c r="D4" s="3365"/>
      <c r="E4" s="3399" t="s">
        <v>524</v>
      </c>
      <c r="F4" s="3400"/>
      <c r="G4" s="3364" t="s">
        <v>525</v>
      </c>
      <c r="H4" s="3365"/>
      <c r="I4" s="3364" t="s">
        <v>526</v>
      </c>
      <c r="J4" s="3365"/>
      <c r="K4" s="856" t="s">
        <v>527</v>
      </c>
      <c r="L4" s="2141"/>
      <c r="M4" s="2142"/>
      <c r="N4" s="2142"/>
      <c r="O4" s="2142"/>
      <c r="P4" s="3366" t="s">
        <v>528</v>
      </c>
      <c r="Q4" s="3367"/>
      <c r="R4" s="3372" t="s">
        <v>524</v>
      </c>
      <c r="S4" s="3373"/>
      <c r="T4" s="3372" t="s">
        <v>525</v>
      </c>
      <c r="U4" s="3373"/>
      <c r="V4" s="3359" t="s">
        <v>526</v>
      </c>
      <c r="W4" s="3359"/>
      <c r="X4" s="1570"/>
      <c r="Y4" s="3372" t="s">
        <v>528</v>
      </c>
      <c r="Z4" s="3373"/>
      <c r="AA4" s="3361" t="s">
        <v>524</v>
      </c>
      <c r="AB4" s="3361" t="s">
        <v>525</v>
      </c>
      <c r="AC4" s="3361" t="s">
        <v>526</v>
      </c>
    </row>
    <row r="5" spans="1:29" ht="15">
      <c r="A5" s="518"/>
      <c r="B5" s="519"/>
      <c r="C5" s="3382" t="s">
        <v>2930</v>
      </c>
      <c r="D5" s="3381"/>
      <c r="E5" s="3401" t="s">
        <v>2931</v>
      </c>
      <c r="F5" s="3402"/>
      <c r="G5" s="3382" t="s">
        <v>2932</v>
      </c>
      <c r="H5" s="3381"/>
      <c r="I5" s="3382" t="s">
        <v>2933</v>
      </c>
      <c r="J5" s="3381"/>
      <c r="K5" s="857"/>
      <c r="L5" s="2141"/>
      <c r="M5" s="2142"/>
      <c r="N5" s="2142"/>
      <c r="O5" s="2142"/>
      <c r="P5" s="3368"/>
      <c r="Q5" s="3369"/>
      <c r="R5" s="3374"/>
      <c r="S5" s="3375"/>
      <c r="T5" s="3374"/>
      <c r="U5" s="3375"/>
      <c r="V5" s="3359"/>
      <c r="W5" s="3359"/>
      <c r="X5" s="1570"/>
      <c r="Y5" s="3374"/>
      <c r="Z5" s="3375"/>
      <c r="AA5" s="3362"/>
      <c r="AB5" s="3362"/>
      <c r="AC5" s="3362"/>
    </row>
    <row r="6" spans="1:29" ht="15.75" thickBot="1">
      <c r="A6" s="520"/>
      <c r="B6" s="521"/>
      <c r="C6" s="3378" t="s">
        <v>2934</v>
      </c>
      <c r="D6" s="3379"/>
      <c r="E6" s="3397" t="s">
        <v>2934</v>
      </c>
      <c r="F6" s="3398"/>
      <c r="G6" s="3378" t="s">
        <v>2934</v>
      </c>
      <c r="H6" s="3379"/>
      <c r="I6" s="3378" t="s">
        <v>2934</v>
      </c>
      <c r="J6" s="3379"/>
      <c r="K6" s="857" t="s">
        <v>529</v>
      </c>
      <c r="L6" s="2141"/>
      <c r="M6" s="2142"/>
      <c r="N6" s="2142"/>
      <c r="O6" s="2142"/>
      <c r="P6" s="3370"/>
      <c r="Q6" s="3371"/>
      <c r="R6" s="3374"/>
      <c r="S6" s="3375"/>
      <c r="T6" s="3376"/>
      <c r="U6" s="3377"/>
      <c r="V6" s="3359"/>
      <c r="W6" s="3359"/>
      <c r="X6" s="1570"/>
      <c r="Y6" s="3376"/>
      <c r="Z6" s="3377"/>
      <c r="AA6" s="3363"/>
      <c r="AB6" s="3363"/>
      <c r="AC6" s="3363"/>
    </row>
    <row r="7" spans="1:29" s="1222" customFormat="1" ht="15.75" thickBot="1">
      <c r="A7" s="2949"/>
      <c r="B7" s="2956" t="s">
        <v>530</v>
      </c>
      <c r="C7" s="522">
        <f>'数据-取费表'!B2</f>
        <v>42997</v>
      </c>
      <c r="D7" s="523">
        <v>100</v>
      </c>
      <c r="E7" s="524"/>
      <c r="F7" s="525">
        <f>SUMIF(58:58,YEAR(E7)&amp;"-"&amp;MONTH(E7),59:59)</f>
        <v>0</v>
      </c>
      <c r="G7" s="526"/>
      <c r="H7" s="523">
        <f>SUMIF(58:58,YEAR(G7)&amp;"-"&amp;MONTH(G7),59:59)</f>
        <v>0</v>
      </c>
      <c r="I7" s="526"/>
      <c r="J7" s="523">
        <f>SUMIF(58:58,YEAR(I7)&amp;"-"&amp;MONTH(I7),59:59)</f>
        <v>0</v>
      </c>
      <c r="K7" s="858"/>
      <c r="L7" s="2143"/>
      <c r="M7" s="2144"/>
      <c r="N7" s="2144"/>
      <c r="O7" s="2144"/>
      <c r="P7" s="3390" t="s">
        <v>531</v>
      </c>
      <c r="Q7" s="3392"/>
      <c r="R7" s="1571" t="s">
        <v>13</v>
      </c>
      <c r="S7" s="1572">
        <f t="shared" ref="S7:S15" si="0">F7</f>
        <v>0</v>
      </c>
      <c r="T7" s="1571" t="s">
        <v>13</v>
      </c>
      <c r="U7" s="1572">
        <f t="shared" ref="U7:U15" si="1">H7</f>
        <v>0</v>
      </c>
      <c r="V7" s="1571" t="s">
        <v>13</v>
      </c>
      <c r="W7" s="1572">
        <f t="shared" ref="W7:W15" si="2">J7</f>
        <v>0</v>
      </c>
      <c r="X7" s="1573"/>
      <c r="Y7" s="3390" t="s">
        <v>531</v>
      </c>
      <c r="Z7" s="3391"/>
      <c r="AA7" s="1574" t="e">
        <f>D7/F7</f>
        <v>#DIV/0!</v>
      </c>
      <c r="AB7" s="1574" t="e">
        <f>D7/H7</f>
        <v>#DIV/0!</v>
      </c>
      <c r="AC7" s="1574" t="e">
        <f>D7/J7</f>
        <v>#DIV/0!</v>
      </c>
    </row>
    <row r="8" spans="1:29" s="1222" customFormat="1" ht="15.75" thickBot="1">
      <c r="A8" s="2950"/>
      <c r="B8" s="2957" t="s">
        <v>532</v>
      </c>
      <c r="C8" s="528" t="s">
        <v>577</v>
      </c>
      <c r="D8" s="523">
        <v>100</v>
      </c>
      <c r="E8" s="859"/>
      <c r="F8" s="525">
        <f>SUMIF(61:61,E8,62:62)-SUMIF(61:61,C8,62:62)+100</f>
        <v>0</v>
      </c>
      <c r="G8" s="528"/>
      <c r="H8" s="523">
        <f>SUMIF(61:61,G8,62:62)-SUMIF(61:61,C8,62:62)+100</f>
        <v>0</v>
      </c>
      <c r="I8" s="859"/>
      <c r="J8" s="523">
        <f>SUMIF(61:61,I8,62:62)-SUMIF(61:61,C8,62:62)+100</f>
        <v>0</v>
      </c>
      <c r="K8" s="858"/>
      <c r="L8" s="2143"/>
      <c r="M8" s="2144"/>
      <c r="N8" s="2144"/>
      <c r="O8" s="2144"/>
      <c r="P8" s="3390" t="s">
        <v>534</v>
      </c>
      <c r="Q8" s="3391"/>
      <c r="R8" s="1571" t="s">
        <v>13</v>
      </c>
      <c r="S8" s="1572">
        <f t="shared" si="0"/>
        <v>0</v>
      </c>
      <c r="T8" s="1571" t="s">
        <v>13</v>
      </c>
      <c r="U8" s="1572">
        <f t="shared" si="1"/>
        <v>0</v>
      </c>
      <c r="V8" s="1571" t="s">
        <v>13</v>
      </c>
      <c r="W8" s="1572">
        <f t="shared" si="2"/>
        <v>0</v>
      </c>
      <c r="X8" s="1573"/>
      <c r="Y8" s="3390" t="s">
        <v>534</v>
      </c>
      <c r="Z8" s="3391"/>
      <c r="AA8" s="1574" t="e">
        <f t="shared" ref="AA8:AA46" si="3">D8/F8</f>
        <v>#DIV/0!</v>
      </c>
      <c r="AB8" s="1574" t="e">
        <f t="shared" ref="AB8:AB46" si="4">D8/H8</f>
        <v>#DIV/0!</v>
      </c>
      <c r="AC8" s="1574" t="e">
        <f t="shared" ref="AC8:AC46" si="5">D8/J8</f>
        <v>#DIV/0!</v>
      </c>
    </row>
    <row r="9" spans="1:29" s="1222" customFormat="1" ht="15">
      <c r="A9" s="2951"/>
      <c r="B9" s="2958" t="s">
        <v>2766</v>
      </c>
      <c r="C9" s="860"/>
      <c r="D9" s="254">
        <v>100</v>
      </c>
      <c r="E9" s="861"/>
      <c r="F9" s="862">
        <f>SUMIF(63:63,E9,64:64)-SUMIF(63:63,C9,64:64)+100</f>
        <v>100</v>
      </c>
      <c r="G9" s="863"/>
      <c r="H9" s="254">
        <f>SUMIF(63:63,G9,64:64)-SUMIF(63:63,C9,64:64)+100</f>
        <v>100</v>
      </c>
      <c r="I9" s="863"/>
      <c r="J9" s="254">
        <f>SUMIF(63:63,I9,64:64)-SUMIF(63:63,C9,64:64)+100</f>
        <v>100</v>
      </c>
      <c r="K9" s="858"/>
      <c r="L9" s="2143"/>
      <c r="M9" s="2144"/>
      <c r="N9" s="2144"/>
      <c r="O9" s="2145"/>
      <c r="P9" s="3358" t="s">
        <v>536</v>
      </c>
      <c r="Q9" s="1153" t="str">
        <f t="shared" ref="Q9:Q15" si="6">B9</f>
        <v>用途</v>
      </c>
      <c r="R9" s="1571" t="s">
        <v>8</v>
      </c>
      <c r="S9" s="1572">
        <f t="shared" si="0"/>
        <v>100</v>
      </c>
      <c r="T9" s="1571" t="s">
        <v>8</v>
      </c>
      <c r="U9" s="1572">
        <f t="shared" si="1"/>
        <v>100</v>
      </c>
      <c r="V9" s="1571" t="s">
        <v>8</v>
      </c>
      <c r="W9" s="1572">
        <f t="shared" si="2"/>
        <v>100</v>
      </c>
      <c r="X9" s="1573"/>
      <c r="Y9" s="3304"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5"/>
      <c r="F10" s="866">
        <f>SUMIF(65:65,E10,66:66)-SUMIF(65:65,C10,66:66)+100</f>
        <v>100</v>
      </c>
      <c r="G10" s="864"/>
      <c r="H10" s="255">
        <f>SUMIF(65:65,G10,66:66)-SUMIF(65:65,C10,66:66)+100</f>
        <v>100</v>
      </c>
      <c r="I10" s="864"/>
      <c r="J10" s="255">
        <f>SUMIF(65:65,I10,66:66)-SUMIF(65:65,C10,66:66)+100</f>
        <v>100</v>
      </c>
      <c r="K10" s="867"/>
      <c r="L10" s="2146"/>
      <c r="M10" s="2186"/>
      <c r="N10" s="2186"/>
      <c r="O10" s="2147"/>
      <c r="P10" s="3358"/>
      <c r="Q10" s="1153" t="str">
        <f t="shared" si="6"/>
        <v>土地使用年限（年）</v>
      </c>
      <c r="R10" s="1571" t="s">
        <v>8</v>
      </c>
      <c r="S10" s="1572">
        <f t="shared" si="0"/>
        <v>100</v>
      </c>
      <c r="T10" s="1571" t="s">
        <v>8</v>
      </c>
      <c r="U10" s="1572">
        <f t="shared" si="1"/>
        <v>100</v>
      </c>
      <c r="V10" s="1571" t="s">
        <v>8</v>
      </c>
      <c r="W10" s="1572">
        <f t="shared" si="2"/>
        <v>100</v>
      </c>
      <c r="X10" s="1573"/>
      <c r="Y10" s="3304"/>
      <c r="Z10" s="1152" t="str">
        <f t="shared" si="7"/>
        <v>土地使用年限（年）</v>
      </c>
      <c r="AA10" s="1574">
        <f t="shared" si="3"/>
        <v>1</v>
      </c>
      <c r="AB10" s="1574">
        <f t="shared" si="4"/>
        <v>1</v>
      </c>
      <c r="AC10" s="1574">
        <f t="shared" si="5"/>
        <v>1</v>
      </c>
    </row>
    <row r="11" spans="1:29" ht="15">
      <c r="A11" s="2953"/>
      <c r="B11" s="2957" t="s">
        <v>2768</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8"/>
      <c r="M11" s="2142"/>
      <c r="N11" s="2142"/>
      <c r="O11" s="2149"/>
      <c r="P11" s="3358"/>
      <c r="Q11" s="1153" t="str">
        <f t="shared" si="6"/>
        <v>容积率</v>
      </c>
      <c r="R11" s="1571" t="s">
        <v>11</v>
      </c>
      <c r="S11" s="1572" t="e">
        <f t="shared" si="0"/>
        <v>#N/A</v>
      </c>
      <c r="T11" s="1571" t="s">
        <v>11</v>
      </c>
      <c r="U11" s="1572" t="e">
        <f t="shared" si="1"/>
        <v>#N/A</v>
      </c>
      <c r="V11" s="1571" t="s">
        <v>11</v>
      </c>
      <c r="W11" s="1572" t="e">
        <f t="shared" si="2"/>
        <v>#N/A</v>
      </c>
      <c r="X11" s="1573"/>
      <c r="Y11" s="3304"/>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58"/>
      <c r="Q12" s="1153">
        <f t="shared" si="6"/>
        <v>111</v>
      </c>
      <c r="R12" s="1571" t="s">
        <v>11</v>
      </c>
      <c r="S12" s="1572">
        <f t="shared" si="0"/>
        <v>100</v>
      </c>
      <c r="T12" s="1571" t="s">
        <v>11</v>
      </c>
      <c r="U12" s="1572">
        <f t="shared" si="1"/>
        <v>100</v>
      </c>
      <c r="V12" s="1571" t="s">
        <v>11</v>
      </c>
      <c r="W12" s="1572">
        <f t="shared" si="2"/>
        <v>100</v>
      </c>
      <c r="X12" s="1573"/>
      <c r="Y12" s="3304"/>
      <c r="Z12" s="1152">
        <f t="shared" si="7"/>
        <v>111</v>
      </c>
      <c r="AA12" s="1574">
        <f>D12/F12</f>
        <v>1</v>
      </c>
      <c r="AB12" s="1574">
        <f>D12/H12</f>
        <v>1</v>
      </c>
      <c r="AC12" s="1574">
        <f>D12/J12</f>
        <v>1</v>
      </c>
    </row>
    <row r="13" spans="1:29" ht="15">
      <c r="A13" s="2954"/>
      <c r="B13" s="2960">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58"/>
      <c r="Q13" s="1153">
        <f t="shared" si="6"/>
        <v>111</v>
      </c>
      <c r="R13" s="1571" t="s">
        <v>11</v>
      </c>
      <c r="S13" s="1572">
        <f t="shared" si="0"/>
        <v>100</v>
      </c>
      <c r="T13" s="1571" t="s">
        <v>11</v>
      </c>
      <c r="U13" s="1572">
        <f t="shared" si="1"/>
        <v>100</v>
      </c>
      <c r="V13" s="1571" t="s">
        <v>11</v>
      </c>
      <c r="W13" s="1572">
        <f t="shared" si="2"/>
        <v>100</v>
      </c>
      <c r="X13" s="1573"/>
      <c r="Y13" s="3304"/>
      <c r="Z13" s="1152">
        <f t="shared" si="7"/>
        <v>111</v>
      </c>
      <c r="AA13" s="1574">
        <f t="shared" si="3"/>
        <v>1</v>
      </c>
      <c r="AB13" s="1574">
        <f t="shared" si="4"/>
        <v>1</v>
      </c>
      <c r="AC13" s="1574">
        <f t="shared" si="5"/>
        <v>1</v>
      </c>
    </row>
    <row r="14" spans="1:29" ht="15.75" thickBot="1">
      <c r="A14" s="2955"/>
      <c r="B14" s="2961">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58"/>
      <c r="Q14" s="1153">
        <f t="shared" si="6"/>
        <v>111</v>
      </c>
      <c r="R14" s="1571" t="s">
        <v>11</v>
      </c>
      <c r="S14" s="1572">
        <f t="shared" si="0"/>
        <v>100</v>
      </c>
      <c r="T14" s="1571" t="s">
        <v>11</v>
      </c>
      <c r="U14" s="1572">
        <f t="shared" si="1"/>
        <v>100</v>
      </c>
      <c r="V14" s="1571" t="s">
        <v>11</v>
      </c>
      <c r="W14" s="1572">
        <f t="shared" si="2"/>
        <v>100</v>
      </c>
      <c r="X14" s="1573"/>
      <c r="Y14" s="3304"/>
      <c r="Z14" s="1152">
        <f t="shared" si="7"/>
        <v>111</v>
      </c>
      <c r="AA14" s="1574">
        <f t="shared" si="3"/>
        <v>1</v>
      </c>
      <c r="AB14" s="1574">
        <f t="shared" si="4"/>
        <v>1</v>
      </c>
      <c r="AC14" s="1574">
        <f t="shared" si="5"/>
        <v>1</v>
      </c>
    </row>
    <row r="15" spans="1:29" ht="15">
      <c r="A15" s="2947" t="s">
        <v>2764</v>
      </c>
      <c r="B15" s="166" t="s">
        <v>295</v>
      </c>
      <c r="C15" s="870" t="str">
        <f>估价对象房地状况!C3</f>
        <v>一般</v>
      </c>
      <c r="D15" s="552">
        <v>100</v>
      </c>
      <c r="E15" s="553"/>
      <c r="F15" s="554">
        <f>SUMIF(76:76,E16,77:77)-SUMIF(76:76,C16,77:77)+100</f>
        <v>100</v>
      </c>
      <c r="G15" s="555"/>
      <c r="H15" s="552">
        <f>SUMIF(76:76,G16,77:77)-SUMIF(76:76,C16,77:77)+100</f>
        <v>100</v>
      </c>
      <c r="I15" s="553"/>
      <c r="J15" s="552">
        <f>SUMIF(76:76,I16,77:77)-SUMIF(76:76,C16,77:77)+100</f>
        <v>100</v>
      </c>
      <c r="K15" s="871"/>
      <c r="L15" s="2150"/>
      <c r="M15" s="2142"/>
      <c r="N15" s="2142"/>
      <c r="O15" s="2149"/>
      <c r="P15" s="3393" t="s">
        <v>541</v>
      </c>
      <c r="Q15" s="1575" t="str">
        <f t="shared" si="6"/>
        <v>居住社区成熟度</v>
      </c>
      <c r="R15" s="1576" t="s">
        <v>11</v>
      </c>
      <c r="S15" s="1577">
        <f t="shared" si="0"/>
        <v>100</v>
      </c>
      <c r="T15" s="1576" t="s">
        <v>11</v>
      </c>
      <c r="U15" s="1577">
        <f t="shared" si="1"/>
        <v>100</v>
      </c>
      <c r="V15" s="1576" t="s">
        <v>11</v>
      </c>
      <c r="W15" s="1577">
        <f t="shared" si="2"/>
        <v>100</v>
      </c>
      <c r="X15" s="1570"/>
      <c r="Y15" s="3393" t="s">
        <v>541</v>
      </c>
      <c r="Z15" s="1578" t="str">
        <f t="shared" si="7"/>
        <v>居住社区成熟度</v>
      </c>
      <c r="AA15" s="1579">
        <f t="shared" si="3"/>
        <v>1</v>
      </c>
      <c r="AB15" s="1579">
        <f t="shared" si="4"/>
        <v>1</v>
      </c>
      <c r="AC15" s="1579">
        <f t="shared" si="5"/>
        <v>1</v>
      </c>
    </row>
    <row r="16" spans="1:29" ht="15">
      <c r="A16" s="535"/>
      <c r="B16" s="872"/>
      <c r="C16" s="579"/>
      <c r="D16" s="558"/>
      <c r="E16" s="559"/>
      <c r="F16" s="560"/>
      <c r="G16" s="561"/>
      <c r="H16" s="562"/>
      <c r="I16" s="559"/>
      <c r="J16" s="558"/>
      <c r="K16" s="873"/>
      <c r="L16" s="2150"/>
      <c r="M16" s="2142"/>
      <c r="N16" s="2142"/>
      <c r="O16" s="2149"/>
      <c r="P16" s="3394"/>
      <c r="Q16" s="1575"/>
      <c r="R16" s="1576"/>
      <c r="S16" s="1577"/>
      <c r="T16" s="1576"/>
      <c r="U16" s="1577"/>
      <c r="V16" s="1576"/>
      <c r="W16" s="1577"/>
      <c r="X16" s="1570"/>
      <c r="Y16" s="3394"/>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871"/>
      <c r="L17" s="2150"/>
      <c r="M17" s="2142"/>
      <c r="N17" s="2142"/>
      <c r="O17" s="2149"/>
      <c r="P17" s="3394"/>
      <c r="Q17" s="1575" t="str">
        <f>B17</f>
        <v>交通便捷度</v>
      </c>
      <c r="R17" s="1576" t="s">
        <v>11</v>
      </c>
      <c r="S17" s="1577">
        <f>F17</f>
        <v>100</v>
      </c>
      <c r="T17" s="1576" t="s">
        <v>11</v>
      </c>
      <c r="U17" s="1577">
        <f>H17</f>
        <v>100</v>
      </c>
      <c r="V17" s="1576" t="s">
        <v>11</v>
      </c>
      <c r="W17" s="1577">
        <f>J17</f>
        <v>100</v>
      </c>
      <c r="X17" s="1570"/>
      <c r="Y17" s="3394"/>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873"/>
      <c r="L18" s="2150"/>
      <c r="M18" s="2142"/>
      <c r="N18" s="2142"/>
      <c r="O18" s="2149"/>
      <c r="P18" s="3394"/>
      <c r="Q18" s="1575"/>
      <c r="R18" s="1576"/>
      <c r="S18" s="1577"/>
      <c r="T18" s="1576"/>
      <c r="U18" s="1577"/>
      <c r="V18" s="1576"/>
      <c r="W18" s="1577"/>
      <c r="X18" s="1570"/>
      <c r="Y18" s="3394"/>
      <c r="Z18" s="1578"/>
      <c r="AA18" s="1579">
        <v>1</v>
      </c>
      <c r="AB18" s="1579">
        <v>1</v>
      </c>
      <c r="AC18" s="1579">
        <v>1</v>
      </c>
    </row>
    <row r="19" spans="1:29" ht="15">
      <c r="A19" s="535"/>
      <c r="B19" s="2633"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871"/>
      <c r="L19" s="2150"/>
      <c r="M19" s="2142"/>
      <c r="N19" s="2142"/>
      <c r="O19" s="2149"/>
      <c r="P19" s="3394"/>
      <c r="Q19" s="1575" t="str">
        <f>B19</f>
        <v>公共配套设施</v>
      </c>
      <c r="R19" s="1576" t="s">
        <v>11</v>
      </c>
      <c r="S19" s="1577">
        <f>F19</f>
        <v>100</v>
      </c>
      <c r="T19" s="1576" t="s">
        <v>11</v>
      </c>
      <c r="U19" s="1577">
        <f>H19</f>
        <v>100</v>
      </c>
      <c r="V19" s="1576" t="s">
        <v>11</v>
      </c>
      <c r="W19" s="1577">
        <f>J19</f>
        <v>100</v>
      </c>
      <c r="X19" s="1570"/>
      <c r="Y19" s="3394"/>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873"/>
      <c r="L20" s="2150"/>
      <c r="M20" s="2142"/>
      <c r="N20" s="2142"/>
      <c r="O20" s="2149"/>
      <c r="P20" s="3394"/>
      <c r="Q20" s="1575"/>
      <c r="R20" s="1576"/>
      <c r="S20" s="1577"/>
      <c r="T20" s="1576"/>
      <c r="U20" s="1577"/>
      <c r="V20" s="1576"/>
      <c r="W20" s="1577"/>
      <c r="X20" s="1570"/>
      <c r="Y20" s="3394"/>
      <c r="Z20" s="1578"/>
      <c r="AA20" s="1579">
        <v>1</v>
      </c>
      <c r="AB20" s="1579">
        <v>1</v>
      </c>
      <c r="AC20" s="1579">
        <v>1</v>
      </c>
    </row>
    <row r="21" spans="1:29" ht="15">
      <c r="A21" s="535"/>
      <c r="B21" s="2626"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c r="L21" s="2150"/>
      <c r="M21" s="2142"/>
      <c r="N21" s="2142"/>
      <c r="O21" s="2149"/>
      <c r="P21" s="3394"/>
      <c r="Q21" s="2612" t="str">
        <f>B21</f>
        <v>基础设施水平</v>
      </c>
      <c r="R21" s="1576" t="s">
        <v>11</v>
      </c>
      <c r="S21" s="1577">
        <f>F21</f>
        <v>100</v>
      </c>
      <c r="T21" s="1576" t="s">
        <v>11</v>
      </c>
      <c r="U21" s="1577">
        <f>H21</f>
        <v>100</v>
      </c>
      <c r="V21" s="1576" t="s">
        <v>11</v>
      </c>
      <c r="W21" s="1577">
        <f>J21</f>
        <v>100</v>
      </c>
      <c r="X21" s="2614"/>
      <c r="Y21" s="3394"/>
      <c r="Z21" s="2613"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2"/>
      <c r="L22" s="2150"/>
      <c r="M22" s="2142"/>
      <c r="N22" s="2142"/>
      <c r="O22" s="2149"/>
      <c r="P22" s="3394"/>
      <c r="Q22" s="2612"/>
      <c r="R22" s="1576"/>
      <c r="S22" s="1577"/>
      <c r="T22" s="1576"/>
      <c r="U22" s="1577"/>
      <c r="V22" s="1576"/>
      <c r="W22" s="1577"/>
      <c r="X22" s="2614"/>
      <c r="Y22" s="3394"/>
      <c r="Z22" s="2613"/>
      <c r="AA22" s="1579">
        <v>1</v>
      </c>
      <c r="AB22" s="1579">
        <v>1</v>
      </c>
      <c r="AC22" s="1579">
        <v>1</v>
      </c>
    </row>
    <row r="23" spans="1:29" ht="15">
      <c r="A23" s="535"/>
      <c r="B23" s="874" t="s">
        <v>297</v>
      </c>
      <c r="C23" s="875"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871"/>
      <c r="L23" s="2150"/>
      <c r="M23" s="2142"/>
      <c r="N23" s="2142"/>
      <c r="O23" s="2149"/>
      <c r="P23" s="3394"/>
      <c r="Q23" s="1575" t="str">
        <f>B23</f>
        <v>自然及人文环境</v>
      </c>
      <c r="R23" s="1576" t="s">
        <v>11</v>
      </c>
      <c r="S23" s="1577">
        <f>F23</f>
        <v>100</v>
      </c>
      <c r="T23" s="1576" t="s">
        <v>11</v>
      </c>
      <c r="U23" s="1577">
        <f>H23</f>
        <v>100</v>
      </c>
      <c r="V23" s="1576" t="s">
        <v>11</v>
      </c>
      <c r="W23" s="1577">
        <f>J23</f>
        <v>100</v>
      </c>
      <c r="X23" s="1570"/>
      <c r="Y23" s="3394"/>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873"/>
      <c r="L24" s="2150"/>
      <c r="M24" s="2142"/>
      <c r="N24" s="2142"/>
      <c r="O24" s="2149"/>
      <c r="P24" s="3394"/>
      <c r="Q24" s="1575"/>
      <c r="R24" s="1576"/>
      <c r="S24" s="1577"/>
      <c r="T24" s="1576"/>
      <c r="U24" s="1577"/>
      <c r="V24" s="1576"/>
      <c r="W24" s="1577"/>
      <c r="X24" s="1570"/>
      <c r="Y24" s="3394"/>
      <c r="Z24" s="1578"/>
      <c r="AA24" s="1579">
        <v>1</v>
      </c>
      <c r="AB24" s="1579">
        <v>1</v>
      </c>
      <c r="AC24" s="1579">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394"/>
      <c r="Q25" s="1575" t="str">
        <f t="shared" ref="Q25:Q46" si="11">B25</f>
        <v>楼层-1</v>
      </c>
      <c r="R25" s="1576" t="s">
        <v>11</v>
      </c>
      <c r="S25" s="1577">
        <f>F25</f>
        <v>100</v>
      </c>
      <c r="T25" s="1576" t="s">
        <v>11</v>
      </c>
      <c r="U25" s="1577">
        <f>H25</f>
        <v>100</v>
      </c>
      <c r="V25" s="1576" t="s">
        <v>11</v>
      </c>
      <c r="W25" s="1577">
        <f>J25</f>
        <v>100</v>
      </c>
      <c r="X25" s="1570"/>
      <c r="Y25" s="3394"/>
      <c r="Z25" s="1578" t="str">
        <f>Q25</f>
        <v>楼层-1</v>
      </c>
      <c r="AA25" s="1579">
        <f t="shared" si="3"/>
        <v>1</v>
      </c>
      <c r="AB25" s="1579">
        <f t="shared" si="4"/>
        <v>1</v>
      </c>
      <c r="AC25" s="1579">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394"/>
      <c r="Q26" s="1575" t="str">
        <f t="shared" si="11"/>
        <v>朝向</v>
      </c>
      <c r="R26" s="1576" t="s">
        <v>11</v>
      </c>
      <c r="S26" s="1577">
        <f>F26</f>
        <v>100</v>
      </c>
      <c r="T26" s="1576" t="s">
        <v>11</v>
      </c>
      <c r="U26" s="1577">
        <f>H26</f>
        <v>100</v>
      </c>
      <c r="V26" s="1576" t="s">
        <v>11</v>
      </c>
      <c r="W26" s="1577">
        <f>J26</f>
        <v>100</v>
      </c>
      <c r="X26" s="1570"/>
      <c r="Y26" s="3394"/>
      <c r="Z26" s="1578" t="str">
        <f>Q26</f>
        <v>朝向</v>
      </c>
      <c r="AA26" s="1579">
        <f t="shared" si="3"/>
        <v>1</v>
      </c>
      <c r="AB26" s="1579">
        <f t="shared" si="4"/>
        <v>1</v>
      </c>
      <c r="AC26" s="1579">
        <f t="shared" si="5"/>
        <v>1</v>
      </c>
    </row>
    <row r="27" spans="1:29" s="1222"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3"/>
      <c r="M27" s="2144"/>
      <c r="N27" s="2144"/>
      <c r="O27" s="2145"/>
      <c r="P27" s="3394"/>
      <c r="Q27" s="1153" t="str">
        <f t="shared" si="11"/>
        <v>道路级别</v>
      </c>
      <c r="R27" s="1571" t="s">
        <v>11</v>
      </c>
      <c r="S27" s="1572">
        <f>F27</f>
        <v>100</v>
      </c>
      <c r="T27" s="1571" t="s">
        <v>11</v>
      </c>
      <c r="U27" s="1572">
        <f>H27</f>
        <v>100</v>
      </c>
      <c r="V27" s="1571" t="s">
        <v>11</v>
      </c>
      <c r="W27" s="1572">
        <f>J27</f>
        <v>100</v>
      </c>
      <c r="X27" s="1573"/>
      <c r="Y27" s="3394"/>
      <c r="Z27" s="1152" t="str">
        <f>Q27</f>
        <v>道路级别</v>
      </c>
      <c r="AA27" s="1579">
        <f>D27/F27</f>
        <v>1</v>
      </c>
      <c r="AB27" s="1579">
        <f>D27/H27</f>
        <v>1</v>
      </c>
      <c r="AC27" s="1579">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394"/>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4"/>
      <c r="Z28" s="1578">
        <f t="shared" ref="Z28:Z46" si="15">Q28</f>
        <v>111</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394"/>
      <c r="Q29" s="1575">
        <f t="shared" si="11"/>
        <v>111</v>
      </c>
      <c r="R29" s="1576" t="s">
        <v>11</v>
      </c>
      <c r="S29" s="1577">
        <f t="shared" si="12"/>
        <v>100</v>
      </c>
      <c r="T29" s="1576" t="s">
        <v>11</v>
      </c>
      <c r="U29" s="1577">
        <f t="shared" si="13"/>
        <v>100</v>
      </c>
      <c r="V29" s="1576" t="s">
        <v>11</v>
      </c>
      <c r="W29" s="1577">
        <f t="shared" si="14"/>
        <v>100</v>
      </c>
      <c r="X29" s="1570"/>
      <c r="Y29" s="3394"/>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394"/>
      <c r="Q30" s="1575">
        <f t="shared" si="11"/>
        <v>111</v>
      </c>
      <c r="R30" s="1576" t="s">
        <v>11</v>
      </c>
      <c r="S30" s="1577">
        <f t="shared" si="12"/>
        <v>100</v>
      </c>
      <c r="T30" s="1576" t="s">
        <v>11</v>
      </c>
      <c r="U30" s="1577">
        <f t="shared" si="13"/>
        <v>100</v>
      </c>
      <c r="V30" s="1576" t="s">
        <v>11</v>
      </c>
      <c r="W30" s="1577">
        <f t="shared" si="14"/>
        <v>100</v>
      </c>
      <c r="X30" s="1570"/>
      <c r="Y30" s="3394"/>
      <c r="Z30" s="1578">
        <f t="shared" si="15"/>
        <v>111</v>
      </c>
      <c r="AA30" s="1579">
        <f t="shared" si="3"/>
        <v>1</v>
      </c>
      <c r="AB30" s="1579">
        <f t="shared" si="4"/>
        <v>1</v>
      </c>
      <c r="AC30" s="1579">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394"/>
      <c r="Q31" s="1575">
        <f t="shared" si="11"/>
        <v>111</v>
      </c>
      <c r="R31" s="1576" t="s">
        <v>11</v>
      </c>
      <c r="S31" s="1577">
        <f t="shared" si="12"/>
        <v>100</v>
      </c>
      <c r="T31" s="1576" t="s">
        <v>11</v>
      </c>
      <c r="U31" s="1577">
        <f t="shared" si="13"/>
        <v>100</v>
      </c>
      <c r="V31" s="1576" t="s">
        <v>11</v>
      </c>
      <c r="W31" s="1577">
        <f t="shared" si="14"/>
        <v>100</v>
      </c>
      <c r="X31" s="1570"/>
      <c r="Y31" s="3394"/>
      <c r="Z31" s="1578">
        <f t="shared" si="15"/>
        <v>111</v>
      </c>
      <c r="AA31" s="1579">
        <f t="shared" si="3"/>
        <v>1</v>
      </c>
      <c r="AB31" s="1579">
        <f t="shared" si="4"/>
        <v>1</v>
      </c>
      <c r="AC31" s="1579">
        <f t="shared" si="5"/>
        <v>1</v>
      </c>
    </row>
    <row r="32" spans="1:29" ht="15">
      <c r="A32" s="2944" t="s">
        <v>2765</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0"/>
      <c r="M32" s="2142"/>
      <c r="N32" s="2142"/>
      <c r="O32" s="2149"/>
      <c r="P32" s="3395" t="s">
        <v>551</v>
      </c>
      <c r="Q32" s="1575" t="str">
        <f t="shared" si="11"/>
        <v>建筑类型</v>
      </c>
      <c r="R32" s="1576" t="s">
        <v>11</v>
      </c>
      <c r="S32" s="1577">
        <f t="shared" si="12"/>
        <v>100</v>
      </c>
      <c r="T32" s="1576" t="s">
        <v>11</v>
      </c>
      <c r="U32" s="1577">
        <f t="shared" si="13"/>
        <v>100</v>
      </c>
      <c r="V32" s="1576" t="s">
        <v>11</v>
      </c>
      <c r="W32" s="1577">
        <f t="shared" si="14"/>
        <v>100</v>
      </c>
      <c r="X32" s="1570"/>
      <c r="Y32" s="3396" t="s">
        <v>551</v>
      </c>
      <c r="Z32" s="1578" t="str">
        <f t="shared" si="15"/>
        <v>建筑类型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8"/>
      <c r="M33" s="2179"/>
      <c r="N33" s="2179"/>
      <c r="O33" s="2151"/>
      <c r="P33" s="3396"/>
      <c r="Q33" s="1608" t="str">
        <f t="shared" si="11"/>
        <v>项目建筑规模</v>
      </c>
      <c r="R33" s="1580" t="s">
        <v>11</v>
      </c>
      <c r="S33" s="1581" t="e">
        <f t="shared" si="12"/>
        <v>#N/A</v>
      </c>
      <c r="T33" s="1580" t="s">
        <v>11</v>
      </c>
      <c r="U33" s="1581" t="e">
        <f t="shared" si="13"/>
        <v>#N/A</v>
      </c>
      <c r="V33" s="1580" t="s">
        <v>11</v>
      </c>
      <c r="W33" s="1581" t="e">
        <f t="shared" si="14"/>
        <v>#N/A</v>
      </c>
      <c r="X33" s="1582"/>
      <c r="Y33" s="3396"/>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0"/>
      <c r="M34" s="2142"/>
      <c r="N34" s="2142"/>
      <c r="O34" s="2149"/>
      <c r="P34" s="3396"/>
      <c r="Q34" s="1575" t="str">
        <f t="shared" si="11"/>
        <v>建筑结构</v>
      </c>
      <c r="R34" s="1576" t="s">
        <v>11</v>
      </c>
      <c r="S34" s="1577">
        <f t="shared" si="12"/>
        <v>100</v>
      </c>
      <c r="T34" s="1576" t="s">
        <v>11</v>
      </c>
      <c r="U34" s="1577">
        <f t="shared" si="13"/>
        <v>100</v>
      </c>
      <c r="V34" s="1576" t="s">
        <v>11</v>
      </c>
      <c r="W34" s="1577">
        <f t="shared" si="14"/>
        <v>100</v>
      </c>
      <c r="X34" s="1570"/>
      <c r="Y34" s="3396"/>
      <c r="Z34" s="1578" t="str">
        <f t="shared" si="15"/>
        <v>建筑结构</v>
      </c>
      <c r="AA34" s="1579">
        <f t="shared" si="3"/>
        <v>1</v>
      </c>
      <c r="AB34" s="1579">
        <f t="shared" si="4"/>
        <v>1</v>
      </c>
      <c r="AC34" s="1579">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0"/>
      <c r="M35" s="2142"/>
      <c r="N35" s="2142"/>
      <c r="O35" s="2149"/>
      <c r="P35" s="3396"/>
      <c r="Q35" s="1575" t="str">
        <f t="shared" si="11"/>
        <v>建筑品质</v>
      </c>
      <c r="R35" s="1576" t="s">
        <v>11</v>
      </c>
      <c r="S35" s="1577">
        <f t="shared" si="12"/>
        <v>100</v>
      </c>
      <c r="T35" s="1576" t="s">
        <v>11</v>
      </c>
      <c r="U35" s="1577">
        <f t="shared" si="13"/>
        <v>100</v>
      </c>
      <c r="V35" s="1576" t="s">
        <v>11</v>
      </c>
      <c r="W35" s="1577">
        <f t="shared" si="14"/>
        <v>100</v>
      </c>
      <c r="X35" s="1570"/>
      <c r="Y35" s="3396"/>
      <c r="Z35" s="1578" t="str">
        <f t="shared" si="15"/>
        <v>建筑品质</v>
      </c>
      <c r="AA35" s="1579">
        <f t="shared" si="3"/>
        <v>1</v>
      </c>
      <c r="AB35" s="1579">
        <f t="shared" si="4"/>
        <v>1</v>
      </c>
      <c r="AC35" s="1579">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0"/>
      <c r="M36" s="2142"/>
      <c r="N36" s="2142"/>
      <c r="O36" s="2149"/>
      <c r="P36" s="3396"/>
      <c r="Q36" s="1575" t="str">
        <f t="shared" si="11"/>
        <v>公共部分装修</v>
      </c>
      <c r="R36" s="1576" t="s">
        <v>11</v>
      </c>
      <c r="S36" s="1577">
        <f t="shared" si="12"/>
        <v>100</v>
      </c>
      <c r="T36" s="1576" t="s">
        <v>11</v>
      </c>
      <c r="U36" s="1577">
        <f t="shared" si="13"/>
        <v>100</v>
      </c>
      <c r="V36" s="1576" t="s">
        <v>11</v>
      </c>
      <c r="W36" s="1577">
        <f t="shared" si="14"/>
        <v>100</v>
      </c>
      <c r="X36" s="1570"/>
      <c r="Y36" s="3396"/>
      <c r="Z36" s="1578" t="str">
        <f t="shared" si="15"/>
        <v>公共部分装修</v>
      </c>
      <c r="AA36" s="1579">
        <f t="shared" si="3"/>
        <v>1</v>
      </c>
      <c r="AB36" s="1579">
        <f t="shared" si="4"/>
        <v>1</v>
      </c>
      <c r="AC36" s="1579">
        <f t="shared" si="5"/>
        <v>1</v>
      </c>
    </row>
    <row r="37" spans="1:29" s="1222"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3"/>
      <c r="M37" s="2144"/>
      <c r="N37" s="2144"/>
      <c r="O37" s="2145"/>
      <c r="P37" s="3396"/>
      <c r="Q37" s="1153" t="str">
        <f t="shared" si="11"/>
        <v>成新度</v>
      </c>
      <c r="R37" s="1571" t="s">
        <v>11</v>
      </c>
      <c r="S37" s="1572" t="e">
        <f t="shared" si="12"/>
        <v>#N/A</v>
      </c>
      <c r="T37" s="1571" t="s">
        <v>11</v>
      </c>
      <c r="U37" s="1572" t="e">
        <f t="shared" si="13"/>
        <v>#N/A</v>
      </c>
      <c r="V37" s="1571" t="s">
        <v>11</v>
      </c>
      <c r="W37" s="1572" t="e">
        <f t="shared" si="14"/>
        <v>#N/A</v>
      </c>
      <c r="X37" s="1573"/>
      <c r="Y37" s="3396"/>
      <c r="Z37" s="1152" t="str">
        <f t="shared" si="15"/>
        <v>成新度</v>
      </c>
      <c r="AA37" s="1574" t="e">
        <f t="shared" si="3"/>
        <v>#N/A</v>
      </c>
      <c r="AB37" s="1574" t="e">
        <f t="shared" si="4"/>
        <v>#N/A</v>
      </c>
      <c r="AC37" s="1574"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0"/>
      <c r="M38" s="2142"/>
      <c r="N38" s="2142"/>
      <c r="O38" s="2149"/>
      <c r="P38" s="3396" t="s">
        <v>551</v>
      </c>
      <c r="Q38" s="1575" t="str">
        <f t="shared" si="11"/>
        <v>物业管理</v>
      </c>
      <c r="R38" s="1576" t="s">
        <v>11</v>
      </c>
      <c r="S38" s="1577">
        <f t="shared" si="12"/>
        <v>100</v>
      </c>
      <c r="T38" s="1576" t="s">
        <v>11</v>
      </c>
      <c r="U38" s="1577">
        <f t="shared" si="13"/>
        <v>100</v>
      </c>
      <c r="V38" s="1576" t="s">
        <v>11</v>
      </c>
      <c r="W38" s="1577">
        <f t="shared" si="14"/>
        <v>100</v>
      </c>
      <c r="X38" s="1570"/>
      <c r="Y38" s="3396" t="s">
        <v>551</v>
      </c>
      <c r="Z38" s="1578" t="str">
        <f t="shared" si="15"/>
        <v>物业管理</v>
      </c>
      <c r="AA38" s="1579">
        <f t="shared" si="3"/>
        <v>1</v>
      </c>
      <c r="AB38" s="1579">
        <f t="shared" si="4"/>
        <v>1</v>
      </c>
      <c r="AC38" s="1579">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0"/>
      <c r="M39" s="2142"/>
      <c r="N39" s="2142"/>
      <c r="O39" s="2149"/>
      <c r="P39" s="3396"/>
      <c r="Q39" s="1575" t="str">
        <f t="shared" si="11"/>
        <v>市政基础设施</v>
      </c>
      <c r="R39" s="1576" t="s">
        <v>11</v>
      </c>
      <c r="S39" s="1577">
        <f t="shared" si="12"/>
        <v>100</v>
      </c>
      <c r="T39" s="1576" t="s">
        <v>11</v>
      </c>
      <c r="U39" s="1577">
        <f t="shared" si="13"/>
        <v>100</v>
      </c>
      <c r="V39" s="1576" t="s">
        <v>11</v>
      </c>
      <c r="W39" s="1577">
        <f t="shared" si="14"/>
        <v>100</v>
      </c>
      <c r="X39" s="1570"/>
      <c r="Y39" s="3396"/>
      <c r="Z39" s="1578" t="str">
        <f t="shared" si="15"/>
        <v>市政基础设施</v>
      </c>
      <c r="AA39" s="1579">
        <f t="shared" si="3"/>
        <v>1</v>
      </c>
      <c r="AB39" s="1579">
        <f t="shared" si="4"/>
        <v>1</v>
      </c>
      <c r="AC39" s="1579">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396"/>
      <c r="Q40" s="1575" t="str">
        <f t="shared" si="11"/>
        <v>房型</v>
      </c>
      <c r="R40" s="1576" t="s">
        <v>11</v>
      </c>
      <c r="S40" s="1577">
        <f t="shared" si="12"/>
        <v>100</v>
      </c>
      <c r="T40" s="1576" t="s">
        <v>11</v>
      </c>
      <c r="U40" s="1577">
        <f t="shared" si="13"/>
        <v>100</v>
      </c>
      <c r="V40" s="1576" t="s">
        <v>11</v>
      </c>
      <c r="W40" s="1577">
        <f t="shared" si="14"/>
        <v>100</v>
      </c>
      <c r="X40" s="1570"/>
      <c r="Y40" s="3396"/>
      <c r="Z40" s="1578" t="str">
        <f t="shared" si="15"/>
        <v>房型</v>
      </c>
      <c r="AA40" s="1579">
        <f t="shared" si="3"/>
        <v>1</v>
      </c>
      <c r="AB40" s="1579">
        <f t="shared" si="4"/>
        <v>1</v>
      </c>
      <c r="AC40" s="1579">
        <f t="shared" si="5"/>
        <v>1</v>
      </c>
    </row>
    <row r="41" spans="1:29" s="1341"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8"/>
      <c r="M41" s="2179"/>
      <c r="N41" s="2179"/>
      <c r="O41" s="2151"/>
      <c r="P41" s="3396"/>
      <c r="Q41" s="1608" t="str">
        <f t="shared" si="11"/>
        <v>单套/主力户型建筑面积</v>
      </c>
      <c r="R41" s="1580" t="s">
        <v>11</v>
      </c>
      <c r="S41" s="1581">
        <f t="shared" si="12"/>
        <v>100</v>
      </c>
      <c r="T41" s="1580" t="s">
        <v>11</v>
      </c>
      <c r="U41" s="1581">
        <f t="shared" si="13"/>
        <v>100</v>
      </c>
      <c r="V41" s="1580" t="s">
        <v>11</v>
      </c>
      <c r="W41" s="1581">
        <f t="shared" si="14"/>
        <v>100</v>
      </c>
      <c r="X41" s="1582"/>
      <c r="Y41" s="3396"/>
      <c r="Z41" s="1583" t="str">
        <f t="shared" si="15"/>
        <v>单套/主力户型建筑面积</v>
      </c>
      <c r="AA41" s="1579">
        <f t="shared" si="3"/>
        <v>1</v>
      </c>
      <c r="AB41" s="1579">
        <f t="shared" si="4"/>
        <v>1</v>
      </c>
      <c r="AC41" s="1579">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0"/>
      <c r="M42" s="2142"/>
      <c r="N42" s="2142"/>
      <c r="O42" s="2149"/>
      <c r="P42" s="3396"/>
      <c r="Q42" s="1575" t="str">
        <f t="shared" si="11"/>
        <v>内部装修</v>
      </c>
      <c r="R42" s="1576" t="s">
        <v>11</v>
      </c>
      <c r="S42" s="1577">
        <f t="shared" si="12"/>
        <v>100</v>
      </c>
      <c r="T42" s="1576" t="s">
        <v>11</v>
      </c>
      <c r="U42" s="1577">
        <f t="shared" si="13"/>
        <v>100</v>
      </c>
      <c r="V42" s="1576" t="s">
        <v>11</v>
      </c>
      <c r="W42" s="1577">
        <f t="shared" si="14"/>
        <v>100</v>
      </c>
      <c r="X42" s="1570"/>
      <c r="Y42" s="3396"/>
      <c r="Z42" s="1578" t="str">
        <f t="shared" si="15"/>
        <v>内部装修</v>
      </c>
      <c r="AA42" s="1579">
        <f t="shared" si="3"/>
        <v>1</v>
      </c>
      <c r="AB42" s="1579">
        <f t="shared" si="4"/>
        <v>1</v>
      </c>
      <c r="AC42" s="1579">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0"/>
      <c r="M43" s="2142"/>
      <c r="N43" s="2142"/>
      <c r="O43" s="2149"/>
      <c r="P43" s="3396"/>
      <c r="Q43" s="1575" t="str">
        <f t="shared" si="11"/>
        <v>内部装修维护情况</v>
      </c>
      <c r="R43" s="1576" t="s">
        <v>11</v>
      </c>
      <c r="S43" s="1577">
        <f t="shared" si="12"/>
        <v>100</v>
      </c>
      <c r="T43" s="1576" t="s">
        <v>11</v>
      </c>
      <c r="U43" s="1577">
        <f t="shared" si="13"/>
        <v>100</v>
      </c>
      <c r="V43" s="1576" t="s">
        <v>11</v>
      </c>
      <c r="W43" s="1577">
        <f t="shared" si="14"/>
        <v>100</v>
      </c>
      <c r="X43" s="1570"/>
      <c r="Y43" s="3396"/>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3"/>
      <c r="M44" s="2144"/>
      <c r="N44" s="2144"/>
      <c r="O44" s="2145"/>
      <c r="P44" s="3396"/>
      <c r="Q44" s="1153">
        <f t="shared" si="11"/>
        <v>111</v>
      </c>
      <c r="R44" s="1571" t="s">
        <v>11</v>
      </c>
      <c r="S44" s="1572">
        <f t="shared" si="12"/>
        <v>100</v>
      </c>
      <c r="T44" s="1571" t="s">
        <v>11</v>
      </c>
      <c r="U44" s="1572">
        <f t="shared" si="13"/>
        <v>100</v>
      </c>
      <c r="V44" s="1571" t="s">
        <v>11</v>
      </c>
      <c r="W44" s="1572">
        <f t="shared" si="14"/>
        <v>100</v>
      </c>
      <c r="X44" s="1573"/>
      <c r="Y44" s="3396"/>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396"/>
      <c r="Q45" s="1575">
        <f t="shared" si="11"/>
        <v>111</v>
      </c>
      <c r="R45" s="1576" t="s">
        <v>11</v>
      </c>
      <c r="S45" s="1577">
        <f t="shared" si="12"/>
        <v>100</v>
      </c>
      <c r="T45" s="1576" t="s">
        <v>11</v>
      </c>
      <c r="U45" s="1577">
        <f t="shared" si="13"/>
        <v>100</v>
      </c>
      <c r="V45" s="1576" t="s">
        <v>11</v>
      </c>
      <c r="W45" s="1577">
        <f t="shared" si="14"/>
        <v>100</v>
      </c>
      <c r="X45" s="1570"/>
      <c r="Y45" s="3396"/>
      <c r="Z45" s="1578">
        <f t="shared" si="15"/>
        <v>111</v>
      </c>
      <c r="AA45" s="1579">
        <f t="shared" si="3"/>
        <v>1</v>
      </c>
      <c r="AB45" s="1579">
        <f t="shared" si="4"/>
        <v>1</v>
      </c>
      <c r="AC45" s="1579">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471"/>
      <c r="Q46" s="1575">
        <f t="shared" si="11"/>
        <v>111</v>
      </c>
      <c r="R46" s="1576" t="s">
        <v>10</v>
      </c>
      <c r="S46" s="1577">
        <f t="shared" si="12"/>
        <v>100</v>
      </c>
      <c r="T46" s="1576" t="s">
        <v>10</v>
      </c>
      <c r="U46" s="1577">
        <f t="shared" si="13"/>
        <v>100</v>
      </c>
      <c r="V46" s="1576" t="s">
        <v>10</v>
      </c>
      <c r="W46" s="1577">
        <f t="shared" si="14"/>
        <v>100</v>
      </c>
      <c r="X46" s="1570"/>
      <c r="Y46" s="3471"/>
      <c r="Z46" s="1578">
        <f t="shared" si="15"/>
        <v>111</v>
      </c>
      <c r="AA46" s="1579">
        <f t="shared" si="3"/>
        <v>1</v>
      </c>
      <c r="AB46" s="1579">
        <f t="shared" si="4"/>
        <v>1</v>
      </c>
      <c r="AC46" s="1579">
        <f t="shared" si="5"/>
        <v>1</v>
      </c>
    </row>
    <row r="47" spans="1:29" ht="15">
      <c r="A47" s="610" t="s">
        <v>739</v>
      </c>
      <c r="B47" s="890"/>
      <c r="C47" s="2660" t="s">
        <v>9</v>
      </c>
      <c r="D47" s="2661"/>
      <c r="E47" s="2662"/>
      <c r="F47" s="2663"/>
      <c r="G47" s="2664"/>
      <c r="H47" s="2665"/>
      <c r="I47" s="2662"/>
      <c r="J47" s="2665"/>
      <c r="K47" s="1609"/>
      <c r="L47" s="2152"/>
      <c r="M47" s="2153"/>
      <c r="N47" s="2142"/>
      <c r="O47" s="2153"/>
      <c r="P47" s="3358" t="str">
        <f>A47</f>
        <v>成交单价（元/平方米）</v>
      </c>
      <c r="Q47" s="3358"/>
      <c r="R47" s="3470">
        <f>E47</f>
        <v>0</v>
      </c>
      <c r="S47" s="3470"/>
      <c r="T47" s="3470">
        <f>G47</f>
        <v>0</v>
      </c>
      <c r="U47" s="3470"/>
      <c r="V47" s="3470">
        <f>I47</f>
        <v>0</v>
      </c>
      <c r="W47" s="3470"/>
      <c r="X47" s="1562"/>
      <c r="Y47" s="1584"/>
      <c r="Z47" s="1562"/>
      <c r="AA47" s="1562"/>
      <c r="AB47" s="1562"/>
      <c r="AC47" s="1562"/>
    </row>
    <row r="48" spans="1:29" ht="15.75" thickBot="1">
      <c r="A48" s="618" t="s">
        <v>2770</v>
      </c>
      <c r="B48" s="891"/>
      <c r="C48" s="2666" t="e">
        <f>R49</f>
        <v>#DIV/0!</v>
      </c>
      <c r="D48" s="2667"/>
      <c r="E48" s="2668" t="e">
        <f>R48</f>
        <v>#DIV/0!</v>
      </c>
      <c r="F48" s="2668"/>
      <c r="G48" s="2666" t="e">
        <f>T48</f>
        <v>#DIV/0!</v>
      </c>
      <c r="H48" s="2667"/>
      <c r="I48" s="2668" t="e">
        <f>V48</f>
        <v>#DIV/0!</v>
      </c>
      <c r="J48" s="2667"/>
      <c r="K48" s="1610"/>
      <c r="L48" s="2152"/>
      <c r="M48" s="2153"/>
      <c r="N48" s="2153"/>
      <c r="O48" s="2153"/>
      <c r="P48" s="3358" t="str">
        <f>A48</f>
        <v>比较价格（元/平方米）</v>
      </c>
      <c r="Q48" s="3358"/>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2"/>
      <c r="Y48" s="1562"/>
      <c r="Z48" s="1562"/>
      <c r="AA48" s="1562"/>
      <c r="AB48" s="1562"/>
      <c r="AC48" s="1562"/>
    </row>
    <row r="49" spans="1:29" ht="15.75" thickBot="1">
      <c r="A49" s="624" t="s">
        <v>2936</v>
      </c>
      <c r="B49" s="625"/>
      <c r="C49" s="2669" t="e">
        <f>R49</f>
        <v>#DIV/0!</v>
      </c>
      <c r="D49" s="2669"/>
      <c r="E49" s="2669"/>
      <c r="F49" s="2669"/>
      <c r="G49" s="2669"/>
      <c r="H49" s="2669"/>
      <c r="I49" s="2669"/>
      <c r="J49" s="2669"/>
      <c r="K49" s="1611"/>
      <c r="L49" s="2152"/>
      <c r="M49" s="2153"/>
      <c r="N49" s="2153"/>
      <c r="O49" s="2153"/>
      <c r="P49" s="3355" t="str">
        <f>A49</f>
        <v>估价对象XX用房的比较价格（楼面单价，元/平方米）</v>
      </c>
      <c r="Q49" s="3356"/>
      <c r="R49" s="3469" t="e">
        <f>IF(F1="售价",ROUND(AVERAGE(R48:V48),0),ROUND(AVERAGE(R48:V48),1))</f>
        <v>#DIV/0!</v>
      </c>
      <c r="S49" s="3469"/>
      <c r="T49" s="3469"/>
      <c r="U49" s="3469"/>
      <c r="V49" s="3469"/>
      <c r="W49" s="3469"/>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41"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3"/>
      <c r="N59" s="653"/>
      <c r="O59" s="653"/>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1900" t="s">
        <v>2261</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
        <v>749</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道路级别</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695"/>
      <c r="D91" s="695"/>
      <c r="E91" s="695"/>
      <c r="F91" s="695"/>
      <c r="G91" s="695"/>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750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753</v>
      </c>
      <c r="C107" s="721"/>
      <c r="D107" s="721"/>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754</v>
      </c>
      <c r="C109" s="691"/>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4"/>
      <c r="O110" s="2174"/>
      <c r="P110" s="2173"/>
      <c r="Q110" s="2166"/>
      <c r="R110" s="2153"/>
      <c r="S110" s="2153"/>
      <c r="T110" s="2153"/>
      <c r="U110" s="2153"/>
      <c r="V110" s="2153"/>
      <c r="W110" s="2153"/>
      <c r="X110" s="2153"/>
      <c r="Y110" s="2153"/>
      <c r="Z110" s="2153"/>
      <c r="AA110" s="2153"/>
      <c r="AB110" s="2153"/>
      <c r="AC110" s="2153"/>
    </row>
    <row r="111" spans="1:29" s="1341"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1"/>
      <c r="B112" s="684"/>
      <c r="C112" s="897">
        <v>0.5</v>
      </c>
      <c r="D112" s="897">
        <v>0.6</v>
      </c>
      <c r="E112" s="897">
        <v>0.7</v>
      </c>
      <c r="F112" s="897">
        <v>0.8</v>
      </c>
      <c r="G112" s="897">
        <v>0.9</v>
      </c>
      <c r="H112" s="897">
        <v>1.0001</v>
      </c>
      <c r="I112" s="897"/>
      <c r="J112" s="898"/>
      <c r="K112" s="898"/>
      <c r="L112" s="899"/>
      <c r="M112" s="900"/>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2563</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757</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1"/>
      <c r="B120" s="676" t="s">
        <v>736</v>
      </c>
      <c r="C120" s="691"/>
      <c r="D120" s="691"/>
      <c r="E120" s="691"/>
      <c r="F120" s="691"/>
      <c r="G120" s="691"/>
      <c r="H120" s="691"/>
      <c r="I120" s="691"/>
      <c r="J120" s="691"/>
      <c r="K120" s="691"/>
      <c r="L120" s="893"/>
      <c r="M120" s="8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695"/>
      <c r="D121" s="674"/>
      <c r="E121" s="674"/>
      <c r="F121" s="674"/>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2262</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2263</v>
      </c>
      <c r="C137" s="1923"/>
      <c r="D137" s="1923"/>
      <c r="E137" s="1923"/>
      <c r="F137" s="1923"/>
      <c r="G137" s="1924"/>
      <c r="H137" s="1925"/>
      <c r="I137" s="1926" t="s">
        <v>2264</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2265</v>
      </c>
      <c r="D138" s="1929" t="s">
        <v>2266</v>
      </c>
      <c r="E138" s="1930" t="s">
        <v>2267</v>
      </c>
      <c r="F138" s="1931" t="s">
        <v>2268</v>
      </c>
      <c r="G138" s="1929" t="s">
        <v>2269</v>
      </c>
      <c r="H138" s="1932" t="s">
        <v>2270</v>
      </c>
      <c r="I138" s="1933"/>
      <c r="J138" s="1929" t="s">
        <v>2271</v>
      </c>
      <c r="K138" s="1932" t="s">
        <v>2272</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2273</v>
      </c>
      <c r="E139" s="1903">
        <v>100</v>
      </c>
      <c r="F139" s="1904">
        <v>102.5</v>
      </c>
      <c r="G139" s="1934" t="s">
        <v>2274</v>
      </c>
      <c r="H139" s="1905">
        <v>105</v>
      </c>
      <c r="I139" s="1935" t="s">
        <v>2275</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2276</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2277</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2278</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2279</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2280</v>
      </c>
      <c r="E144" s="1909">
        <v>102</v>
      </c>
      <c r="F144" s="1915">
        <v>100</v>
      </c>
      <c r="G144" s="1938" t="s">
        <v>2280</v>
      </c>
      <c r="H144" s="1911">
        <v>105</v>
      </c>
      <c r="I144" s="1937" t="s">
        <v>2279</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2291</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2292</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760</v>
      </c>
      <c r="C1" s="507" t="s">
        <v>723</v>
      </c>
      <c r="D1" s="2378"/>
      <c r="E1" s="509"/>
      <c r="F1" s="2844"/>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725</v>
      </c>
      <c r="D3" s="854">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1"/>
    </row>
    <row r="4" spans="1:29" ht="15">
      <c r="A4" s="515" t="s">
        <v>522</v>
      </c>
      <c r="B4" s="516"/>
      <c r="C4" s="3364" t="s">
        <v>523</v>
      </c>
      <c r="D4" s="3365"/>
      <c r="E4" s="3399" t="s">
        <v>524</v>
      </c>
      <c r="F4" s="3400"/>
      <c r="G4" s="3364" t="s">
        <v>525</v>
      </c>
      <c r="H4" s="3365"/>
      <c r="I4" s="3364" t="s">
        <v>526</v>
      </c>
      <c r="J4" s="3365"/>
      <c r="K4" s="517" t="s">
        <v>527</v>
      </c>
      <c r="L4" s="2141"/>
      <c r="M4" s="2142"/>
      <c r="N4" s="2142"/>
      <c r="O4" s="2142"/>
      <c r="P4" s="3366" t="s">
        <v>528</v>
      </c>
      <c r="Q4" s="3367"/>
      <c r="R4" s="3372" t="s">
        <v>524</v>
      </c>
      <c r="S4" s="3373"/>
      <c r="T4" s="3372" t="s">
        <v>525</v>
      </c>
      <c r="U4" s="3373"/>
      <c r="V4" s="3359" t="s">
        <v>526</v>
      </c>
      <c r="W4" s="3359"/>
      <c r="X4" s="1570"/>
      <c r="Y4" s="3372" t="s">
        <v>528</v>
      </c>
      <c r="Z4" s="3373"/>
      <c r="AA4" s="3361" t="s">
        <v>524</v>
      </c>
      <c r="AB4" s="3359" t="s">
        <v>525</v>
      </c>
      <c r="AC4" s="3361" t="s">
        <v>526</v>
      </c>
    </row>
    <row r="5" spans="1:29" ht="15">
      <c r="A5" s="518"/>
      <c r="B5" s="519"/>
      <c r="C5" s="3382" t="s">
        <v>2930</v>
      </c>
      <c r="D5" s="3381"/>
      <c r="E5" s="3401" t="s">
        <v>2931</v>
      </c>
      <c r="F5" s="3402"/>
      <c r="G5" s="3382" t="s">
        <v>2932</v>
      </c>
      <c r="H5" s="3381"/>
      <c r="I5" s="3382" t="s">
        <v>2933</v>
      </c>
      <c r="J5" s="3381"/>
      <c r="K5" s="517"/>
      <c r="L5" s="2141"/>
      <c r="M5" s="2142"/>
      <c r="N5" s="2142"/>
      <c r="O5" s="2142"/>
      <c r="P5" s="3368"/>
      <c r="Q5" s="3369"/>
      <c r="R5" s="3374"/>
      <c r="S5" s="3375"/>
      <c r="T5" s="3374"/>
      <c r="U5" s="3375"/>
      <c r="V5" s="3359"/>
      <c r="W5" s="3359"/>
      <c r="X5" s="1570"/>
      <c r="Y5" s="3374"/>
      <c r="Z5" s="3375"/>
      <c r="AA5" s="3362"/>
      <c r="AB5" s="3359"/>
      <c r="AC5" s="3362"/>
    </row>
    <row r="6" spans="1:29" ht="15.75" thickBot="1">
      <c r="A6" s="520"/>
      <c r="B6" s="521"/>
      <c r="C6" s="3378" t="s">
        <v>2934</v>
      </c>
      <c r="D6" s="3379"/>
      <c r="E6" s="3397" t="s">
        <v>2934</v>
      </c>
      <c r="F6" s="3398"/>
      <c r="G6" s="3378" t="s">
        <v>2934</v>
      </c>
      <c r="H6" s="3379"/>
      <c r="I6" s="3378" t="s">
        <v>2934</v>
      </c>
      <c r="J6" s="3379"/>
      <c r="K6" s="517" t="s">
        <v>529</v>
      </c>
      <c r="L6" s="2141"/>
      <c r="M6" s="2142"/>
      <c r="N6" s="2142"/>
      <c r="O6" s="2142"/>
      <c r="P6" s="3370"/>
      <c r="Q6" s="3371"/>
      <c r="R6" s="3374"/>
      <c r="S6" s="3375"/>
      <c r="T6" s="3376"/>
      <c r="U6" s="3377"/>
      <c r="V6" s="3359"/>
      <c r="W6" s="3359"/>
      <c r="X6" s="1570"/>
      <c r="Y6" s="3376"/>
      <c r="Z6" s="3377"/>
      <c r="AA6" s="3363"/>
      <c r="AB6" s="3359"/>
      <c r="AC6" s="3363"/>
    </row>
    <row r="7" spans="1:29" s="1222" customFormat="1" ht="15.75" thickBot="1">
      <c r="A7" s="2949"/>
      <c r="B7" s="2956" t="s">
        <v>530</v>
      </c>
      <c r="C7" s="522">
        <f>'数据-取费表'!B2</f>
        <v>42997</v>
      </c>
      <c r="D7" s="523">
        <v>100</v>
      </c>
      <c r="E7" s="524"/>
      <c r="F7" s="525">
        <f>SUMIF(58:58,YEAR(E7)&amp;"-"&amp;MONTH(E7),59:59)</f>
        <v>0</v>
      </c>
      <c r="G7" s="524"/>
      <c r="H7" s="523">
        <f>SUMIF(58:58,YEAR(G7)&amp;"-"&amp;MONTH(G7),59:59)</f>
        <v>0</v>
      </c>
      <c r="I7" s="524"/>
      <c r="J7" s="523">
        <f>SUMIF(58:58,YEAR(I7)&amp;"-"&amp;MONTH(I7),59:59)</f>
        <v>0</v>
      </c>
      <c r="K7" s="527"/>
      <c r="L7" s="2143"/>
      <c r="M7" s="2144"/>
      <c r="N7" s="2144"/>
      <c r="O7" s="2144"/>
      <c r="P7" s="3390" t="s">
        <v>531</v>
      </c>
      <c r="Q7" s="3392"/>
      <c r="R7" s="1571" t="s">
        <v>8</v>
      </c>
      <c r="S7" s="1572">
        <f t="shared" ref="S7:S15" si="0">F7</f>
        <v>0</v>
      </c>
      <c r="T7" s="1571" t="s">
        <v>8</v>
      </c>
      <c r="U7" s="1572">
        <f t="shared" ref="U7:U15" si="1">H7</f>
        <v>0</v>
      </c>
      <c r="V7" s="1571" t="s">
        <v>8</v>
      </c>
      <c r="W7" s="1572">
        <f t="shared" ref="W7:W15" si="2">J7</f>
        <v>0</v>
      </c>
      <c r="X7" s="1573"/>
      <c r="Y7" s="3390" t="s">
        <v>531</v>
      </c>
      <c r="Z7" s="3391"/>
      <c r="AA7" s="1574" t="e">
        <f>D7/F7</f>
        <v>#DIV/0!</v>
      </c>
      <c r="AB7" s="1574" t="e">
        <f>D7/H7</f>
        <v>#DIV/0!</v>
      </c>
      <c r="AC7" s="1574" t="e">
        <f>D7/J7</f>
        <v>#DIV/0!</v>
      </c>
    </row>
    <row r="8" spans="1:29" s="1222" customFormat="1" ht="15.75" thickBot="1">
      <c r="A8" s="2950"/>
      <c r="B8" s="2957" t="s">
        <v>532</v>
      </c>
      <c r="C8" s="528" t="s">
        <v>577</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390" t="s">
        <v>534</v>
      </c>
      <c r="Q8" s="3391"/>
      <c r="R8" s="1571" t="s">
        <v>8</v>
      </c>
      <c r="S8" s="1572">
        <f t="shared" si="0"/>
        <v>0</v>
      </c>
      <c r="T8" s="1571" t="s">
        <v>8</v>
      </c>
      <c r="U8" s="1572">
        <f t="shared" si="1"/>
        <v>0</v>
      </c>
      <c r="V8" s="1571" t="s">
        <v>8</v>
      </c>
      <c r="W8" s="1572">
        <f t="shared" si="2"/>
        <v>0</v>
      </c>
      <c r="X8" s="1573"/>
      <c r="Y8" s="3390" t="s">
        <v>534</v>
      </c>
      <c r="Z8" s="3391"/>
      <c r="AA8" s="1574" t="e">
        <f t="shared" ref="AA8:AA46" si="3">D8/F8</f>
        <v>#DIV/0!</v>
      </c>
      <c r="AB8" s="1574" t="e">
        <f t="shared" ref="AB8:AB46" si="4">D8/H8</f>
        <v>#DIV/0!</v>
      </c>
      <c r="AC8" s="1574" t="e">
        <f t="shared" ref="AC8:AC46" si="5">D8/J8</f>
        <v>#DIV/0!</v>
      </c>
    </row>
    <row r="9" spans="1:29" s="1222" customFormat="1" ht="15">
      <c r="A9" s="2951"/>
      <c r="B9" s="2958" t="s">
        <v>2766</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58" t="s">
        <v>536</v>
      </c>
      <c r="Q9" s="1153" t="str">
        <f t="shared" ref="Q9:Q15" si="6">B9</f>
        <v>用途</v>
      </c>
      <c r="R9" s="1571" t="s">
        <v>8</v>
      </c>
      <c r="S9" s="1572">
        <f t="shared" si="0"/>
        <v>100</v>
      </c>
      <c r="T9" s="1571" t="s">
        <v>8</v>
      </c>
      <c r="U9" s="1572">
        <f t="shared" si="1"/>
        <v>100</v>
      </c>
      <c r="V9" s="1571" t="s">
        <v>8</v>
      </c>
      <c r="W9" s="1572">
        <f t="shared" si="2"/>
        <v>100</v>
      </c>
      <c r="X9" s="1573"/>
      <c r="Y9" s="3304"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58"/>
      <c r="Q10" s="1153" t="str">
        <f t="shared" si="6"/>
        <v>土地使用年限（年）</v>
      </c>
      <c r="R10" s="1571" t="s">
        <v>8</v>
      </c>
      <c r="S10" s="1572">
        <f t="shared" si="0"/>
        <v>100</v>
      </c>
      <c r="T10" s="1571" t="s">
        <v>8</v>
      </c>
      <c r="U10" s="1572">
        <f t="shared" si="1"/>
        <v>100</v>
      </c>
      <c r="V10" s="1571" t="s">
        <v>8</v>
      </c>
      <c r="W10" s="1572">
        <f t="shared" si="2"/>
        <v>100</v>
      </c>
      <c r="X10" s="1573"/>
      <c r="Y10" s="3304"/>
      <c r="Z10" s="1152" t="str">
        <f t="shared" si="7"/>
        <v>土地使用年限（年）</v>
      </c>
      <c r="AA10" s="1574">
        <f t="shared" si="3"/>
        <v>1</v>
      </c>
      <c r="AB10" s="1574">
        <f t="shared" si="4"/>
        <v>1</v>
      </c>
      <c r="AC10" s="1574">
        <f t="shared" si="5"/>
        <v>1</v>
      </c>
    </row>
    <row r="11" spans="1:29" ht="15">
      <c r="A11" s="2953"/>
      <c r="B11" s="2957"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58"/>
      <c r="Q11" s="1153" t="str">
        <f t="shared" si="6"/>
        <v>容积率</v>
      </c>
      <c r="R11" s="1571" t="s">
        <v>8</v>
      </c>
      <c r="S11" s="1572" t="e">
        <f t="shared" si="0"/>
        <v>#N/A</v>
      </c>
      <c r="T11" s="1571" t="s">
        <v>8</v>
      </c>
      <c r="U11" s="1572" t="e">
        <f t="shared" si="1"/>
        <v>#N/A</v>
      </c>
      <c r="V11" s="1571" t="s">
        <v>8</v>
      </c>
      <c r="W11" s="1572" t="e">
        <f t="shared" si="2"/>
        <v>#N/A</v>
      </c>
      <c r="X11" s="1573"/>
      <c r="Y11" s="3304"/>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42"/>
      <c r="F12" s="255">
        <f>SUMIF(70:70,E12,71:71)-SUMIF(70:70,C12,71:71)+100</f>
        <v>100</v>
      </c>
      <c r="G12" s="915"/>
      <c r="H12" s="255">
        <f>SUMIF(70:70,G12,71:71)-SUMIF(70:70,C12,71:71)+100</f>
        <v>100</v>
      </c>
      <c r="I12" s="542"/>
      <c r="J12" s="255">
        <f>SUMIF(70:70,I12,71:71)-SUMIF(70:70,C12,71:71)+100</f>
        <v>100</v>
      </c>
      <c r="K12" s="584"/>
      <c r="L12" s="2143"/>
      <c r="M12" s="2144"/>
      <c r="N12" s="2144"/>
      <c r="O12" s="2145"/>
      <c r="P12" s="3358"/>
      <c r="Q12" s="1153">
        <f t="shared" si="6"/>
        <v>111</v>
      </c>
      <c r="R12" s="1571" t="s">
        <v>8</v>
      </c>
      <c r="S12" s="1572">
        <f t="shared" si="0"/>
        <v>100</v>
      </c>
      <c r="T12" s="1571" t="s">
        <v>8</v>
      </c>
      <c r="U12" s="1572">
        <f t="shared" si="1"/>
        <v>100</v>
      </c>
      <c r="V12" s="1571" t="s">
        <v>8</v>
      </c>
      <c r="W12" s="1572">
        <f t="shared" si="2"/>
        <v>100</v>
      </c>
      <c r="X12" s="1573"/>
      <c r="Y12" s="3304"/>
      <c r="Z12" s="1152">
        <f t="shared" si="7"/>
        <v>111</v>
      </c>
      <c r="AA12" s="1574">
        <f>D12/F12</f>
        <v>1</v>
      </c>
      <c r="AB12" s="1574">
        <f>D12/H12</f>
        <v>1</v>
      </c>
      <c r="AC12" s="1574">
        <f>D12/J12</f>
        <v>1</v>
      </c>
    </row>
    <row r="13" spans="1:29" ht="15">
      <c r="A13" s="2954"/>
      <c r="B13" s="2960">
        <v>111</v>
      </c>
      <c r="C13" s="542"/>
      <c r="D13" s="543">
        <v>100</v>
      </c>
      <c r="E13" s="542"/>
      <c r="F13" s="255">
        <f>SUMIF(72:72,E13,73:73)-SUMIF(72:72,C13,73:73)+100</f>
        <v>100</v>
      </c>
      <c r="G13" s="915"/>
      <c r="H13" s="543">
        <f>SUMIF(72:72,G13,73:73)-SUMIF(72:72,C13,73:73)+100</f>
        <v>100</v>
      </c>
      <c r="I13" s="542"/>
      <c r="J13" s="543">
        <f>SUMIF(72:72,I13,73:73)-SUMIF(72:72,C13,73:73)+100</f>
        <v>100</v>
      </c>
      <c r="K13" s="584"/>
      <c r="L13" s="2150"/>
      <c r="M13" s="2142"/>
      <c r="N13" s="2142"/>
      <c r="O13" s="2149"/>
      <c r="P13" s="3358"/>
      <c r="Q13" s="1153">
        <f t="shared" si="6"/>
        <v>111</v>
      </c>
      <c r="R13" s="1571" t="s">
        <v>8</v>
      </c>
      <c r="S13" s="1572">
        <f t="shared" si="0"/>
        <v>100</v>
      </c>
      <c r="T13" s="1571" t="s">
        <v>8</v>
      </c>
      <c r="U13" s="1572">
        <f t="shared" si="1"/>
        <v>100</v>
      </c>
      <c r="V13" s="1571" t="s">
        <v>8</v>
      </c>
      <c r="W13" s="1572">
        <f t="shared" si="2"/>
        <v>100</v>
      </c>
      <c r="X13" s="1573"/>
      <c r="Y13" s="3304"/>
      <c r="Z13" s="1152">
        <f t="shared" si="7"/>
        <v>111</v>
      </c>
      <c r="AA13" s="1574">
        <f t="shared" si="3"/>
        <v>1</v>
      </c>
      <c r="AB13" s="1574">
        <f t="shared" si="4"/>
        <v>1</v>
      </c>
      <c r="AC13" s="1574">
        <f t="shared" si="5"/>
        <v>1</v>
      </c>
    </row>
    <row r="14" spans="1:29" ht="15.75" thickBot="1">
      <c r="A14" s="2955"/>
      <c r="B14" s="2961">
        <v>111</v>
      </c>
      <c r="C14" s="548"/>
      <c r="D14" s="549">
        <v>100</v>
      </c>
      <c r="E14" s="548"/>
      <c r="F14" s="549">
        <f>SUMIF(74:74,E14,75:75)-SUMIF(74:74,C14,75:75)+100</f>
        <v>100</v>
      </c>
      <c r="G14" s="915"/>
      <c r="H14" s="549">
        <f>SUMIF(74:74,G14,75:75)-SUMIF(74:74,C14,75:75)+100</f>
        <v>100</v>
      </c>
      <c r="I14" s="542"/>
      <c r="J14" s="549">
        <f>SUMIF(74:74,I14,75:75)-SUMIF(74:74,C14,75:75)+100</f>
        <v>100</v>
      </c>
      <c r="K14" s="584"/>
      <c r="L14" s="2150"/>
      <c r="M14" s="2142"/>
      <c r="N14" s="2142"/>
      <c r="O14" s="2149"/>
      <c r="P14" s="3358"/>
      <c r="Q14" s="1153">
        <f t="shared" si="6"/>
        <v>111</v>
      </c>
      <c r="R14" s="1571" t="s">
        <v>8</v>
      </c>
      <c r="S14" s="1572">
        <f t="shared" si="0"/>
        <v>100</v>
      </c>
      <c r="T14" s="1571" t="s">
        <v>8</v>
      </c>
      <c r="U14" s="1572">
        <f t="shared" si="1"/>
        <v>100</v>
      </c>
      <c r="V14" s="1571" t="s">
        <v>8</v>
      </c>
      <c r="W14" s="1572">
        <f t="shared" si="2"/>
        <v>100</v>
      </c>
      <c r="X14" s="1573"/>
      <c r="Y14" s="3304"/>
      <c r="Z14" s="1152">
        <f t="shared" si="7"/>
        <v>111</v>
      </c>
      <c r="AA14" s="1574">
        <f t="shared" si="3"/>
        <v>1</v>
      </c>
      <c r="AB14" s="1574">
        <f t="shared" si="4"/>
        <v>1</v>
      </c>
      <c r="AC14" s="1574">
        <f t="shared" si="5"/>
        <v>1</v>
      </c>
    </row>
    <row r="15" spans="1:29" ht="15">
      <c r="A15" s="2947" t="s">
        <v>2764</v>
      </c>
      <c r="B15" s="166" t="s">
        <v>542</v>
      </c>
      <c r="C15" s="870" t="str">
        <f>估价对象房地状况!C4</f>
        <v>一般</v>
      </c>
      <c r="D15" s="552">
        <v>100</v>
      </c>
      <c r="E15" s="553"/>
      <c r="F15" s="554">
        <f>SUMIF(76:76,E16,77:77)-SUMIF(76:76,C16,77:77)+100</f>
        <v>100</v>
      </c>
      <c r="G15" s="555"/>
      <c r="H15" s="552">
        <f>SUMIF(76:76,G16,77:77)-SUMIF(76:76,C16,77:77)+100</f>
        <v>100</v>
      </c>
      <c r="I15" s="553"/>
      <c r="J15" s="552">
        <f>SUMIF(76:76,I16,77:77)-SUMIF(76:76,C16,77:77)+100</f>
        <v>100</v>
      </c>
      <c r="K15" s="901"/>
      <c r="L15" s="2150"/>
      <c r="M15" s="2142"/>
      <c r="N15" s="2142"/>
      <c r="O15" s="2149"/>
      <c r="P15" s="3393" t="s">
        <v>541</v>
      </c>
      <c r="Q15" s="1575" t="str">
        <f t="shared" si="6"/>
        <v>商业繁华度</v>
      </c>
      <c r="R15" s="1576" t="s">
        <v>8</v>
      </c>
      <c r="S15" s="1577">
        <f t="shared" si="0"/>
        <v>100</v>
      </c>
      <c r="T15" s="1576" t="s">
        <v>8</v>
      </c>
      <c r="U15" s="1577">
        <f t="shared" si="1"/>
        <v>100</v>
      </c>
      <c r="V15" s="1576" t="s">
        <v>8</v>
      </c>
      <c r="W15" s="1577">
        <f t="shared" si="2"/>
        <v>100</v>
      </c>
      <c r="X15" s="1570"/>
      <c r="Y15" s="3393"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94"/>
      <c r="Q16" s="1575"/>
      <c r="R16" s="1576"/>
      <c r="S16" s="1577"/>
      <c r="T16" s="1576"/>
      <c r="U16" s="1577"/>
      <c r="V16" s="1576"/>
      <c r="W16" s="1577"/>
      <c r="X16" s="1570"/>
      <c r="Y16" s="3394"/>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901"/>
      <c r="L17" s="2150"/>
      <c r="M17" s="2142"/>
      <c r="N17" s="2142"/>
      <c r="O17" s="2149"/>
      <c r="P17" s="3394"/>
      <c r="Q17" s="1575" t="str">
        <f>B17</f>
        <v>交通便捷度</v>
      </c>
      <c r="R17" s="1576" t="s">
        <v>8</v>
      </c>
      <c r="S17" s="1577">
        <f>F17</f>
        <v>100</v>
      </c>
      <c r="T17" s="1576" t="s">
        <v>8</v>
      </c>
      <c r="U17" s="1577">
        <f>H17</f>
        <v>100</v>
      </c>
      <c r="V17" s="1576" t="s">
        <v>8</v>
      </c>
      <c r="W17" s="1577">
        <f>J17</f>
        <v>100</v>
      </c>
      <c r="X17" s="1570"/>
      <c r="Y17" s="3394"/>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94"/>
      <c r="Q18" s="1575"/>
      <c r="R18" s="1576"/>
      <c r="S18" s="1577"/>
      <c r="T18" s="1576"/>
      <c r="U18" s="1577"/>
      <c r="V18" s="1576"/>
      <c r="W18" s="1577"/>
      <c r="X18" s="1570"/>
      <c r="Y18" s="3394"/>
      <c r="Z18" s="1578"/>
      <c r="AA18" s="1579">
        <v>1</v>
      </c>
      <c r="AB18" s="1579">
        <v>1</v>
      </c>
      <c r="AC18" s="1579">
        <v>1</v>
      </c>
    </row>
    <row r="19" spans="1:29" ht="15">
      <c r="A19" s="535"/>
      <c r="B19" s="2633"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901"/>
      <c r="L19" s="2150"/>
      <c r="M19" s="2142"/>
      <c r="N19" s="2142"/>
      <c r="O19" s="2149"/>
      <c r="P19" s="3394"/>
      <c r="Q19" s="1575" t="str">
        <f>B19</f>
        <v>公共配套设施</v>
      </c>
      <c r="R19" s="1576" t="s">
        <v>8</v>
      </c>
      <c r="S19" s="1577">
        <f>F19</f>
        <v>100</v>
      </c>
      <c r="T19" s="1576" t="s">
        <v>8</v>
      </c>
      <c r="U19" s="1577">
        <f>H19</f>
        <v>100</v>
      </c>
      <c r="V19" s="1576" t="s">
        <v>8</v>
      </c>
      <c r="W19" s="1577">
        <f>J19</f>
        <v>100</v>
      </c>
      <c r="X19" s="1570"/>
      <c r="Y19" s="3394"/>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50"/>
      <c r="M20" s="2142"/>
      <c r="N20" s="2142"/>
      <c r="O20" s="2149"/>
      <c r="P20" s="3394"/>
      <c r="Q20" s="1575"/>
      <c r="R20" s="1576"/>
      <c r="S20" s="1577"/>
      <c r="T20" s="1576"/>
      <c r="U20" s="1577"/>
      <c r="V20" s="1576"/>
      <c r="W20" s="1577"/>
      <c r="X20" s="1570"/>
      <c r="Y20" s="3394"/>
      <c r="Z20" s="1578"/>
      <c r="AA20" s="1579">
        <v>1</v>
      </c>
      <c r="AB20" s="1579">
        <v>1</v>
      </c>
      <c r="AC20" s="1579">
        <v>1</v>
      </c>
    </row>
    <row r="21" spans="1:29" ht="15">
      <c r="A21" s="535"/>
      <c r="B21" s="2626"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1"/>
      <c r="L21" s="2150"/>
      <c r="M21" s="2142"/>
      <c r="N21" s="2142"/>
      <c r="O21" s="2149"/>
      <c r="P21" s="3394"/>
      <c r="Q21" s="2612" t="str">
        <f>B21</f>
        <v>基础设施水平</v>
      </c>
      <c r="R21" s="1576" t="s">
        <v>8</v>
      </c>
      <c r="S21" s="1577">
        <f>F21</f>
        <v>100</v>
      </c>
      <c r="T21" s="1576" t="s">
        <v>8</v>
      </c>
      <c r="U21" s="1577">
        <f>H21</f>
        <v>100</v>
      </c>
      <c r="V21" s="1576" t="s">
        <v>8</v>
      </c>
      <c r="W21" s="1577">
        <f>J21</f>
        <v>100</v>
      </c>
      <c r="X21" s="2614"/>
      <c r="Y21" s="3394"/>
      <c r="Z21" s="2613"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5"/>
      <c r="L22" s="2150"/>
      <c r="M22" s="2142"/>
      <c r="N22" s="2142"/>
      <c r="O22" s="2149"/>
      <c r="P22" s="3394"/>
      <c r="Q22" s="2612"/>
      <c r="R22" s="1576"/>
      <c r="S22" s="1577"/>
      <c r="T22" s="1576"/>
      <c r="U22" s="1577"/>
      <c r="V22" s="1576"/>
      <c r="W22" s="1577"/>
      <c r="X22" s="2614"/>
      <c r="Y22" s="3394"/>
      <c r="Z22" s="2613"/>
      <c r="AA22" s="1579">
        <v>1</v>
      </c>
      <c r="AB22" s="1579">
        <v>1</v>
      </c>
      <c r="AC22" s="1579">
        <v>1</v>
      </c>
    </row>
    <row r="23" spans="1:29" ht="15">
      <c r="A23" s="535"/>
      <c r="B23" s="874" t="s">
        <v>297</v>
      </c>
      <c r="C23" s="903"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901"/>
      <c r="L23" s="2150"/>
      <c r="M23" s="2142"/>
      <c r="N23" s="2142"/>
      <c r="O23" s="2149"/>
      <c r="P23" s="3394"/>
      <c r="Q23" s="1575" t="str">
        <f>B23</f>
        <v>自然及人文环境</v>
      </c>
      <c r="R23" s="1576" t="s">
        <v>8</v>
      </c>
      <c r="S23" s="1577">
        <f>F23</f>
        <v>100</v>
      </c>
      <c r="T23" s="1576" t="s">
        <v>8</v>
      </c>
      <c r="U23" s="1577">
        <f>H23</f>
        <v>100</v>
      </c>
      <c r="V23" s="1576" t="s">
        <v>8</v>
      </c>
      <c r="W23" s="1577">
        <f>J23</f>
        <v>100</v>
      </c>
      <c r="X23" s="1570"/>
      <c r="Y23" s="3394"/>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50"/>
      <c r="M24" s="2142"/>
      <c r="N24" s="2142"/>
      <c r="O24" s="2149"/>
      <c r="P24" s="3394"/>
      <c r="Q24" s="1575"/>
      <c r="R24" s="1576"/>
      <c r="S24" s="1577"/>
      <c r="T24" s="1576"/>
      <c r="U24" s="1577"/>
      <c r="V24" s="1576"/>
      <c r="W24" s="1577"/>
      <c r="X24" s="1570"/>
      <c r="Y24" s="3394"/>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394"/>
      <c r="Q25" s="1575" t="str">
        <f t="shared" ref="Q25:Q46" si="11">B25</f>
        <v>临街状况</v>
      </c>
      <c r="R25" s="1576" t="s">
        <v>8</v>
      </c>
      <c r="S25" s="1577">
        <f>F25</f>
        <v>100</v>
      </c>
      <c r="T25" s="1576" t="s">
        <v>8</v>
      </c>
      <c r="U25" s="1577">
        <f>H25</f>
        <v>100</v>
      </c>
      <c r="V25" s="1576" t="s">
        <v>8</v>
      </c>
      <c r="W25" s="1577">
        <f>J25</f>
        <v>100</v>
      </c>
      <c r="X25" s="1570"/>
      <c r="Y25" s="3394"/>
      <c r="Z25" s="1578" t="str">
        <f>Q25</f>
        <v>临街状况</v>
      </c>
      <c r="AA25" s="1579">
        <f t="shared" si="3"/>
        <v>1</v>
      </c>
      <c r="AB25" s="1579">
        <f t="shared" si="4"/>
        <v>1</v>
      </c>
      <c r="AC25" s="1579">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394"/>
      <c r="Q26" s="1575" t="str">
        <f t="shared" si="11"/>
        <v>平面位置/可视性</v>
      </c>
      <c r="R26" s="1576" t="s">
        <v>8</v>
      </c>
      <c r="S26" s="1577">
        <f>F26</f>
        <v>100</v>
      </c>
      <c r="T26" s="1576" t="s">
        <v>8</v>
      </c>
      <c r="U26" s="1577">
        <f>H26</f>
        <v>100</v>
      </c>
      <c r="V26" s="1576" t="s">
        <v>8</v>
      </c>
      <c r="W26" s="1577">
        <f>J26</f>
        <v>100</v>
      </c>
      <c r="X26" s="1570"/>
      <c r="Y26" s="3394"/>
      <c r="Z26" s="1578" t="str">
        <f>Q26</f>
        <v>平面位置/可视性</v>
      </c>
      <c r="AA26" s="1579">
        <f t="shared" si="3"/>
        <v>1</v>
      </c>
      <c r="AB26" s="1579">
        <f t="shared" si="4"/>
        <v>1</v>
      </c>
      <c r="AC26" s="1579">
        <f t="shared" si="5"/>
        <v>1</v>
      </c>
    </row>
    <row r="27" spans="1:29" s="1222"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3"/>
      <c r="M27" s="2144"/>
      <c r="N27" s="2144"/>
      <c r="O27" s="2145"/>
      <c r="P27" s="3394"/>
      <c r="Q27" s="1153" t="str">
        <f t="shared" si="11"/>
        <v>人流量</v>
      </c>
      <c r="R27" s="1571" t="s">
        <v>8</v>
      </c>
      <c r="S27" s="1572">
        <f>F27</f>
        <v>100</v>
      </c>
      <c r="T27" s="1571" t="s">
        <v>8</v>
      </c>
      <c r="U27" s="1572">
        <f>H27</f>
        <v>100</v>
      </c>
      <c r="V27" s="1571" t="s">
        <v>8</v>
      </c>
      <c r="W27" s="1572">
        <f>J27</f>
        <v>100</v>
      </c>
      <c r="X27" s="1573"/>
      <c r="Y27" s="3394"/>
      <c r="Z27" s="1152" t="str">
        <f>Q27</f>
        <v>人流量</v>
      </c>
      <c r="AA27" s="1579">
        <f>D27/F27</f>
        <v>1</v>
      </c>
      <c r="AB27" s="1579">
        <f>D27/H27</f>
        <v>1</v>
      </c>
      <c r="AC27" s="1579">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394"/>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4"/>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394"/>
      <c r="Q29" s="1575">
        <f t="shared" si="11"/>
        <v>111</v>
      </c>
      <c r="R29" s="1576" t="s">
        <v>8</v>
      </c>
      <c r="S29" s="1577">
        <f t="shared" si="12"/>
        <v>100</v>
      </c>
      <c r="T29" s="1576" t="s">
        <v>8</v>
      </c>
      <c r="U29" s="1577">
        <f t="shared" si="13"/>
        <v>100</v>
      </c>
      <c r="V29" s="1576" t="s">
        <v>8</v>
      </c>
      <c r="W29" s="1577">
        <f t="shared" si="14"/>
        <v>100</v>
      </c>
      <c r="X29" s="1570"/>
      <c r="Y29" s="3394"/>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394"/>
      <c r="Q30" s="1575">
        <f t="shared" si="11"/>
        <v>111</v>
      </c>
      <c r="R30" s="1576" t="s">
        <v>8</v>
      </c>
      <c r="S30" s="1577">
        <f t="shared" si="12"/>
        <v>100</v>
      </c>
      <c r="T30" s="1576" t="s">
        <v>8</v>
      </c>
      <c r="U30" s="1577">
        <f t="shared" si="13"/>
        <v>100</v>
      </c>
      <c r="V30" s="1576" t="s">
        <v>8</v>
      </c>
      <c r="W30" s="1577">
        <f t="shared" si="14"/>
        <v>100</v>
      </c>
      <c r="X30" s="1570"/>
      <c r="Y30" s="3394"/>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394"/>
      <c r="Q31" s="1575">
        <f t="shared" si="11"/>
        <v>111</v>
      </c>
      <c r="R31" s="1576" t="s">
        <v>8</v>
      </c>
      <c r="S31" s="1577">
        <f t="shared" si="12"/>
        <v>100</v>
      </c>
      <c r="T31" s="1576" t="s">
        <v>8</v>
      </c>
      <c r="U31" s="1577">
        <f t="shared" si="13"/>
        <v>100</v>
      </c>
      <c r="V31" s="1576" t="s">
        <v>8</v>
      </c>
      <c r="W31" s="1577">
        <f t="shared" si="14"/>
        <v>100</v>
      </c>
      <c r="X31" s="1570"/>
      <c r="Y31" s="3394"/>
      <c r="Z31" s="1578">
        <f t="shared" si="15"/>
        <v>111</v>
      </c>
      <c r="AA31" s="1579">
        <f t="shared" si="3"/>
        <v>1</v>
      </c>
      <c r="AB31" s="1579">
        <f t="shared" si="4"/>
        <v>1</v>
      </c>
      <c r="AC31" s="1579">
        <f t="shared" si="5"/>
        <v>1</v>
      </c>
    </row>
    <row r="32" spans="1:29" ht="15">
      <c r="A32" s="2944"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395" t="s">
        <v>551</v>
      </c>
      <c r="Q32" s="1575" t="str">
        <f t="shared" si="11"/>
        <v>商业类型</v>
      </c>
      <c r="R32" s="1576" t="s">
        <v>8</v>
      </c>
      <c r="S32" s="1577">
        <f t="shared" si="12"/>
        <v>100</v>
      </c>
      <c r="T32" s="1576" t="s">
        <v>8</v>
      </c>
      <c r="U32" s="1577">
        <f t="shared" si="13"/>
        <v>100</v>
      </c>
      <c r="V32" s="1576" t="s">
        <v>8</v>
      </c>
      <c r="W32" s="1577">
        <f t="shared" si="14"/>
        <v>100</v>
      </c>
      <c r="X32" s="1570"/>
      <c r="Y32" s="3396" t="s">
        <v>551</v>
      </c>
      <c r="Z32" s="1578" t="str">
        <f t="shared" si="15"/>
        <v>商业类型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396"/>
      <c r="Q33" s="1608" t="str">
        <f t="shared" si="11"/>
        <v>项目建筑规模</v>
      </c>
      <c r="R33" s="1580" t="s">
        <v>8</v>
      </c>
      <c r="S33" s="1581" t="e">
        <f t="shared" si="12"/>
        <v>#N/A</v>
      </c>
      <c r="T33" s="1580" t="s">
        <v>8</v>
      </c>
      <c r="U33" s="1581" t="e">
        <f t="shared" si="13"/>
        <v>#N/A</v>
      </c>
      <c r="V33" s="1580" t="s">
        <v>8</v>
      </c>
      <c r="W33" s="1581" t="e">
        <f t="shared" si="14"/>
        <v>#N/A</v>
      </c>
      <c r="X33" s="1582"/>
      <c r="Y33" s="3396"/>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0"/>
      <c r="M34" s="2142"/>
      <c r="N34" s="2142"/>
      <c r="O34" s="2149"/>
      <c r="P34" s="3396"/>
      <c r="Q34" s="1575" t="str">
        <f t="shared" si="11"/>
        <v>建筑结构</v>
      </c>
      <c r="R34" s="1576" t="s">
        <v>8</v>
      </c>
      <c r="S34" s="1577">
        <f t="shared" si="12"/>
        <v>100</v>
      </c>
      <c r="T34" s="1576" t="s">
        <v>8</v>
      </c>
      <c r="U34" s="1577">
        <f t="shared" si="13"/>
        <v>100</v>
      </c>
      <c r="V34" s="1576" t="s">
        <v>8</v>
      </c>
      <c r="W34" s="1577">
        <f t="shared" si="14"/>
        <v>100</v>
      </c>
      <c r="X34" s="1570"/>
      <c r="Y34" s="3396"/>
      <c r="Z34" s="1578" t="str">
        <f t="shared" si="15"/>
        <v>建筑结构</v>
      </c>
      <c r="AA34" s="1579">
        <f t="shared" si="3"/>
        <v>1</v>
      </c>
      <c r="AB34" s="1579">
        <f t="shared" si="4"/>
        <v>1</v>
      </c>
      <c r="AC34" s="1579">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396"/>
      <c r="Q35" s="1575" t="str">
        <f t="shared" si="11"/>
        <v>公共部分装修</v>
      </c>
      <c r="R35" s="1576" t="s">
        <v>8</v>
      </c>
      <c r="S35" s="1577">
        <f t="shared" si="12"/>
        <v>100</v>
      </c>
      <c r="T35" s="1576" t="s">
        <v>8</v>
      </c>
      <c r="U35" s="1577">
        <f t="shared" si="13"/>
        <v>100</v>
      </c>
      <c r="V35" s="1576" t="s">
        <v>8</v>
      </c>
      <c r="W35" s="1577">
        <f t="shared" si="14"/>
        <v>100</v>
      </c>
      <c r="X35" s="1570"/>
      <c r="Y35" s="3396"/>
      <c r="Z35" s="1578" t="str">
        <f t="shared" si="15"/>
        <v>公共部分装修</v>
      </c>
      <c r="AA35" s="1579">
        <f t="shared" si="3"/>
        <v>1</v>
      </c>
      <c r="AB35" s="1579">
        <f t="shared" si="4"/>
        <v>1</v>
      </c>
      <c r="AC35" s="1579">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0"/>
      <c r="M36" s="2142"/>
      <c r="N36" s="2142"/>
      <c r="O36" s="2149"/>
      <c r="P36" s="3396"/>
      <c r="Q36" s="1575" t="str">
        <f t="shared" si="11"/>
        <v>成新度</v>
      </c>
      <c r="R36" s="1576" t="s">
        <v>8</v>
      </c>
      <c r="S36" s="1577" t="e">
        <f t="shared" si="12"/>
        <v>#N/A</v>
      </c>
      <c r="T36" s="1576" t="s">
        <v>8</v>
      </c>
      <c r="U36" s="1577" t="e">
        <f t="shared" si="13"/>
        <v>#N/A</v>
      </c>
      <c r="V36" s="1576" t="s">
        <v>8</v>
      </c>
      <c r="W36" s="1577" t="e">
        <f t="shared" si="14"/>
        <v>#N/A</v>
      </c>
      <c r="X36" s="1570"/>
      <c r="Y36" s="3396"/>
      <c r="Z36" s="1578" t="str">
        <f t="shared" si="15"/>
        <v>成新度</v>
      </c>
      <c r="AA36" s="1579" t="e">
        <f t="shared" si="3"/>
        <v>#N/A</v>
      </c>
      <c r="AB36" s="1579" t="e">
        <f t="shared" si="4"/>
        <v>#N/A</v>
      </c>
      <c r="AC36" s="1579" t="e">
        <f t="shared" si="5"/>
        <v>#N/A</v>
      </c>
    </row>
    <row r="37" spans="1:29" s="1222"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396"/>
      <c r="Q37" s="1153" t="str">
        <f t="shared" si="11"/>
        <v>市政基础设施</v>
      </c>
      <c r="R37" s="1571" t="s">
        <v>8</v>
      </c>
      <c r="S37" s="1572">
        <f t="shared" si="12"/>
        <v>100</v>
      </c>
      <c r="T37" s="1571" t="s">
        <v>8</v>
      </c>
      <c r="U37" s="1572">
        <f t="shared" si="13"/>
        <v>100</v>
      </c>
      <c r="V37" s="1571" t="s">
        <v>8</v>
      </c>
      <c r="W37" s="1572">
        <f t="shared" si="14"/>
        <v>100</v>
      </c>
      <c r="X37" s="1573"/>
      <c r="Y37" s="3396"/>
      <c r="Z37" s="1152" t="str">
        <f t="shared" si="15"/>
        <v>市政基础设施</v>
      </c>
      <c r="AA37" s="1574">
        <f t="shared" si="3"/>
        <v>1</v>
      </c>
      <c r="AB37" s="1574">
        <f t="shared" si="4"/>
        <v>1</v>
      </c>
      <c r="AC37" s="1574">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396" t="s">
        <v>769</v>
      </c>
      <c r="Q38" s="1575" t="str">
        <f t="shared" si="11"/>
        <v>业态</v>
      </c>
      <c r="R38" s="1576" t="s">
        <v>8</v>
      </c>
      <c r="S38" s="1577">
        <f t="shared" si="12"/>
        <v>100</v>
      </c>
      <c r="T38" s="1576" t="s">
        <v>8</v>
      </c>
      <c r="U38" s="1577">
        <f t="shared" si="13"/>
        <v>100</v>
      </c>
      <c r="V38" s="1576" t="s">
        <v>8</v>
      </c>
      <c r="W38" s="1577">
        <f t="shared" si="14"/>
        <v>100</v>
      </c>
      <c r="X38" s="1570"/>
      <c r="Y38" s="3396" t="s">
        <v>769</v>
      </c>
      <c r="Z38" s="1578" t="str">
        <f t="shared" si="15"/>
        <v>业态</v>
      </c>
      <c r="AA38" s="1579">
        <f t="shared" si="3"/>
        <v>1</v>
      </c>
      <c r="AB38" s="1579">
        <f t="shared" si="4"/>
        <v>1</v>
      </c>
      <c r="AC38" s="1579">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96"/>
      <c r="Q39" s="1575" t="str">
        <f t="shared" si="11"/>
        <v>层高</v>
      </c>
      <c r="R39" s="1576" t="s">
        <v>8</v>
      </c>
      <c r="S39" s="1577">
        <f t="shared" si="12"/>
        <v>100</v>
      </c>
      <c r="T39" s="1576" t="s">
        <v>8</v>
      </c>
      <c r="U39" s="1577">
        <f t="shared" si="13"/>
        <v>100</v>
      </c>
      <c r="V39" s="1576" t="s">
        <v>8</v>
      </c>
      <c r="W39" s="1577">
        <f t="shared" si="14"/>
        <v>100</v>
      </c>
      <c r="X39" s="1570"/>
      <c r="Y39" s="3396"/>
      <c r="Z39" s="1578" t="str">
        <f t="shared" si="15"/>
        <v>层高</v>
      </c>
      <c r="AA39" s="1579">
        <f t="shared" si="3"/>
        <v>1</v>
      </c>
      <c r="AB39" s="1579">
        <f t="shared" si="4"/>
        <v>1</v>
      </c>
      <c r="AC39" s="1579">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0"/>
      <c r="M40" s="2142"/>
      <c r="N40" s="2142"/>
      <c r="O40" s="2149"/>
      <c r="P40" s="3396"/>
      <c r="Q40" s="1575" t="str">
        <f t="shared" si="11"/>
        <v>单套建筑面积</v>
      </c>
      <c r="R40" s="1576" t="s">
        <v>8</v>
      </c>
      <c r="S40" s="1577">
        <f t="shared" si="12"/>
        <v>100</v>
      </c>
      <c r="T40" s="1576" t="s">
        <v>8</v>
      </c>
      <c r="U40" s="1577">
        <f t="shared" si="13"/>
        <v>100</v>
      </c>
      <c r="V40" s="1576" t="s">
        <v>8</v>
      </c>
      <c r="W40" s="1577">
        <f t="shared" si="14"/>
        <v>100</v>
      </c>
      <c r="X40" s="1570"/>
      <c r="Y40" s="3396"/>
      <c r="Z40" s="1578" t="str">
        <f t="shared" si="15"/>
        <v>单套建筑面积</v>
      </c>
      <c r="AA40" s="1579">
        <f t="shared" si="3"/>
        <v>1</v>
      </c>
      <c r="AB40" s="1579">
        <f t="shared" si="4"/>
        <v>1</v>
      </c>
      <c r="AC40" s="1579">
        <f t="shared" si="5"/>
        <v>1</v>
      </c>
    </row>
    <row r="41" spans="1:29" s="1341"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396"/>
      <c r="Q41" s="1608" t="str">
        <f t="shared" si="11"/>
        <v>进深比</v>
      </c>
      <c r="R41" s="1580" t="s">
        <v>8</v>
      </c>
      <c r="S41" s="1581">
        <f t="shared" si="12"/>
        <v>100</v>
      </c>
      <c r="T41" s="1580" t="s">
        <v>8</v>
      </c>
      <c r="U41" s="1581">
        <f t="shared" si="13"/>
        <v>100</v>
      </c>
      <c r="V41" s="1580" t="s">
        <v>8</v>
      </c>
      <c r="W41" s="1581">
        <f t="shared" si="14"/>
        <v>100</v>
      </c>
      <c r="X41" s="1582"/>
      <c r="Y41" s="3396"/>
      <c r="Z41" s="1583" t="str">
        <f t="shared" si="15"/>
        <v>进深比</v>
      </c>
      <c r="AA41" s="1579">
        <f t="shared" si="3"/>
        <v>1</v>
      </c>
      <c r="AB41" s="1579">
        <f t="shared" si="4"/>
        <v>1</v>
      </c>
      <c r="AC41" s="1579">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396"/>
      <c r="Q42" s="1575" t="str">
        <f t="shared" si="11"/>
        <v>内部装修</v>
      </c>
      <c r="R42" s="1576" t="s">
        <v>8</v>
      </c>
      <c r="S42" s="1577">
        <f t="shared" si="12"/>
        <v>100</v>
      </c>
      <c r="T42" s="1576" t="s">
        <v>8</v>
      </c>
      <c r="U42" s="1577">
        <f t="shared" si="13"/>
        <v>100</v>
      </c>
      <c r="V42" s="1576" t="s">
        <v>8</v>
      </c>
      <c r="W42" s="1577">
        <f t="shared" si="14"/>
        <v>100</v>
      </c>
      <c r="X42" s="1570"/>
      <c r="Y42" s="3396"/>
      <c r="Z42" s="1578" t="str">
        <f t="shared" si="15"/>
        <v>内部装修</v>
      </c>
      <c r="AA42" s="1579">
        <f t="shared" si="3"/>
        <v>1</v>
      </c>
      <c r="AB42" s="1579">
        <f t="shared" si="4"/>
        <v>1</v>
      </c>
      <c r="AC42" s="1579">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396"/>
      <c r="Q43" s="1575" t="str">
        <f t="shared" si="11"/>
        <v>内部装修维护情况</v>
      </c>
      <c r="R43" s="1576" t="s">
        <v>8</v>
      </c>
      <c r="S43" s="1577">
        <f t="shared" si="12"/>
        <v>100</v>
      </c>
      <c r="T43" s="1576" t="s">
        <v>8</v>
      </c>
      <c r="U43" s="1577">
        <f t="shared" si="13"/>
        <v>100</v>
      </c>
      <c r="V43" s="1576" t="s">
        <v>8</v>
      </c>
      <c r="W43" s="1577">
        <f t="shared" si="14"/>
        <v>100</v>
      </c>
      <c r="X43" s="1570"/>
      <c r="Y43" s="3396"/>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396"/>
      <c r="Q44" s="1153">
        <f t="shared" si="11"/>
        <v>111</v>
      </c>
      <c r="R44" s="1571" t="s">
        <v>8</v>
      </c>
      <c r="S44" s="1572">
        <f t="shared" si="12"/>
        <v>100</v>
      </c>
      <c r="T44" s="1571" t="s">
        <v>8</v>
      </c>
      <c r="U44" s="1572">
        <f t="shared" si="13"/>
        <v>100</v>
      </c>
      <c r="V44" s="1571" t="s">
        <v>8</v>
      </c>
      <c r="W44" s="1572">
        <f t="shared" si="14"/>
        <v>100</v>
      </c>
      <c r="X44" s="1573"/>
      <c r="Y44" s="3396"/>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396"/>
      <c r="Q45" s="1575">
        <f t="shared" si="11"/>
        <v>111</v>
      </c>
      <c r="R45" s="1576" t="s">
        <v>8</v>
      </c>
      <c r="S45" s="1577">
        <f t="shared" si="12"/>
        <v>100</v>
      </c>
      <c r="T45" s="1576" t="s">
        <v>8</v>
      </c>
      <c r="U45" s="1577">
        <f t="shared" si="13"/>
        <v>100</v>
      </c>
      <c r="V45" s="1576" t="s">
        <v>8</v>
      </c>
      <c r="W45" s="1577">
        <f t="shared" si="14"/>
        <v>100</v>
      </c>
      <c r="X45" s="1570"/>
      <c r="Y45" s="3396"/>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471"/>
      <c r="Q46" s="1575">
        <f t="shared" si="11"/>
        <v>111</v>
      </c>
      <c r="R46" s="1576" t="s">
        <v>8</v>
      </c>
      <c r="S46" s="1577">
        <f t="shared" si="12"/>
        <v>100</v>
      </c>
      <c r="T46" s="1576" t="s">
        <v>8</v>
      </c>
      <c r="U46" s="1577">
        <f t="shared" si="13"/>
        <v>100</v>
      </c>
      <c r="V46" s="1576" t="s">
        <v>8</v>
      </c>
      <c r="W46" s="1577">
        <f t="shared" si="14"/>
        <v>100</v>
      </c>
      <c r="X46" s="1570"/>
      <c r="Y46" s="3471"/>
      <c r="Z46" s="1578">
        <f t="shared" si="15"/>
        <v>111</v>
      </c>
      <c r="AA46" s="1579">
        <f t="shared" si="3"/>
        <v>1</v>
      </c>
      <c r="AB46" s="1579">
        <f t="shared" si="4"/>
        <v>1</v>
      </c>
      <c r="AC46" s="1579">
        <f t="shared" si="5"/>
        <v>1</v>
      </c>
    </row>
    <row r="47" spans="1:29" ht="15">
      <c r="A47" s="610" t="s">
        <v>739</v>
      </c>
      <c r="B47" s="890"/>
      <c r="C47" s="2660" t="s">
        <v>1</v>
      </c>
      <c r="D47" s="2661"/>
      <c r="E47" s="2662"/>
      <c r="F47" s="2663"/>
      <c r="G47" s="2664"/>
      <c r="H47" s="2665"/>
      <c r="I47" s="2662"/>
      <c r="J47" s="2665"/>
      <c r="K47" s="1614"/>
      <c r="L47" s="2152"/>
      <c r="M47" s="2153"/>
      <c r="N47" s="2142"/>
      <c r="O47" s="2153"/>
      <c r="P47" s="3358" t="str">
        <f>A47</f>
        <v>成交单价（元/平方米）</v>
      </c>
      <c r="Q47" s="3358"/>
      <c r="R47" s="3470">
        <f>E47</f>
        <v>0</v>
      </c>
      <c r="S47" s="3470"/>
      <c r="T47" s="3470">
        <f>G47</f>
        <v>0</v>
      </c>
      <c r="U47" s="3470"/>
      <c r="V47" s="3470">
        <f>I47</f>
        <v>0</v>
      </c>
      <c r="W47" s="3470"/>
      <c r="X47" s="1562"/>
      <c r="Y47" s="1584"/>
      <c r="Z47" s="1562"/>
      <c r="AA47" s="1562"/>
      <c r="AB47" s="1562"/>
      <c r="AC47" s="1562"/>
    </row>
    <row r="48" spans="1:29" ht="15.75" thickBot="1">
      <c r="A48" s="618" t="s">
        <v>2770</v>
      </c>
      <c r="B48" s="891"/>
      <c r="C48" s="2666" t="e">
        <f>R49</f>
        <v>#DIV/0!</v>
      </c>
      <c r="D48" s="2667"/>
      <c r="E48" s="2668" t="e">
        <f>R48</f>
        <v>#DIV/0!</v>
      </c>
      <c r="F48" s="2668"/>
      <c r="G48" s="2666" t="e">
        <f>T48</f>
        <v>#DIV/0!</v>
      </c>
      <c r="H48" s="2667"/>
      <c r="I48" s="2668" t="e">
        <f>V48</f>
        <v>#DIV/0!</v>
      </c>
      <c r="J48" s="2667"/>
      <c r="K48" s="1615"/>
      <c r="L48" s="2152"/>
      <c r="M48" s="2153"/>
      <c r="N48" s="2142"/>
      <c r="O48" s="2153"/>
      <c r="P48" s="3358" t="str">
        <f>A48</f>
        <v>比较价格（元/平方米）</v>
      </c>
      <c r="Q48" s="3358"/>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2"/>
      <c r="Y48" s="1562"/>
      <c r="Z48" s="1562"/>
      <c r="AA48" s="1562"/>
      <c r="AB48" s="1562"/>
      <c r="AC48" s="1562"/>
    </row>
    <row r="49" spans="1:29" ht="15.75" thickBot="1">
      <c r="A49" s="624" t="s">
        <v>2936</v>
      </c>
      <c r="B49" s="625"/>
      <c r="C49" s="2669" t="e">
        <f>R49</f>
        <v>#DIV/0!</v>
      </c>
      <c r="D49" s="2669"/>
      <c r="E49" s="2669"/>
      <c r="F49" s="2669"/>
      <c r="G49" s="2669"/>
      <c r="H49" s="2669"/>
      <c r="I49" s="2669"/>
      <c r="J49" s="2669"/>
      <c r="K49" s="1616"/>
      <c r="L49" s="2152"/>
      <c r="M49" s="2153"/>
      <c r="N49" s="2142"/>
      <c r="O49" s="2153"/>
      <c r="P49" s="3355" t="str">
        <f>A49</f>
        <v>估价对象XX用房的比较价格（楼面单价，元/平方米）</v>
      </c>
      <c r="Q49" s="3356"/>
      <c r="R49" s="3469" t="e">
        <f>IF(F1="售价",ROUND(AVERAGE(R48:V48),0),ROUND(AVERAGE(R48:V48),1))</f>
        <v>#DIV/0!</v>
      </c>
      <c r="S49" s="3469"/>
      <c r="T49" s="3469"/>
      <c r="U49" s="3469"/>
      <c r="V49" s="3469"/>
      <c r="W49" s="3469"/>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39"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676" t="s">
        <v>774</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3"/>
      <c r="M92" s="89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775</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754</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7">
        <v>0.5</v>
      </c>
      <c r="D110" s="897">
        <v>0.6</v>
      </c>
      <c r="E110" s="897">
        <v>0.7</v>
      </c>
      <c r="F110" s="897">
        <v>0.8</v>
      </c>
      <c r="G110" s="897">
        <v>0.9</v>
      </c>
      <c r="H110" s="897">
        <v>1.0001</v>
      </c>
      <c r="I110" s="908"/>
      <c r="J110" s="908"/>
      <c r="K110" s="909"/>
      <c r="L110" s="910"/>
      <c r="M110" s="911"/>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1"/>
      <c r="B112" s="1900" t="s">
        <v>2563</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777</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778</v>
      </c>
      <c r="C118" s="912"/>
      <c r="D118" s="912"/>
      <c r="E118" s="912"/>
      <c r="F118" s="912"/>
      <c r="G118" s="912"/>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1"/>
      <c r="B120" s="676" t="s">
        <v>779</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780</v>
      </c>
      <c r="C1" s="507" t="s">
        <v>723</v>
      </c>
      <c r="D1" s="852"/>
      <c r="E1" s="509"/>
      <c r="F1" s="2844"/>
      <c r="G1" s="1604" t="s">
        <v>724</v>
      </c>
      <c r="H1" s="509"/>
      <c r="I1" s="509"/>
      <c r="J1" s="509"/>
      <c r="K1" s="510"/>
      <c r="L1" s="1565"/>
      <c r="M1" s="1566"/>
      <c r="N1" s="1566"/>
      <c r="O1" s="1566"/>
      <c r="P1" s="2215"/>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725</v>
      </c>
      <c r="D3" s="854">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5" t="s">
        <v>522</v>
      </c>
      <c r="B4" s="516"/>
      <c r="C4" s="3364" t="s">
        <v>523</v>
      </c>
      <c r="D4" s="3365"/>
      <c r="E4" s="3399" t="s">
        <v>524</v>
      </c>
      <c r="F4" s="3400"/>
      <c r="G4" s="3364" t="s">
        <v>525</v>
      </c>
      <c r="H4" s="3365"/>
      <c r="I4" s="3364" t="s">
        <v>526</v>
      </c>
      <c r="J4" s="3365"/>
      <c r="K4" s="517" t="s">
        <v>527</v>
      </c>
      <c r="L4" s="2141"/>
      <c r="M4" s="2142"/>
      <c r="N4" s="2142"/>
      <c r="O4" s="2142"/>
      <c r="P4" s="3473" t="s">
        <v>528</v>
      </c>
      <c r="Q4" s="3367"/>
      <c r="R4" s="3372" t="s">
        <v>524</v>
      </c>
      <c r="S4" s="3373"/>
      <c r="T4" s="3372" t="s">
        <v>525</v>
      </c>
      <c r="U4" s="3373"/>
      <c r="V4" s="3359" t="s">
        <v>526</v>
      </c>
      <c r="W4" s="3359"/>
      <c r="X4" s="1570"/>
      <c r="Y4" s="3372" t="s">
        <v>528</v>
      </c>
      <c r="Z4" s="3373"/>
      <c r="AA4" s="3361" t="s">
        <v>524</v>
      </c>
      <c r="AB4" s="3361" t="s">
        <v>525</v>
      </c>
      <c r="AC4" s="3361" t="s">
        <v>526</v>
      </c>
    </row>
    <row r="5" spans="1:29" ht="15">
      <c r="A5" s="518"/>
      <c r="B5" s="519"/>
      <c r="C5" s="3382" t="s">
        <v>2930</v>
      </c>
      <c r="D5" s="3381"/>
      <c r="E5" s="3401" t="s">
        <v>2931</v>
      </c>
      <c r="F5" s="3402"/>
      <c r="G5" s="3382" t="s">
        <v>2932</v>
      </c>
      <c r="H5" s="3381"/>
      <c r="I5" s="3382" t="s">
        <v>2933</v>
      </c>
      <c r="J5" s="3381"/>
      <c r="K5" s="517"/>
      <c r="L5" s="2141"/>
      <c r="M5" s="2142"/>
      <c r="N5" s="2142"/>
      <c r="O5" s="2142"/>
      <c r="P5" s="3474"/>
      <c r="Q5" s="3369"/>
      <c r="R5" s="3374"/>
      <c r="S5" s="3375"/>
      <c r="T5" s="3374"/>
      <c r="U5" s="3375"/>
      <c r="V5" s="3359"/>
      <c r="W5" s="3359"/>
      <c r="X5" s="1570"/>
      <c r="Y5" s="3374"/>
      <c r="Z5" s="3375"/>
      <c r="AA5" s="3362"/>
      <c r="AB5" s="3362"/>
      <c r="AC5" s="3362"/>
    </row>
    <row r="6" spans="1:29" ht="15.75" thickBot="1">
      <c r="A6" s="520"/>
      <c r="B6" s="521"/>
      <c r="C6" s="3378" t="s">
        <v>2934</v>
      </c>
      <c r="D6" s="3379"/>
      <c r="E6" s="3397" t="s">
        <v>2934</v>
      </c>
      <c r="F6" s="3398"/>
      <c r="G6" s="3378" t="s">
        <v>2934</v>
      </c>
      <c r="H6" s="3379"/>
      <c r="I6" s="3378" t="s">
        <v>2934</v>
      </c>
      <c r="J6" s="3379"/>
      <c r="K6" s="517" t="s">
        <v>529</v>
      </c>
      <c r="L6" s="2141"/>
      <c r="M6" s="2142"/>
      <c r="N6" s="2142"/>
      <c r="O6" s="2142"/>
      <c r="P6" s="3475"/>
      <c r="Q6" s="3371"/>
      <c r="R6" s="3374"/>
      <c r="S6" s="3375"/>
      <c r="T6" s="3376"/>
      <c r="U6" s="3377"/>
      <c r="V6" s="3359"/>
      <c r="W6" s="3359"/>
      <c r="X6" s="1570"/>
      <c r="Y6" s="3376"/>
      <c r="Z6" s="3377"/>
      <c r="AA6" s="3363"/>
      <c r="AB6" s="3363"/>
      <c r="AC6" s="3363"/>
    </row>
    <row r="7" spans="1:29" s="1222" customFormat="1" ht="15.75" thickBot="1">
      <c r="A7" s="2949"/>
      <c r="B7" s="2956" t="s">
        <v>530</v>
      </c>
      <c r="C7" s="522">
        <f>'数据-取费表'!B2</f>
        <v>42997</v>
      </c>
      <c r="D7" s="523">
        <v>100</v>
      </c>
      <c r="E7" s="524"/>
      <c r="F7" s="525">
        <f>SUMIF(59:59,YEAR(E7)&amp;"-"&amp;MONTH(E7),60:60)</f>
        <v>0</v>
      </c>
      <c r="G7" s="524"/>
      <c r="H7" s="523">
        <f>SUMIF(59:59,YEAR(G7)&amp;"-"&amp;MONTH(G7),60:60)</f>
        <v>0</v>
      </c>
      <c r="I7" s="524"/>
      <c r="J7" s="523">
        <f>SUMIF(59:59,YEAR(I7)&amp;"-"&amp;MONTH(I7),60:60)</f>
        <v>0</v>
      </c>
      <c r="K7" s="527"/>
      <c r="L7" s="2143"/>
      <c r="M7" s="2144"/>
      <c r="N7" s="2144"/>
      <c r="O7" s="2144"/>
      <c r="P7" s="3392" t="s">
        <v>531</v>
      </c>
      <c r="Q7" s="3392"/>
      <c r="R7" s="1571" t="s">
        <v>8</v>
      </c>
      <c r="S7" s="1572">
        <f t="shared" ref="S7:S15" si="0">F7</f>
        <v>0</v>
      </c>
      <c r="T7" s="1571" t="s">
        <v>8</v>
      </c>
      <c r="U7" s="1572">
        <f t="shared" ref="U7:U15" si="1">H7</f>
        <v>0</v>
      </c>
      <c r="V7" s="1571" t="s">
        <v>8</v>
      </c>
      <c r="W7" s="1572">
        <f t="shared" ref="W7:W15" si="2">J7</f>
        <v>0</v>
      </c>
      <c r="X7" s="1573"/>
      <c r="Y7" s="3390" t="s">
        <v>531</v>
      </c>
      <c r="Z7" s="3391"/>
      <c r="AA7" s="1574" t="e">
        <f>D7/F7</f>
        <v>#DIV/0!</v>
      </c>
      <c r="AB7" s="1574" t="e">
        <f>D7/H7</f>
        <v>#DIV/0!</v>
      </c>
      <c r="AC7" s="1574" t="e">
        <f>D7/J7</f>
        <v>#DIV/0!</v>
      </c>
    </row>
    <row r="8" spans="1:29" s="1222" customFormat="1" ht="15.75" thickBot="1">
      <c r="A8" s="2950"/>
      <c r="B8" s="2957" t="s">
        <v>532</v>
      </c>
      <c r="C8" s="528" t="s">
        <v>577</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392" t="s">
        <v>534</v>
      </c>
      <c r="Q8" s="3391"/>
      <c r="R8" s="1571" t="s">
        <v>8</v>
      </c>
      <c r="S8" s="1572">
        <f t="shared" si="0"/>
        <v>0</v>
      </c>
      <c r="T8" s="1571" t="s">
        <v>8</v>
      </c>
      <c r="U8" s="1572">
        <f t="shared" si="1"/>
        <v>0</v>
      </c>
      <c r="V8" s="1571" t="s">
        <v>8</v>
      </c>
      <c r="W8" s="1572">
        <f t="shared" si="2"/>
        <v>0</v>
      </c>
      <c r="X8" s="1573"/>
      <c r="Y8" s="3390" t="s">
        <v>534</v>
      </c>
      <c r="Z8" s="3391"/>
      <c r="AA8" s="1574" t="e">
        <f t="shared" ref="AA8:AA47" si="3">D8/F8</f>
        <v>#DIV/0!</v>
      </c>
      <c r="AB8" s="1574" t="e">
        <f t="shared" ref="AB8:AB47" si="4">D8/H8</f>
        <v>#DIV/0!</v>
      </c>
      <c r="AC8" s="1574" t="e">
        <f t="shared" ref="AC8:AC47" si="5">D8/J8</f>
        <v>#DIV/0!</v>
      </c>
    </row>
    <row r="9" spans="1:29" s="1222" customFormat="1" ht="15">
      <c r="A9" s="2951"/>
      <c r="B9" s="2958" t="s">
        <v>2766</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58" t="s">
        <v>536</v>
      </c>
      <c r="Q9" s="1153" t="str">
        <f t="shared" ref="Q9:Q15" si="6">B9</f>
        <v>用途</v>
      </c>
      <c r="R9" s="1571" t="s">
        <v>8</v>
      </c>
      <c r="S9" s="1572">
        <f t="shared" si="0"/>
        <v>100</v>
      </c>
      <c r="T9" s="1571" t="s">
        <v>8</v>
      </c>
      <c r="U9" s="1572">
        <f t="shared" si="1"/>
        <v>100</v>
      </c>
      <c r="V9" s="1571" t="s">
        <v>8</v>
      </c>
      <c r="W9" s="1572">
        <f t="shared" si="2"/>
        <v>100</v>
      </c>
      <c r="X9" s="1573"/>
      <c r="Y9" s="3304"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58"/>
      <c r="Q10" s="1153" t="str">
        <f t="shared" si="6"/>
        <v>土地使用年限（年）</v>
      </c>
      <c r="R10" s="1571" t="s">
        <v>8</v>
      </c>
      <c r="S10" s="1572">
        <f t="shared" si="0"/>
        <v>100</v>
      </c>
      <c r="T10" s="1571" t="s">
        <v>8</v>
      </c>
      <c r="U10" s="1572">
        <f t="shared" si="1"/>
        <v>100</v>
      </c>
      <c r="V10" s="1571" t="s">
        <v>8</v>
      </c>
      <c r="W10" s="1572">
        <f t="shared" si="2"/>
        <v>100</v>
      </c>
      <c r="X10" s="1573"/>
      <c r="Y10" s="3304"/>
      <c r="Z10" s="1152" t="str">
        <f t="shared" si="7"/>
        <v>土地使用年限（年）</v>
      </c>
      <c r="AA10" s="1574">
        <f t="shared" si="3"/>
        <v>1</v>
      </c>
      <c r="AB10" s="1574">
        <f t="shared" si="4"/>
        <v>1</v>
      </c>
      <c r="AC10" s="1574">
        <f t="shared" si="5"/>
        <v>1</v>
      </c>
    </row>
    <row r="11" spans="1:29" ht="15">
      <c r="A11" s="2953"/>
      <c r="B11" s="2957"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58"/>
      <c r="Q11" s="1153" t="str">
        <f t="shared" si="6"/>
        <v>容积率</v>
      </c>
      <c r="R11" s="1571" t="s">
        <v>8</v>
      </c>
      <c r="S11" s="1572" t="e">
        <f t="shared" si="0"/>
        <v>#N/A</v>
      </c>
      <c r="T11" s="1571" t="s">
        <v>8</v>
      </c>
      <c r="U11" s="1572" t="e">
        <f t="shared" si="1"/>
        <v>#N/A</v>
      </c>
      <c r="V11" s="1571" t="s">
        <v>8</v>
      </c>
      <c r="W11" s="1572" t="e">
        <f t="shared" si="2"/>
        <v>#N/A</v>
      </c>
      <c r="X11" s="1573"/>
      <c r="Y11" s="3304"/>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31"/>
      <c r="F12" s="255">
        <f>SUMIF(71:71,E12,72:72)-SUMIF(71:71,C12,72:72)+100</f>
        <v>100</v>
      </c>
      <c r="G12" s="913"/>
      <c r="H12" s="255">
        <f>SUMIF(71:71,G12,72:72)-SUMIF(71:71,C12,72:72)+100</f>
        <v>100</v>
      </c>
      <c r="I12" s="531"/>
      <c r="J12" s="255">
        <f>SUMIF(71:71,I12,72:72)-SUMIF(71:71,C12,72:72)+100</f>
        <v>100</v>
      </c>
      <c r="K12" s="584"/>
      <c r="L12" s="2143"/>
      <c r="M12" s="2144"/>
      <c r="N12" s="2144"/>
      <c r="O12" s="2144"/>
      <c r="P12" s="3358"/>
      <c r="Q12" s="1153">
        <f t="shared" si="6"/>
        <v>111</v>
      </c>
      <c r="R12" s="1571" t="s">
        <v>8</v>
      </c>
      <c r="S12" s="1572">
        <f t="shared" si="0"/>
        <v>100</v>
      </c>
      <c r="T12" s="1571" t="s">
        <v>8</v>
      </c>
      <c r="U12" s="1572">
        <f t="shared" si="1"/>
        <v>100</v>
      </c>
      <c r="V12" s="1571" t="s">
        <v>8</v>
      </c>
      <c r="W12" s="1572">
        <f t="shared" si="2"/>
        <v>100</v>
      </c>
      <c r="X12" s="1573"/>
      <c r="Y12" s="3304"/>
      <c r="Z12" s="1152">
        <f t="shared" si="7"/>
        <v>111</v>
      </c>
      <c r="AA12" s="1574">
        <f>D12/F12</f>
        <v>1</v>
      </c>
      <c r="AB12" s="1574">
        <f>D12/H12</f>
        <v>1</v>
      </c>
      <c r="AC12" s="1574">
        <f>D12/J12</f>
        <v>1</v>
      </c>
    </row>
    <row r="13" spans="1:29" ht="15">
      <c r="A13" s="2954"/>
      <c r="B13" s="2960">
        <v>111</v>
      </c>
      <c r="C13" s="542"/>
      <c r="D13" s="543">
        <v>100</v>
      </c>
      <c r="E13" s="531"/>
      <c r="F13" s="255">
        <f>SUMIF(73:73,E13,74:74)-SUMIF(73:73,C13,74:74)+100</f>
        <v>100</v>
      </c>
      <c r="G13" s="913"/>
      <c r="H13" s="543">
        <f>SUMIF(73:73,G13,74:74)-SUMIF(73:73,C13,74:74)+100</f>
        <v>100</v>
      </c>
      <c r="I13" s="531"/>
      <c r="J13" s="543">
        <f>SUMIF(73:73,I13,74:74)-SUMIF(73:73,C13,74:74)+100</f>
        <v>100</v>
      </c>
      <c r="K13" s="584"/>
      <c r="L13" s="2150"/>
      <c r="M13" s="2142"/>
      <c r="N13" s="2142"/>
      <c r="O13" s="2142"/>
      <c r="P13" s="3358"/>
      <c r="Q13" s="1153">
        <f t="shared" si="6"/>
        <v>111</v>
      </c>
      <c r="R13" s="1571" t="s">
        <v>8</v>
      </c>
      <c r="S13" s="1572">
        <f t="shared" si="0"/>
        <v>100</v>
      </c>
      <c r="T13" s="1571" t="s">
        <v>8</v>
      </c>
      <c r="U13" s="1572">
        <f t="shared" si="1"/>
        <v>100</v>
      </c>
      <c r="V13" s="1571" t="s">
        <v>8</v>
      </c>
      <c r="W13" s="1572">
        <f t="shared" si="2"/>
        <v>100</v>
      </c>
      <c r="X13" s="1573"/>
      <c r="Y13" s="3304"/>
      <c r="Z13" s="1152">
        <f t="shared" si="7"/>
        <v>111</v>
      </c>
      <c r="AA13" s="1574">
        <f t="shared" si="3"/>
        <v>1</v>
      </c>
      <c r="AB13" s="1574">
        <f t="shared" si="4"/>
        <v>1</v>
      </c>
      <c r="AC13" s="1574">
        <f t="shared" si="5"/>
        <v>1</v>
      </c>
    </row>
    <row r="14" spans="1:29" ht="15.75" thickBot="1">
      <c r="A14" s="2955"/>
      <c r="B14" s="2961">
        <v>111</v>
      </c>
      <c r="C14" s="548"/>
      <c r="D14" s="549">
        <v>100</v>
      </c>
      <c r="E14" s="914"/>
      <c r="F14" s="549">
        <f>SUMIF(75:75,E14,76:76)-SUMIF(75:75,C14,76:76)+100</f>
        <v>100</v>
      </c>
      <c r="G14" s="913"/>
      <c r="H14" s="549">
        <f>SUMIF(75:75,G14,76:76)-SUMIF(75:75,C14,76:76)+100</f>
        <v>100</v>
      </c>
      <c r="I14" s="531"/>
      <c r="J14" s="549">
        <f>SUMIF(75:75,I14,76:76)-SUMIF(75:75,C14,76:76)+100</f>
        <v>100</v>
      </c>
      <c r="K14" s="584"/>
      <c r="L14" s="2150"/>
      <c r="M14" s="2142"/>
      <c r="N14" s="2142"/>
      <c r="O14" s="2142"/>
      <c r="P14" s="3358"/>
      <c r="Q14" s="1153">
        <f t="shared" si="6"/>
        <v>111</v>
      </c>
      <c r="R14" s="1571" t="s">
        <v>8</v>
      </c>
      <c r="S14" s="1572">
        <f t="shared" si="0"/>
        <v>100</v>
      </c>
      <c r="T14" s="1571" t="s">
        <v>8</v>
      </c>
      <c r="U14" s="1572">
        <f t="shared" si="1"/>
        <v>100</v>
      </c>
      <c r="V14" s="1571" t="s">
        <v>8</v>
      </c>
      <c r="W14" s="1572">
        <f t="shared" si="2"/>
        <v>100</v>
      </c>
      <c r="X14" s="1573"/>
      <c r="Y14" s="3304"/>
      <c r="Z14" s="1152">
        <f t="shared" si="7"/>
        <v>111</v>
      </c>
      <c r="AA14" s="1574">
        <f t="shared" si="3"/>
        <v>1</v>
      </c>
      <c r="AB14" s="1574">
        <f t="shared" si="4"/>
        <v>1</v>
      </c>
      <c r="AC14" s="1574">
        <f t="shared" si="5"/>
        <v>1</v>
      </c>
    </row>
    <row r="15" spans="1:29" ht="15">
      <c r="A15" s="2947" t="s">
        <v>2764</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0"/>
      <c r="M15" s="2142"/>
      <c r="N15" s="2142"/>
      <c r="O15" s="2142"/>
      <c r="P15" s="3393" t="s">
        <v>541</v>
      </c>
      <c r="Q15" s="1575" t="str">
        <f t="shared" si="6"/>
        <v>办公集聚程度</v>
      </c>
      <c r="R15" s="1576" t="s">
        <v>8</v>
      </c>
      <c r="S15" s="1577">
        <f t="shared" si="0"/>
        <v>100</v>
      </c>
      <c r="T15" s="1576" t="s">
        <v>8</v>
      </c>
      <c r="U15" s="1577">
        <f t="shared" si="1"/>
        <v>100</v>
      </c>
      <c r="V15" s="1576" t="s">
        <v>8</v>
      </c>
      <c r="W15" s="1577">
        <f t="shared" si="2"/>
        <v>100</v>
      </c>
      <c r="X15" s="1570"/>
      <c r="Y15" s="3393"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50"/>
      <c r="M16" s="2142"/>
      <c r="N16" s="2142"/>
      <c r="O16" s="2142"/>
      <c r="P16" s="3394"/>
      <c r="Q16" s="1575"/>
      <c r="R16" s="1576"/>
      <c r="S16" s="1577"/>
      <c r="T16" s="1576"/>
      <c r="U16" s="1577"/>
      <c r="V16" s="1576"/>
      <c r="W16" s="1577"/>
      <c r="X16" s="1570"/>
      <c r="Y16" s="3394"/>
      <c r="Z16" s="1578"/>
      <c r="AA16" s="1579">
        <v>1</v>
      </c>
      <c r="AB16" s="1579">
        <v>1</v>
      </c>
      <c r="AC16" s="1579">
        <v>1</v>
      </c>
    </row>
    <row r="17" spans="1:29" ht="15">
      <c r="A17" s="535"/>
      <c r="B17" s="563" t="s">
        <v>296</v>
      </c>
      <c r="C17" s="576" t="str">
        <f>估价对象房地状况!C6</f>
        <v>一般</v>
      </c>
      <c r="D17" s="562">
        <v>100</v>
      </c>
      <c r="E17" s="567"/>
      <c r="F17" s="562">
        <f>SUMIF(79:79,E18,80:80)-SUMIF(79:79,C18,80:80)+100</f>
        <v>100</v>
      </c>
      <c r="G17" s="565"/>
      <c r="H17" s="568">
        <f>SUMIF(79:79,G18,80:80)-SUMIF(79:79,C18,80:80)+100</f>
        <v>100</v>
      </c>
      <c r="I17" s="565"/>
      <c r="J17" s="568">
        <f>SUMIF(79:79,I18,80:80)-SUMIF(79:79,C18,80:80)+100</f>
        <v>100</v>
      </c>
      <c r="K17" s="901"/>
      <c r="L17" s="2150"/>
      <c r="M17" s="2142"/>
      <c r="N17" s="2142"/>
      <c r="O17" s="2142"/>
      <c r="P17" s="3394"/>
      <c r="Q17" s="1575" t="str">
        <f>B17</f>
        <v>交通便捷度</v>
      </c>
      <c r="R17" s="1576" t="s">
        <v>8</v>
      </c>
      <c r="S17" s="1577">
        <f>F17</f>
        <v>100</v>
      </c>
      <c r="T17" s="1576" t="s">
        <v>8</v>
      </c>
      <c r="U17" s="1577">
        <f>H17</f>
        <v>100</v>
      </c>
      <c r="V17" s="1576" t="s">
        <v>8</v>
      </c>
      <c r="W17" s="1577">
        <f>J17</f>
        <v>100</v>
      </c>
      <c r="X17" s="1570"/>
      <c r="Y17" s="3394"/>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50"/>
      <c r="M18" s="2142"/>
      <c r="N18" s="2142"/>
      <c r="O18" s="2142"/>
      <c r="P18" s="3394"/>
      <c r="Q18" s="1575"/>
      <c r="R18" s="1576"/>
      <c r="S18" s="1577"/>
      <c r="T18" s="1576"/>
      <c r="U18" s="1577"/>
      <c r="V18" s="1576"/>
      <c r="W18" s="1577"/>
      <c r="X18" s="1570"/>
      <c r="Y18" s="3394"/>
      <c r="Z18" s="1578"/>
      <c r="AA18" s="1579">
        <v>1</v>
      </c>
      <c r="AB18" s="1579">
        <v>1</v>
      </c>
      <c r="AC18" s="1579">
        <v>1</v>
      </c>
    </row>
    <row r="19" spans="1:29" ht="15">
      <c r="A19" s="535"/>
      <c r="B19" s="2636" t="s">
        <v>2553</v>
      </c>
      <c r="C19" s="576" t="str">
        <f>估价对象房地状况!C7</f>
        <v>一般</v>
      </c>
      <c r="D19" s="568">
        <v>100</v>
      </c>
      <c r="E19" s="575"/>
      <c r="F19" s="568">
        <f>SUMIF(81:81,E20,82:82)-SUMIF(81:81,C20,82:82)+100</f>
        <v>100</v>
      </c>
      <c r="G19" s="573"/>
      <c r="H19" s="562">
        <f>SUMIF(81:81,G20,82:82)-SUMIF(81:81,C20,82:82)+100</f>
        <v>100</v>
      </c>
      <c r="I19" s="573"/>
      <c r="J19" s="562">
        <f>SUMIF(81:81,I20,82:82)-SUMIF(81:81,C20,82:82)+100</f>
        <v>100</v>
      </c>
      <c r="K19" s="901"/>
      <c r="L19" s="2150"/>
      <c r="M19" s="2142"/>
      <c r="N19" s="2142"/>
      <c r="O19" s="2142"/>
      <c r="P19" s="3394"/>
      <c r="Q19" s="1575" t="str">
        <f>B19</f>
        <v>公共配套设施</v>
      </c>
      <c r="R19" s="1576" t="s">
        <v>8</v>
      </c>
      <c r="S19" s="1577">
        <f>F19</f>
        <v>100</v>
      </c>
      <c r="T19" s="1576" t="s">
        <v>8</v>
      </c>
      <c r="U19" s="1577">
        <f>H19</f>
        <v>100</v>
      </c>
      <c r="V19" s="1576" t="s">
        <v>8</v>
      </c>
      <c r="W19" s="1577">
        <f>J19</f>
        <v>100</v>
      </c>
      <c r="X19" s="1570"/>
      <c r="Y19" s="3394"/>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50"/>
      <c r="M20" s="2142"/>
      <c r="N20" s="2142"/>
      <c r="O20" s="2142"/>
      <c r="P20" s="3394"/>
      <c r="Q20" s="1575"/>
      <c r="R20" s="1576"/>
      <c r="S20" s="1577"/>
      <c r="T20" s="1576"/>
      <c r="U20" s="1577"/>
      <c r="V20" s="1576"/>
      <c r="W20" s="1577"/>
      <c r="X20" s="1570"/>
      <c r="Y20" s="3394"/>
      <c r="Z20" s="1578"/>
      <c r="AA20" s="1579">
        <v>1</v>
      </c>
      <c r="AB20" s="1579">
        <v>1</v>
      </c>
      <c r="AC20" s="1579">
        <v>1</v>
      </c>
    </row>
    <row r="21" spans="1:29" ht="15">
      <c r="A21" s="535"/>
      <c r="B21" s="2624" t="s">
        <v>2565</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1"/>
      <c r="L21" s="2150"/>
      <c r="M21" s="2142"/>
      <c r="N21" s="2142"/>
      <c r="O21" s="2142"/>
      <c r="P21" s="3394"/>
      <c r="Q21" s="2612" t="str">
        <f>B21</f>
        <v>基础设施水平</v>
      </c>
      <c r="R21" s="1576" t="s">
        <v>8</v>
      </c>
      <c r="S21" s="1577">
        <f>F21</f>
        <v>100</v>
      </c>
      <c r="T21" s="1576" t="s">
        <v>8</v>
      </c>
      <c r="U21" s="1577">
        <f>H21</f>
        <v>100</v>
      </c>
      <c r="V21" s="1576" t="s">
        <v>8</v>
      </c>
      <c r="W21" s="1577">
        <f>J21</f>
        <v>100</v>
      </c>
      <c r="X21" s="2614"/>
      <c r="Y21" s="3394"/>
      <c r="Z21" s="2613"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5"/>
      <c r="L22" s="2150"/>
      <c r="M22" s="2142"/>
      <c r="N22" s="2142"/>
      <c r="O22" s="2142"/>
      <c r="P22" s="3394"/>
      <c r="Q22" s="2612"/>
      <c r="R22" s="1576"/>
      <c r="S22" s="1577"/>
      <c r="T22" s="1576"/>
      <c r="U22" s="1577"/>
      <c r="V22" s="1576"/>
      <c r="W22" s="1577"/>
      <c r="X22" s="2614"/>
      <c r="Y22" s="3394"/>
      <c r="Z22" s="2613"/>
      <c r="AA22" s="1579">
        <v>1</v>
      </c>
      <c r="AB22" s="1579">
        <v>1</v>
      </c>
      <c r="AC22" s="1579">
        <v>1</v>
      </c>
    </row>
    <row r="23" spans="1:29" ht="15">
      <c r="A23" s="535"/>
      <c r="B23" s="563" t="s">
        <v>781</v>
      </c>
      <c r="C23" s="576" t="str">
        <f>估价对象房地状况!C9</f>
        <v>一般</v>
      </c>
      <c r="D23" s="562">
        <v>100</v>
      </c>
      <c r="E23" s="567"/>
      <c r="F23" s="562">
        <f>SUMIF(85:85,E24,86:86)-SUMIF(85:85,C24,86:86)+100</f>
        <v>100</v>
      </c>
      <c r="G23" s="565"/>
      <c r="H23" s="562">
        <f>SUMIF(85:85,G24,86:86)-SUMIF(85:85,C24,86:86)+100</f>
        <v>100</v>
      </c>
      <c r="I23" s="565"/>
      <c r="J23" s="562">
        <f>SUMIF(85:85,I24,86:86)-SUMIF(85:85,C24,86:86)+100</f>
        <v>100</v>
      </c>
      <c r="K23" s="901"/>
      <c r="L23" s="2150"/>
      <c r="M23" s="2142"/>
      <c r="N23" s="2142"/>
      <c r="O23" s="2142"/>
      <c r="P23" s="3394"/>
      <c r="Q23" s="1575" t="str">
        <f>B23</f>
        <v>环境质量</v>
      </c>
      <c r="R23" s="1576" t="s">
        <v>8</v>
      </c>
      <c r="S23" s="1577">
        <f>F23</f>
        <v>100</v>
      </c>
      <c r="T23" s="1576" t="s">
        <v>8</v>
      </c>
      <c r="U23" s="1577">
        <f>H23</f>
        <v>100</v>
      </c>
      <c r="V23" s="1576" t="s">
        <v>8</v>
      </c>
      <c r="W23" s="1577">
        <f>J23</f>
        <v>100</v>
      </c>
      <c r="X23" s="1570"/>
      <c r="Y23" s="3394"/>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50"/>
      <c r="M24" s="2142"/>
      <c r="N24" s="2142"/>
      <c r="O24" s="2142"/>
      <c r="P24" s="3394"/>
      <c r="Q24" s="1575"/>
      <c r="R24" s="1576"/>
      <c r="S24" s="1577"/>
      <c r="T24" s="1576"/>
      <c r="U24" s="1577"/>
      <c r="V24" s="1576"/>
      <c r="W24" s="1577"/>
      <c r="X24" s="1570"/>
      <c r="Y24" s="3394"/>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0"/>
      <c r="M25" s="2142"/>
      <c r="N25" s="2142"/>
      <c r="O25" s="2142"/>
      <c r="P25" s="3394"/>
      <c r="Q25" s="1575" t="str">
        <f>B25</f>
        <v>毗邻道路的类型与等级</v>
      </c>
      <c r="R25" s="1576" t="s">
        <v>8</v>
      </c>
      <c r="S25" s="1577">
        <f>F25</f>
        <v>100</v>
      </c>
      <c r="T25" s="1576" t="s">
        <v>8</v>
      </c>
      <c r="U25" s="1577">
        <f>H25</f>
        <v>100</v>
      </c>
      <c r="V25" s="1576" t="s">
        <v>8</v>
      </c>
      <c r="W25" s="1577">
        <f>J25</f>
        <v>100</v>
      </c>
      <c r="X25" s="1570"/>
      <c r="Y25" s="3394"/>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50"/>
      <c r="M26" s="2142"/>
      <c r="N26" s="2142"/>
      <c r="O26" s="2142"/>
      <c r="P26" s="3394"/>
      <c r="Q26" s="1575"/>
      <c r="R26" s="1576"/>
      <c r="S26" s="1577"/>
      <c r="T26" s="1576"/>
      <c r="U26" s="1577"/>
      <c r="V26" s="1576"/>
      <c r="W26" s="1577"/>
      <c r="X26" s="1570"/>
      <c r="Y26" s="3394"/>
      <c r="Z26" s="1578"/>
      <c r="AA26" s="1579">
        <v>1</v>
      </c>
      <c r="AB26" s="1579">
        <v>1</v>
      </c>
      <c r="AC26" s="1579">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394"/>
      <c r="Q27" s="1575" t="str">
        <f t="shared" ref="Q27:Q47" si="11">B27</f>
        <v>楼层</v>
      </c>
      <c r="R27" s="1576" t="s">
        <v>8</v>
      </c>
      <c r="S27" s="1577">
        <f>F27</f>
        <v>100</v>
      </c>
      <c r="T27" s="1576" t="s">
        <v>8</v>
      </c>
      <c r="U27" s="1577">
        <f>H27</f>
        <v>100</v>
      </c>
      <c r="V27" s="1576" t="s">
        <v>8</v>
      </c>
      <c r="W27" s="1577">
        <f>J27</f>
        <v>100</v>
      </c>
      <c r="X27" s="1570"/>
      <c r="Y27" s="3394"/>
      <c r="Z27" s="1578" t="str">
        <f>Q27</f>
        <v>楼层</v>
      </c>
      <c r="AA27" s="1579">
        <f t="shared" si="3"/>
        <v>1</v>
      </c>
      <c r="AB27" s="1579">
        <f t="shared" si="4"/>
        <v>1</v>
      </c>
      <c r="AC27" s="1579">
        <f t="shared" si="5"/>
        <v>1</v>
      </c>
    </row>
    <row r="28" spans="1:29" s="1222"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3"/>
      <c r="M28" s="2144"/>
      <c r="N28" s="2144"/>
      <c r="O28" s="2144"/>
      <c r="P28" s="3394"/>
      <c r="Q28" s="1153" t="str">
        <f t="shared" si="11"/>
        <v>朝向</v>
      </c>
      <c r="R28" s="1571" t="s">
        <v>8</v>
      </c>
      <c r="S28" s="1572">
        <f>F28</f>
        <v>100</v>
      </c>
      <c r="T28" s="1571" t="s">
        <v>8</v>
      </c>
      <c r="U28" s="1572">
        <f>H28</f>
        <v>100</v>
      </c>
      <c r="V28" s="1571" t="s">
        <v>8</v>
      </c>
      <c r="W28" s="1572">
        <f>J28</f>
        <v>100</v>
      </c>
      <c r="X28" s="1573"/>
      <c r="Y28" s="3394"/>
      <c r="Z28" s="1152"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0"/>
      <c r="M29" s="2142"/>
      <c r="N29" s="2142"/>
      <c r="O29" s="2142"/>
      <c r="P29" s="3394"/>
      <c r="Q29" s="1575">
        <f t="shared" si="11"/>
        <v>111</v>
      </c>
      <c r="R29" s="1576" t="s">
        <v>8</v>
      </c>
      <c r="S29" s="1577">
        <f t="shared" ref="S29:S47" si="12">F29</f>
        <v>100</v>
      </c>
      <c r="T29" s="1576" t="s">
        <v>8</v>
      </c>
      <c r="U29" s="1577">
        <f t="shared" ref="U29:U47" si="13">H29</f>
        <v>100</v>
      </c>
      <c r="V29" s="1576" t="s">
        <v>8</v>
      </c>
      <c r="W29" s="1577">
        <f t="shared" ref="W29:W47" si="14">J29</f>
        <v>100</v>
      </c>
      <c r="X29" s="1570"/>
      <c r="Y29" s="3394"/>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0"/>
      <c r="M30" s="2142"/>
      <c r="N30" s="2142"/>
      <c r="O30" s="2142"/>
      <c r="P30" s="3394"/>
      <c r="Q30" s="1575">
        <f t="shared" si="11"/>
        <v>111</v>
      </c>
      <c r="R30" s="1576" t="s">
        <v>8</v>
      </c>
      <c r="S30" s="1577">
        <f t="shared" si="12"/>
        <v>100</v>
      </c>
      <c r="T30" s="1576" t="s">
        <v>8</v>
      </c>
      <c r="U30" s="1577">
        <f t="shared" si="13"/>
        <v>100</v>
      </c>
      <c r="V30" s="1576" t="s">
        <v>8</v>
      </c>
      <c r="W30" s="1577">
        <f t="shared" si="14"/>
        <v>100</v>
      </c>
      <c r="X30" s="1570"/>
      <c r="Y30" s="3394"/>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0"/>
      <c r="M31" s="2142"/>
      <c r="N31" s="2142"/>
      <c r="O31" s="2142"/>
      <c r="P31" s="3394"/>
      <c r="Q31" s="1575">
        <f t="shared" si="11"/>
        <v>111</v>
      </c>
      <c r="R31" s="1576" t="s">
        <v>8</v>
      </c>
      <c r="S31" s="1577">
        <f t="shared" si="12"/>
        <v>100</v>
      </c>
      <c r="T31" s="1576" t="s">
        <v>8</v>
      </c>
      <c r="U31" s="1577">
        <f t="shared" si="13"/>
        <v>100</v>
      </c>
      <c r="V31" s="1576" t="s">
        <v>8</v>
      </c>
      <c r="W31" s="1577">
        <f t="shared" si="14"/>
        <v>100</v>
      </c>
      <c r="X31" s="1570"/>
      <c r="Y31" s="3394"/>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0"/>
      <c r="M32" s="2142"/>
      <c r="N32" s="2142"/>
      <c r="O32" s="2142"/>
      <c r="P32" s="3394"/>
      <c r="Q32" s="1575">
        <f t="shared" si="11"/>
        <v>111</v>
      </c>
      <c r="R32" s="1576" t="s">
        <v>8</v>
      </c>
      <c r="S32" s="1577">
        <f t="shared" si="12"/>
        <v>100</v>
      </c>
      <c r="T32" s="1576" t="s">
        <v>8</v>
      </c>
      <c r="U32" s="1577">
        <f t="shared" si="13"/>
        <v>100</v>
      </c>
      <c r="V32" s="1576" t="s">
        <v>8</v>
      </c>
      <c r="W32" s="1577">
        <f t="shared" si="14"/>
        <v>100</v>
      </c>
      <c r="X32" s="1570"/>
      <c r="Y32" s="3394"/>
      <c r="Z32" s="1578">
        <f t="shared" si="15"/>
        <v>111</v>
      </c>
      <c r="AA32" s="1579">
        <f t="shared" si="3"/>
        <v>1</v>
      </c>
      <c r="AB32" s="1579">
        <f t="shared" si="4"/>
        <v>1</v>
      </c>
      <c r="AC32" s="1579">
        <f t="shared" si="5"/>
        <v>1</v>
      </c>
    </row>
    <row r="33" spans="1:29" ht="15">
      <c r="A33" s="2944"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0"/>
      <c r="M33" s="2142"/>
      <c r="N33" s="2142"/>
      <c r="O33" s="2142"/>
      <c r="P33" s="3395" t="s">
        <v>551</v>
      </c>
      <c r="Q33" s="1575" t="str">
        <f t="shared" si="11"/>
        <v>建筑类型</v>
      </c>
      <c r="R33" s="1576" t="s">
        <v>8</v>
      </c>
      <c r="S33" s="1577">
        <f t="shared" si="12"/>
        <v>100</v>
      </c>
      <c r="T33" s="1576" t="s">
        <v>8</v>
      </c>
      <c r="U33" s="1577">
        <f t="shared" si="13"/>
        <v>100</v>
      </c>
      <c r="V33" s="1576" t="s">
        <v>8</v>
      </c>
      <c r="W33" s="1577">
        <f t="shared" si="14"/>
        <v>100</v>
      </c>
      <c r="X33" s="1570"/>
      <c r="Y33" s="3396" t="s">
        <v>551</v>
      </c>
      <c r="Z33" s="1578" t="str">
        <f t="shared" si="15"/>
        <v>建筑类型</v>
      </c>
      <c r="AA33" s="1579">
        <f t="shared" si="3"/>
        <v>1</v>
      </c>
      <c r="AB33" s="1579">
        <f t="shared" si="4"/>
        <v>1</v>
      </c>
      <c r="AC33" s="1579">
        <f t="shared" si="5"/>
        <v>1</v>
      </c>
    </row>
    <row r="34" spans="1:29" s="1341"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396"/>
      <c r="Q34" s="1608" t="str">
        <f t="shared" si="11"/>
        <v>项目建筑规模</v>
      </c>
      <c r="R34" s="1580" t="s">
        <v>8</v>
      </c>
      <c r="S34" s="1581" t="e">
        <f t="shared" si="12"/>
        <v>#N/A</v>
      </c>
      <c r="T34" s="1580" t="s">
        <v>8</v>
      </c>
      <c r="U34" s="1581" t="e">
        <f t="shared" si="13"/>
        <v>#N/A</v>
      </c>
      <c r="V34" s="1580" t="s">
        <v>8</v>
      </c>
      <c r="W34" s="1581" t="e">
        <f t="shared" si="14"/>
        <v>#N/A</v>
      </c>
      <c r="X34" s="1582"/>
      <c r="Y34" s="3396"/>
      <c r="Z34" s="1583" t="str">
        <f t="shared" si="15"/>
        <v>项目建筑规模</v>
      </c>
      <c r="AA34" s="1579" t="e">
        <f t="shared" si="3"/>
        <v>#N/A</v>
      </c>
      <c r="AB34" s="1579" t="e">
        <f t="shared" si="4"/>
        <v>#N/A</v>
      </c>
      <c r="AC34" s="1579"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396"/>
      <c r="Q35" s="1575" t="str">
        <f t="shared" si="11"/>
        <v>建筑结构</v>
      </c>
      <c r="R35" s="1576" t="s">
        <v>8</v>
      </c>
      <c r="S35" s="1577">
        <f t="shared" si="12"/>
        <v>100</v>
      </c>
      <c r="T35" s="1576" t="s">
        <v>8</v>
      </c>
      <c r="U35" s="1577">
        <f t="shared" si="13"/>
        <v>100</v>
      </c>
      <c r="V35" s="1576" t="s">
        <v>8</v>
      </c>
      <c r="W35" s="1577">
        <f t="shared" si="14"/>
        <v>100</v>
      </c>
      <c r="X35" s="1570"/>
      <c r="Y35" s="3396"/>
      <c r="Z35" s="1578" t="str">
        <f t="shared" si="15"/>
        <v>建筑结构</v>
      </c>
      <c r="AA35" s="1579">
        <f t="shared" si="3"/>
        <v>1</v>
      </c>
      <c r="AB35" s="1579">
        <f t="shared" si="4"/>
        <v>1</v>
      </c>
      <c r="AC35" s="1579">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396"/>
      <c r="Q36" s="1575" t="str">
        <f t="shared" si="11"/>
        <v>公共部分装修</v>
      </c>
      <c r="R36" s="1576" t="s">
        <v>8</v>
      </c>
      <c r="S36" s="1577">
        <f t="shared" si="12"/>
        <v>100</v>
      </c>
      <c r="T36" s="1576" t="s">
        <v>8</v>
      </c>
      <c r="U36" s="1577">
        <f t="shared" si="13"/>
        <v>100</v>
      </c>
      <c r="V36" s="1576" t="s">
        <v>8</v>
      </c>
      <c r="W36" s="1577">
        <f t="shared" si="14"/>
        <v>100</v>
      </c>
      <c r="X36" s="1570"/>
      <c r="Y36" s="3396"/>
      <c r="Z36" s="1578" t="str">
        <f t="shared" si="15"/>
        <v>公共部分装修</v>
      </c>
      <c r="AA36" s="1579">
        <f t="shared" si="3"/>
        <v>1</v>
      </c>
      <c r="AB36" s="1579">
        <f t="shared" si="4"/>
        <v>1</v>
      </c>
      <c r="AC36" s="1579">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0"/>
      <c r="M37" s="2142"/>
      <c r="N37" s="2142"/>
      <c r="O37" s="2142"/>
      <c r="P37" s="3396"/>
      <c r="Q37" s="1575" t="str">
        <f t="shared" si="11"/>
        <v>成新度</v>
      </c>
      <c r="R37" s="1576" t="s">
        <v>8</v>
      </c>
      <c r="S37" s="1577" t="e">
        <f t="shared" si="12"/>
        <v>#N/A</v>
      </c>
      <c r="T37" s="1576" t="s">
        <v>8</v>
      </c>
      <c r="U37" s="1577" t="e">
        <f t="shared" si="13"/>
        <v>#N/A</v>
      </c>
      <c r="V37" s="1576" t="s">
        <v>8</v>
      </c>
      <c r="W37" s="1577" t="e">
        <f t="shared" si="14"/>
        <v>#N/A</v>
      </c>
      <c r="X37" s="1570"/>
      <c r="Y37" s="3396"/>
      <c r="Z37" s="1578" t="str">
        <f t="shared" si="15"/>
        <v>成新度</v>
      </c>
      <c r="AA37" s="1579" t="e">
        <f t="shared" si="3"/>
        <v>#N/A</v>
      </c>
      <c r="AB37" s="1579" t="e">
        <f t="shared" si="4"/>
        <v>#N/A</v>
      </c>
      <c r="AC37" s="1579" t="e">
        <f t="shared" si="5"/>
        <v>#N/A</v>
      </c>
    </row>
    <row r="38" spans="1:29" s="1222"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396"/>
      <c r="Q38" s="1153" t="str">
        <f t="shared" si="11"/>
        <v>写字楼等级</v>
      </c>
      <c r="R38" s="1571" t="s">
        <v>8</v>
      </c>
      <c r="S38" s="1572">
        <f t="shared" si="12"/>
        <v>100</v>
      </c>
      <c r="T38" s="1571" t="s">
        <v>8</v>
      </c>
      <c r="U38" s="1572">
        <f t="shared" si="13"/>
        <v>100</v>
      </c>
      <c r="V38" s="1571" t="s">
        <v>8</v>
      </c>
      <c r="W38" s="1572">
        <f t="shared" si="14"/>
        <v>100</v>
      </c>
      <c r="X38" s="1573"/>
      <c r="Y38" s="3396"/>
      <c r="Z38" s="1152" t="str">
        <f t="shared" si="15"/>
        <v>写字楼等级</v>
      </c>
      <c r="AA38" s="1574">
        <f t="shared" si="3"/>
        <v>1</v>
      </c>
      <c r="AB38" s="1574">
        <f t="shared" si="4"/>
        <v>1</v>
      </c>
      <c r="AC38" s="1574">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396" t="s">
        <v>551</v>
      </c>
      <c r="Q39" s="1575" t="str">
        <f t="shared" si="11"/>
        <v>物业管理</v>
      </c>
      <c r="R39" s="1576" t="s">
        <v>8</v>
      </c>
      <c r="S39" s="1577">
        <f t="shared" si="12"/>
        <v>100</v>
      </c>
      <c r="T39" s="1576" t="s">
        <v>8</v>
      </c>
      <c r="U39" s="1577">
        <f t="shared" si="13"/>
        <v>100</v>
      </c>
      <c r="V39" s="1576" t="s">
        <v>8</v>
      </c>
      <c r="W39" s="1577">
        <f t="shared" si="14"/>
        <v>100</v>
      </c>
      <c r="X39" s="1570"/>
      <c r="Y39" s="3396"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396"/>
      <c r="Q40" s="1575" t="str">
        <f t="shared" si="11"/>
        <v>市政基础设施</v>
      </c>
      <c r="R40" s="1576" t="s">
        <v>8</v>
      </c>
      <c r="S40" s="1577">
        <f t="shared" si="12"/>
        <v>100</v>
      </c>
      <c r="T40" s="1576" t="s">
        <v>8</v>
      </c>
      <c r="U40" s="1577">
        <f t="shared" si="13"/>
        <v>100</v>
      </c>
      <c r="V40" s="1576" t="s">
        <v>8</v>
      </c>
      <c r="W40" s="1577">
        <f t="shared" si="14"/>
        <v>100</v>
      </c>
      <c r="X40" s="1570"/>
      <c r="Y40" s="3396"/>
      <c r="Z40" s="1578" t="str">
        <f t="shared" si="15"/>
        <v>市政基础设施</v>
      </c>
      <c r="AA40" s="1579">
        <f t="shared" si="3"/>
        <v>1</v>
      </c>
      <c r="AB40" s="1579">
        <f t="shared" si="4"/>
        <v>1</v>
      </c>
      <c r="AC40" s="1579">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396"/>
      <c r="Q41" s="1575" t="str">
        <f t="shared" si="11"/>
        <v>层高</v>
      </c>
      <c r="R41" s="1576" t="s">
        <v>8</v>
      </c>
      <c r="S41" s="1577">
        <f t="shared" si="12"/>
        <v>100</v>
      </c>
      <c r="T41" s="1576" t="s">
        <v>8</v>
      </c>
      <c r="U41" s="1577">
        <f t="shared" si="13"/>
        <v>100</v>
      </c>
      <c r="V41" s="1576" t="s">
        <v>8</v>
      </c>
      <c r="W41" s="1577">
        <f t="shared" si="14"/>
        <v>100</v>
      </c>
      <c r="X41" s="1570"/>
      <c r="Y41" s="3396"/>
      <c r="Z41" s="1578" t="str">
        <f t="shared" si="15"/>
        <v>层高</v>
      </c>
      <c r="AA41" s="1579">
        <f t="shared" si="3"/>
        <v>1</v>
      </c>
      <c r="AB41" s="1579">
        <f t="shared" si="4"/>
        <v>1</v>
      </c>
      <c r="AC41" s="1579">
        <f t="shared" si="5"/>
        <v>1</v>
      </c>
    </row>
    <row r="42" spans="1:29" s="1341"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396"/>
      <c r="Q42" s="1608" t="str">
        <f t="shared" si="11"/>
        <v>单套建筑面积</v>
      </c>
      <c r="R42" s="1580" t="s">
        <v>8</v>
      </c>
      <c r="S42" s="1581">
        <f t="shared" si="12"/>
        <v>100</v>
      </c>
      <c r="T42" s="1580" t="s">
        <v>8</v>
      </c>
      <c r="U42" s="1581">
        <f t="shared" si="13"/>
        <v>100</v>
      </c>
      <c r="V42" s="1580" t="s">
        <v>8</v>
      </c>
      <c r="W42" s="1581">
        <f t="shared" si="14"/>
        <v>100</v>
      </c>
      <c r="X42" s="1582"/>
      <c r="Y42" s="3396"/>
      <c r="Z42" s="1583" t="str">
        <f t="shared" si="15"/>
        <v>单套建筑面积</v>
      </c>
      <c r="AA42" s="1579">
        <f t="shared" si="3"/>
        <v>1</v>
      </c>
      <c r="AB42" s="1579">
        <f t="shared" si="4"/>
        <v>1</v>
      </c>
      <c r="AC42" s="1579">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396"/>
      <c r="Q43" s="1575" t="str">
        <f t="shared" si="11"/>
        <v>内部装修</v>
      </c>
      <c r="R43" s="1576" t="s">
        <v>8</v>
      </c>
      <c r="S43" s="1577">
        <f t="shared" si="12"/>
        <v>100</v>
      </c>
      <c r="T43" s="1576" t="s">
        <v>8</v>
      </c>
      <c r="U43" s="1577">
        <f t="shared" si="13"/>
        <v>100</v>
      </c>
      <c r="V43" s="1576" t="s">
        <v>8</v>
      </c>
      <c r="W43" s="1577">
        <f t="shared" si="14"/>
        <v>100</v>
      </c>
      <c r="X43" s="1570"/>
      <c r="Y43" s="3396"/>
      <c r="Z43" s="1578" t="str">
        <f t="shared" si="15"/>
        <v>内部装修</v>
      </c>
      <c r="AA43" s="1579">
        <f t="shared" si="3"/>
        <v>1</v>
      </c>
      <c r="AB43" s="1579">
        <f t="shared" si="4"/>
        <v>1</v>
      </c>
      <c r="AC43" s="1579">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396"/>
      <c r="Q44" s="1575" t="str">
        <f t="shared" si="11"/>
        <v>内部装修维护情况</v>
      </c>
      <c r="R44" s="1576" t="s">
        <v>8</v>
      </c>
      <c r="S44" s="1577">
        <f t="shared" si="12"/>
        <v>100</v>
      </c>
      <c r="T44" s="1576" t="s">
        <v>8</v>
      </c>
      <c r="U44" s="1577">
        <f t="shared" si="13"/>
        <v>100</v>
      </c>
      <c r="V44" s="1576" t="s">
        <v>8</v>
      </c>
      <c r="W44" s="1577">
        <f t="shared" si="14"/>
        <v>100</v>
      </c>
      <c r="X44" s="1570"/>
      <c r="Y44" s="3396"/>
      <c r="Z44" s="1578" t="str">
        <f t="shared" si="15"/>
        <v>内部装修维护情况</v>
      </c>
      <c r="AA44" s="1579">
        <f t="shared" si="3"/>
        <v>1</v>
      </c>
      <c r="AB44" s="1579">
        <f t="shared" si="4"/>
        <v>1</v>
      </c>
      <c r="AC44" s="1579">
        <f t="shared" si="5"/>
        <v>1</v>
      </c>
    </row>
    <row r="45" spans="1:29" s="1222"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396"/>
      <c r="Q45" s="1153">
        <f t="shared" si="11"/>
        <v>111</v>
      </c>
      <c r="R45" s="1571" t="s">
        <v>8</v>
      </c>
      <c r="S45" s="1572">
        <f t="shared" si="12"/>
        <v>100</v>
      </c>
      <c r="T45" s="1571" t="s">
        <v>8</v>
      </c>
      <c r="U45" s="1572">
        <f t="shared" si="13"/>
        <v>100</v>
      </c>
      <c r="V45" s="1571" t="s">
        <v>8</v>
      </c>
      <c r="W45" s="1572">
        <f t="shared" si="14"/>
        <v>100</v>
      </c>
      <c r="X45" s="1573"/>
      <c r="Y45" s="3396"/>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396"/>
      <c r="Q46" s="1575">
        <f t="shared" si="11"/>
        <v>111</v>
      </c>
      <c r="R46" s="1576" t="s">
        <v>8</v>
      </c>
      <c r="S46" s="1577">
        <f t="shared" si="12"/>
        <v>100</v>
      </c>
      <c r="T46" s="1576" t="s">
        <v>8</v>
      </c>
      <c r="U46" s="1577">
        <f t="shared" si="13"/>
        <v>100</v>
      </c>
      <c r="V46" s="1576" t="s">
        <v>8</v>
      </c>
      <c r="W46" s="1577">
        <f t="shared" si="14"/>
        <v>100</v>
      </c>
      <c r="X46" s="1570"/>
      <c r="Y46" s="3396"/>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471"/>
      <c r="Q47" s="1575">
        <f t="shared" si="11"/>
        <v>111</v>
      </c>
      <c r="R47" s="1576" t="s">
        <v>8</v>
      </c>
      <c r="S47" s="1577">
        <f t="shared" si="12"/>
        <v>100</v>
      </c>
      <c r="T47" s="1576" t="s">
        <v>8</v>
      </c>
      <c r="U47" s="1577">
        <f t="shared" si="13"/>
        <v>100</v>
      </c>
      <c r="V47" s="1576" t="s">
        <v>8</v>
      </c>
      <c r="W47" s="1577">
        <f t="shared" si="14"/>
        <v>100</v>
      </c>
      <c r="X47" s="1570"/>
      <c r="Y47" s="3471"/>
      <c r="Z47" s="1578">
        <f t="shared" si="15"/>
        <v>111</v>
      </c>
      <c r="AA47" s="1579">
        <f t="shared" si="3"/>
        <v>1</v>
      </c>
      <c r="AB47" s="1579">
        <f t="shared" si="4"/>
        <v>1</v>
      </c>
      <c r="AC47" s="1579">
        <f t="shared" si="5"/>
        <v>1</v>
      </c>
    </row>
    <row r="48" spans="1:29" ht="15">
      <c r="A48" s="610" t="s">
        <v>739</v>
      </c>
      <c r="B48" s="890"/>
      <c r="C48" s="2660" t="s">
        <v>1</v>
      </c>
      <c r="D48" s="2661"/>
      <c r="E48" s="2662"/>
      <c r="F48" s="2663"/>
      <c r="G48" s="2664"/>
      <c r="H48" s="2665"/>
      <c r="I48" s="2662"/>
      <c r="J48" s="2665"/>
      <c r="K48" s="1614"/>
      <c r="L48" s="2152"/>
      <c r="M48" s="2142"/>
      <c r="N48" s="2142"/>
      <c r="O48" s="2142"/>
      <c r="P48" s="3356" t="str">
        <f>A48</f>
        <v>成交单价（元/平方米）</v>
      </c>
      <c r="Q48" s="3358"/>
      <c r="R48" s="3470">
        <f>E48</f>
        <v>0</v>
      </c>
      <c r="S48" s="3470"/>
      <c r="T48" s="3470">
        <f>G48</f>
        <v>0</v>
      </c>
      <c r="U48" s="3470"/>
      <c r="V48" s="3470">
        <f>I48</f>
        <v>0</v>
      </c>
      <c r="W48" s="3470"/>
      <c r="X48" s="1562"/>
      <c r="Y48" s="1584"/>
      <c r="Z48" s="1562"/>
      <c r="AA48" s="1562"/>
      <c r="AB48" s="1562"/>
      <c r="AC48" s="1562"/>
    </row>
    <row r="49" spans="1:29" ht="15.75" thickBot="1">
      <c r="A49" s="618" t="s">
        <v>2770</v>
      </c>
      <c r="B49" s="891"/>
      <c r="C49" s="2666" t="e">
        <f>R50</f>
        <v>#DIV/0!</v>
      </c>
      <c r="D49" s="2667"/>
      <c r="E49" s="2668" t="e">
        <f>R49</f>
        <v>#DIV/0!</v>
      </c>
      <c r="F49" s="2668"/>
      <c r="G49" s="2666" t="e">
        <f>T49</f>
        <v>#DIV/0!</v>
      </c>
      <c r="H49" s="2667"/>
      <c r="I49" s="2668" t="e">
        <f>V49</f>
        <v>#DIV/0!</v>
      </c>
      <c r="J49" s="2667"/>
      <c r="K49" s="1615"/>
      <c r="L49" s="2152"/>
      <c r="M49" s="2142"/>
      <c r="N49" s="2142"/>
      <c r="O49" s="2142"/>
      <c r="P49" s="3356" t="str">
        <f>A49</f>
        <v>比较价格（元/平方米）</v>
      </c>
      <c r="Q49" s="3358"/>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2"/>
      <c r="Y49" s="1562"/>
      <c r="Z49" s="1562"/>
      <c r="AA49" s="1562"/>
      <c r="AB49" s="1562"/>
      <c r="AC49" s="1562"/>
    </row>
    <row r="50" spans="1:29" ht="15.75" thickBot="1">
      <c r="A50" s="624" t="s">
        <v>2936</v>
      </c>
      <c r="B50" s="625"/>
      <c r="C50" s="2669" t="e">
        <f>R50</f>
        <v>#DIV/0!</v>
      </c>
      <c r="D50" s="2669"/>
      <c r="E50" s="2669"/>
      <c r="F50" s="2669"/>
      <c r="G50" s="2669"/>
      <c r="H50" s="2669"/>
      <c r="I50" s="2669"/>
      <c r="J50" s="2669"/>
      <c r="K50" s="1616"/>
      <c r="L50" s="2152"/>
      <c r="M50" s="2142"/>
      <c r="N50" s="2142"/>
      <c r="O50" s="2142"/>
      <c r="P50" s="3472" t="str">
        <f>A50</f>
        <v>估价对象XX用房的比较价格（楼面单价，元/平方米）</v>
      </c>
      <c r="Q50" s="3356"/>
      <c r="R50" s="3469" t="e">
        <f>IF(F1="售价",ROUND(AVERAGE(R49:V49),0),ROUND(AVERAGE(R49:V49),1))</f>
        <v>#DIV/0!</v>
      </c>
      <c r="S50" s="3469"/>
      <c r="T50" s="3469"/>
      <c r="U50" s="3469"/>
      <c r="V50" s="3469"/>
      <c r="W50" s="3469"/>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9" customFormat="1" ht="15">
      <c r="A59" s="648" t="s">
        <v>530</v>
      </c>
      <c r="B59" s="649"/>
      <c r="C59" s="2839" t="str">
        <f>YEAR(C7)&amp;"-"&amp;MONTH(C7)</f>
        <v>2017-9</v>
      </c>
      <c r="D59" s="2841">
        <f>EDATE(C59,-1)</f>
        <v>42948</v>
      </c>
      <c r="E59" s="2841">
        <f t="shared" ref="E59:O59" si="16">EDATE(D59,-1)</f>
        <v>42917</v>
      </c>
      <c r="F59" s="2841">
        <f t="shared" si="16"/>
        <v>42887</v>
      </c>
      <c r="G59" s="2841">
        <f t="shared" si="16"/>
        <v>42856</v>
      </c>
      <c r="H59" s="2841">
        <f t="shared" si="16"/>
        <v>42826</v>
      </c>
      <c r="I59" s="2841">
        <f t="shared" si="16"/>
        <v>42795</v>
      </c>
      <c r="J59" s="2841">
        <f t="shared" si="16"/>
        <v>42767</v>
      </c>
      <c r="K59" s="2841">
        <f t="shared" si="16"/>
        <v>42736</v>
      </c>
      <c r="L59" s="2841">
        <f t="shared" si="16"/>
        <v>42705</v>
      </c>
      <c r="M59" s="2841">
        <f t="shared" si="16"/>
        <v>42675</v>
      </c>
      <c r="N59" s="2841">
        <f t="shared" si="16"/>
        <v>42644</v>
      </c>
      <c r="O59" s="2841">
        <f t="shared" si="16"/>
        <v>42614</v>
      </c>
      <c r="P59" s="2219"/>
      <c r="Q59" s="2169"/>
      <c r="R59" s="2169"/>
      <c r="S59" s="2169"/>
      <c r="T59" s="2169"/>
      <c r="U59" s="2169"/>
      <c r="V59" s="2169"/>
      <c r="W59" s="2169"/>
      <c r="X59" s="2169"/>
      <c r="Y59" s="2169"/>
      <c r="Z59" s="2169"/>
      <c r="AA59" s="2169"/>
      <c r="AB59" s="2169"/>
      <c r="AC59" s="2169"/>
    </row>
    <row r="60" spans="1:29" s="1222"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2" customFormat="1" ht="15.75" thickBot="1">
      <c r="A61" s="656" t="s">
        <v>576</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2" customFormat="1" ht="15">
      <c r="A62" s="662" t="s">
        <v>532</v>
      </c>
      <c r="B62" s="651"/>
      <c r="C62" s="663" t="s">
        <v>577</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2"/>
      <c r="B63" s="651"/>
      <c r="C63" s="892">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1"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1"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1"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1"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540</v>
      </c>
      <c r="B77" s="668" t="s">
        <v>586</v>
      </c>
      <c r="C77" s="706" t="s">
        <v>580</v>
      </c>
      <c r="D77" s="706" t="s">
        <v>581</v>
      </c>
      <c r="E77" s="706" t="s">
        <v>582</v>
      </c>
      <c r="F77" s="706" t="s">
        <v>583</v>
      </c>
      <c r="G77" s="706" t="s">
        <v>584</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587</v>
      </c>
      <c r="C79" s="711" t="s">
        <v>580</v>
      </c>
      <c r="D79" s="711" t="s">
        <v>581</v>
      </c>
      <c r="E79" s="711" t="s">
        <v>582</v>
      </c>
      <c r="F79" s="711" t="s">
        <v>583</v>
      </c>
      <c r="G79" s="711" t="s">
        <v>584</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2564</v>
      </c>
      <c r="C81" s="711" t="s">
        <v>580</v>
      </c>
      <c r="D81" s="711" t="s">
        <v>581</v>
      </c>
      <c r="E81" s="711" t="s">
        <v>582</v>
      </c>
      <c r="F81" s="711" t="s">
        <v>583</v>
      </c>
      <c r="G81" s="711" t="s">
        <v>584</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30" t="s">
        <v>2565</v>
      </c>
      <c r="C83" s="2631" t="s">
        <v>2566</v>
      </c>
      <c r="D83" s="2631" t="s">
        <v>2567</v>
      </c>
      <c r="E83" s="2631" t="s">
        <v>2568</v>
      </c>
      <c r="F83" s="2631" t="s">
        <v>2569</v>
      </c>
      <c r="G83" s="2631" t="s">
        <v>2570</v>
      </c>
      <c r="H83" s="677"/>
      <c r="I83" s="677"/>
      <c r="J83" s="677"/>
      <c r="K83" s="677"/>
      <c r="L83" s="677"/>
      <c r="M83" s="2634"/>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787</v>
      </c>
      <c r="C85" s="711" t="s">
        <v>580</v>
      </c>
      <c r="D85" s="711" t="s">
        <v>581</v>
      </c>
      <c r="E85" s="711" t="s">
        <v>582</v>
      </c>
      <c r="F85" s="711" t="s">
        <v>583</v>
      </c>
      <c r="G85" s="711" t="s">
        <v>584</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2"/>
      <c r="B87" s="676" t="s">
        <v>788</v>
      </c>
      <c r="C87" s="691"/>
      <c r="D87" s="691"/>
      <c r="E87" s="691"/>
      <c r="F87" s="691"/>
      <c r="G87" s="691"/>
      <c r="H87" s="691"/>
      <c r="I87" s="691"/>
      <c r="J87" s="691"/>
      <c r="K87" s="691"/>
      <c r="L87" s="893"/>
      <c r="M87" s="894"/>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5"/>
      <c r="G89" s="691"/>
      <c r="H89" s="691"/>
      <c r="I89" s="691"/>
      <c r="J89" s="691"/>
      <c r="K89" s="691"/>
      <c r="L89" s="691"/>
      <c r="M89" s="894"/>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3"/>
      <c r="M93" s="894"/>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6"/>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552</v>
      </c>
      <c r="B101" s="668" t="s">
        <v>750</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752</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754</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7">
        <v>0.5</v>
      </c>
      <c r="D111" s="897">
        <v>0.6</v>
      </c>
      <c r="E111" s="897">
        <v>0.7</v>
      </c>
      <c r="F111" s="897">
        <v>0.8</v>
      </c>
      <c r="G111" s="897">
        <v>0.9</v>
      </c>
      <c r="H111" s="897">
        <v>1.0001</v>
      </c>
      <c r="I111" s="908"/>
      <c r="J111" s="908"/>
      <c r="K111" s="909"/>
      <c r="L111" s="910"/>
      <c r="M111" s="911"/>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1"/>
      <c r="B113" s="676" t="s">
        <v>789</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756</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2563</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20" t="s">
        <v>790</v>
      </c>
      <c r="C119" s="721"/>
      <c r="D119" s="721"/>
      <c r="E119" s="721"/>
      <c r="F119" s="721"/>
      <c r="G119" s="721"/>
      <c r="H119" s="721"/>
      <c r="I119" s="721"/>
      <c r="J119" s="721"/>
      <c r="K119" s="721"/>
      <c r="L119" s="921"/>
      <c r="M119" s="922"/>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1"/>
      <c r="B121" s="676" t="s">
        <v>778</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758</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6"/>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791</v>
      </c>
      <c r="C1" s="507" t="s">
        <v>723</v>
      </c>
      <c r="D1" s="852"/>
      <c r="E1" s="509"/>
      <c r="F1" s="2844"/>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725</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522</v>
      </c>
      <c r="B4" s="516"/>
      <c r="C4" s="3364" t="s">
        <v>523</v>
      </c>
      <c r="D4" s="3365"/>
      <c r="E4" s="3399" t="s">
        <v>524</v>
      </c>
      <c r="F4" s="3400"/>
      <c r="G4" s="3364" t="s">
        <v>525</v>
      </c>
      <c r="H4" s="3365"/>
      <c r="I4" s="3364" t="s">
        <v>526</v>
      </c>
      <c r="J4" s="3365"/>
      <c r="K4" s="517" t="s">
        <v>527</v>
      </c>
      <c r="L4" s="2141"/>
      <c r="M4" s="2142"/>
      <c r="N4" s="2142"/>
      <c r="O4" s="2142"/>
      <c r="P4" s="3366" t="s">
        <v>528</v>
      </c>
      <c r="Q4" s="3367"/>
      <c r="R4" s="3372" t="s">
        <v>524</v>
      </c>
      <c r="S4" s="3373"/>
      <c r="T4" s="3372" t="s">
        <v>525</v>
      </c>
      <c r="U4" s="3373"/>
      <c r="V4" s="3359" t="s">
        <v>526</v>
      </c>
      <c r="W4" s="3359"/>
      <c r="X4" s="1570"/>
      <c r="Y4" s="3372" t="s">
        <v>528</v>
      </c>
      <c r="Z4" s="3373"/>
      <c r="AA4" s="3361" t="s">
        <v>524</v>
      </c>
      <c r="AB4" s="3362" t="s">
        <v>525</v>
      </c>
      <c r="AC4" s="3361" t="s">
        <v>526</v>
      </c>
    </row>
    <row r="5" spans="1:29" ht="15">
      <c r="A5" s="518"/>
      <c r="B5" s="519"/>
      <c r="C5" s="3382" t="s">
        <v>2930</v>
      </c>
      <c r="D5" s="3381"/>
      <c r="E5" s="3401" t="s">
        <v>2931</v>
      </c>
      <c r="F5" s="3402"/>
      <c r="G5" s="3382" t="s">
        <v>2932</v>
      </c>
      <c r="H5" s="3381"/>
      <c r="I5" s="3382" t="s">
        <v>2933</v>
      </c>
      <c r="J5" s="3381"/>
      <c r="K5" s="517"/>
      <c r="L5" s="2141"/>
      <c r="M5" s="2142"/>
      <c r="N5" s="2142"/>
      <c r="O5" s="2142"/>
      <c r="P5" s="3368"/>
      <c r="Q5" s="3369"/>
      <c r="R5" s="3374"/>
      <c r="S5" s="3375"/>
      <c r="T5" s="3374"/>
      <c r="U5" s="3375"/>
      <c r="V5" s="3359"/>
      <c r="W5" s="3359"/>
      <c r="X5" s="1570"/>
      <c r="Y5" s="3374"/>
      <c r="Z5" s="3375"/>
      <c r="AA5" s="3362"/>
      <c r="AB5" s="3362"/>
      <c r="AC5" s="3362"/>
    </row>
    <row r="6" spans="1:29" ht="15.75" thickBot="1">
      <c r="A6" s="520"/>
      <c r="B6" s="521"/>
      <c r="C6" s="3378" t="s">
        <v>2934</v>
      </c>
      <c r="D6" s="3379"/>
      <c r="E6" s="3397" t="s">
        <v>2934</v>
      </c>
      <c r="F6" s="3398"/>
      <c r="G6" s="3378" t="s">
        <v>2934</v>
      </c>
      <c r="H6" s="3379"/>
      <c r="I6" s="3378" t="s">
        <v>2934</v>
      </c>
      <c r="J6" s="3379"/>
      <c r="K6" s="517" t="s">
        <v>529</v>
      </c>
      <c r="L6" s="2141"/>
      <c r="M6" s="2142"/>
      <c r="N6" s="2142"/>
      <c r="O6" s="2142"/>
      <c r="P6" s="3370"/>
      <c r="Q6" s="3371"/>
      <c r="R6" s="3374"/>
      <c r="S6" s="3375"/>
      <c r="T6" s="3376"/>
      <c r="U6" s="3377"/>
      <c r="V6" s="3359"/>
      <c r="W6" s="3359"/>
      <c r="X6" s="1570"/>
      <c r="Y6" s="3376"/>
      <c r="Z6" s="3377"/>
      <c r="AA6" s="3363"/>
      <c r="AB6" s="3363"/>
      <c r="AC6" s="3363"/>
    </row>
    <row r="7" spans="1:29" s="1222" customFormat="1" ht="15.75" thickBot="1">
      <c r="A7" s="2949"/>
      <c r="B7" s="2956" t="s">
        <v>530</v>
      </c>
      <c r="C7" s="522">
        <f>'数据-取费表'!B2</f>
        <v>42997</v>
      </c>
      <c r="D7" s="523">
        <v>100</v>
      </c>
      <c r="E7" s="524"/>
      <c r="F7" s="525">
        <f>SUMIF(52:52,YEAR(E7)&amp;"-"&amp;MONTH(E7),53:53)</f>
        <v>0</v>
      </c>
      <c r="G7" s="524"/>
      <c r="H7" s="523">
        <f>SUMIF(52:52,YEAR(G7)&amp;"-"&amp;MONTH(G7),53:53)</f>
        <v>0</v>
      </c>
      <c r="I7" s="524"/>
      <c r="J7" s="523">
        <f>SUMIF(52:52,YEAR(I7)&amp;"-"&amp;MONTH(I7),53:53)</f>
        <v>0</v>
      </c>
      <c r="K7" s="527"/>
      <c r="L7" s="2143"/>
      <c r="M7" s="2144"/>
      <c r="N7" s="2144"/>
      <c r="O7" s="2144"/>
      <c r="P7" s="3390" t="s">
        <v>531</v>
      </c>
      <c r="Q7" s="3392"/>
      <c r="R7" s="1571" t="s">
        <v>8</v>
      </c>
      <c r="S7" s="1572">
        <f t="shared" ref="S7:S15" si="0">F7</f>
        <v>0</v>
      </c>
      <c r="T7" s="1571" t="s">
        <v>8</v>
      </c>
      <c r="U7" s="1572">
        <f t="shared" ref="U7:U15" si="1">H7</f>
        <v>0</v>
      </c>
      <c r="V7" s="1571" t="s">
        <v>8</v>
      </c>
      <c r="W7" s="1572">
        <f t="shared" ref="W7:W15" si="2">J7</f>
        <v>0</v>
      </c>
      <c r="X7" s="1573"/>
      <c r="Y7" s="3390" t="s">
        <v>531</v>
      </c>
      <c r="Z7" s="3391"/>
      <c r="AA7" s="1574" t="e">
        <f>D7/F7</f>
        <v>#DIV/0!</v>
      </c>
      <c r="AB7" s="1574" t="e">
        <f>D7/H7</f>
        <v>#DIV/0!</v>
      </c>
      <c r="AC7" s="1574" t="e">
        <f>D7/J7</f>
        <v>#DIV/0!</v>
      </c>
    </row>
    <row r="8" spans="1:29" s="1222" customFormat="1" ht="15.75" thickBot="1">
      <c r="A8" s="2950"/>
      <c r="B8" s="2957" t="s">
        <v>532</v>
      </c>
      <c r="C8" s="528" t="s">
        <v>577</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390" t="s">
        <v>534</v>
      </c>
      <c r="Q8" s="3391"/>
      <c r="R8" s="1571" t="s">
        <v>8</v>
      </c>
      <c r="S8" s="1572">
        <f t="shared" si="0"/>
        <v>0</v>
      </c>
      <c r="T8" s="1571" t="s">
        <v>8</v>
      </c>
      <c r="U8" s="1572">
        <f t="shared" si="1"/>
        <v>0</v>
      </c>
      <c r="V8" s="1571" t="s">
        <v>8</v>
      </c>
      <c r="W8" s="1572">
        <f t="shared" si="2"/>
        <v>0</v>
      </c>
      <c r="X8" s="1573"/>
      <c r="Y8" s="3390" t="s">
        <v>534</v>
      </c>
      <c r="Z8" s="3391"/>
      <c r="AA8" s="1574" t="e">
        <f t="shared" ref="AA8:AA40" si="3">D8/F8</f>
        <v>#DIV/0!</v>
      </c>
      <c r="AB8" s="1574" t="e">
        <f t="shared" ref="AB8:AB40" si="4">D8/H8</f>
        <v>#DIV/0!</v>
      </c>
      <c r="AC8" s="1574" t="e">
        <f t="shared" ref="AC8:AC40" si="5">D8/J8</f>
        <v>#DIV/0!</v>
      </c>
    </row>
    <row r="9" spans="1:29" s="1222" customFormat="1" ht="15">
      <c r="A9" s="2951"/>
      <c r="B9" s="2958" t="s">
        <v>2766</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58" t="s">
        <v>536</v>
      </c>
      <c r="Q9" s="1153" t="str">
        <f t="shared" ref="Q9:Q15" si="6">B9</f>
        <v>用途</v>
      </c>
      <c r="R9" s="1571" t="s">
        <v>8</v>
      </c>
      <c r="S9" s="1572">
        <f t="shared" si="0"/>
        <v>100</v>
      </c>
      <c r="T9" s="1571" t="s">
        <v>8</v>
      </c>
      <c r="U9" s="1572">
        <f t="shared" si="1"/>
        <v>100</v>
      </c>
      <c r="V9" s="1571" t="s">
        <v>8</v>
      </c>
      <c r="W9" s="1572">
        <f t="shared" si="2"/>
        <v>100</v>
      </c>
      <c r="X9" s="1573"/>
      <c r="Y9" s="3304"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58"/>
      <c r="Q10" s="1153" t="str">
        <f t="shared" si="6"/>
        <v>土地使用年限（年）</v>
      </c>
      <c r="R10" s="1571" t="s">
        <v>8</v>
      </c>
      <c r="S10" s="1572">
        <f t="shared" si="0"/>
        <v>100</v>
      </c>
      <c r="T10" s="1571" t="s">
        <v>8</v>
      </c>
      <c r="U10" s="1572">
        <f t="shared" si="1"/>
        <v>100</v>
      </c>
      <c r="V10" s="1571" t="s">
        <v>8</v>
      </c>
      <c r="W10" s="1572">
        <f t="shared" si="2"/>
        <v>100</v>
      </c>
      <c r="X10" s="1573"/>
      <c r="Y10" s="3304"/>
      <c r="Z10" s="1152" t="str">
        <f t="shared" si="7"/>
        <v>土地使用年限（年）</v>
      </c>
      <c r="AA10" s="1574">
        <f t="shared" si="3"/>
        <v>1</v>
      </c>
      <c r="AB10" s="1574">
        <f t="shared" si="4"/>
        <v>1</v>
      </c>
      <c r="AC10" s="1574">
        <f t="shared" si="5"/>
        <v>1</v>
      </c>
    </row>
    <row r="11" spans="1:29" ht="15">
      <c r="A11" s="2953"/>
      <c r="B11" s="2957"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58"/>
      <c r="Q11" s="1153" t="str">
        <f t="shared" si="6"/>
        <v>容积率</v>
      </c>
      <c r="R11" s="1571" t="s">
        <v>8</v>
      </c>
      <c r="S11" s="1572" t="e">
        <f t="shared" si="0"/>
        <v>#N/A</v>
      </c>
      <c r="T11" s="1571" t="s">
        <v>8</v>
      </c>
      <c r="U11" s="1572" t="e">
        <f t="shared" si="1"/>
        <v>#N/A</v>
      </c>
      <c r="V11" s="1571" t="s">
        <v>8</v>
      </c>
      <c r="W11" s="1572" t="e">
        <f t="shared" si="2"/>
        <v>#N/A</v>
      </c>
      <c r="X11" s="1573"/>
      <c r="Y11" s="3304"/>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42"/>
      <c r="F12" s="255">
        <f>SUMIF(64:64,E12,65:65)-SUMIF(64:64,C12,65:65)+100</f>
        <v>100</v>
      </c>
      <c r="G12" s="923"/>
      <c r="H12" s="255">
        <f>SUMIF(64:64,G12,65:65)-SUMIF(64:64,C12,65:65)+100</f>
        <v>100</v>
      </c>
      <c r="I12" s="883"/>
      <c r="J12" s="255">
        <f>SUMIF(64:64,I12,65:65)-SUMIF(64:64,C12,65:65)+100</f>
        <v>100</v>
      </c>
      <c r="K12" s="584"/>
      <c r="L12" s="2143"/>
      <c r="M12" s="2144"/>
      <c r="N12" s="2144"/>
      <c r="O12" s="2145"/>
      <c r="P12" s="3358"/>
      <c r="Q12" s="1153">
        <f t="shared" si="6"/>
        <v>111</v>
      </c>
      <c r="R12" s="1571" t="s">
        <v>8</v>
      </c>
      <c r="S12" s="1572">
        <f t="shared" si="0"/>
        <v>100</v>
      </c>
      <c r="T12" s="1571" t="s">
        <v>8</v>
      </c>
      <c r="U12" s="1572">
        <f t="shared" si="1"/>
        <v>100</v>
      </c>
      <c r="V12" s="1571" t="s">
        <v>8</v>
      </c>
      <c r="W12" s="1572">
        <f t="shared" si="2"/>
        <v>100</v>
      </c>
      <c r="X12" s="1573"/>
      <c r="Y12" s="3304"/>
      <c r="Z12" s="1152">
        <f t="shared" si="7"/>
        <v>111</v>
      </c>
      <c r="AA12" s="1574">
        <f>D12/F12</f>
        <v>1</v>
      </c>
      <c r="AB12" s="1574">
        <f>D12/H12</f>
        <v>1</v>
      </c>
      <c r="AC12" s="1574">
        <f>D12/J12</f>
        <v>1</v>
      </c>
    </row>
    <row r="13" spans="1:29" ht="15">
      <c r="A13" s="2954"/>
      <c r="B13" s="2960">
        <v>111</v>
      </c>
      <c r="C13" s="542"/>
      <c r="D13" s="543">
        <v>100</v>
      </c>
      <c r="E13" s="542"/>
      <c r="F13" s="255">
        <f>SUMIF(66:66,E13,67:67)-SUMIF(66:66,C13,67:67)+100</f>
        <v>100</v>
      </c>
      <c r="G13" s="923"/>
      <c r="H13" s="543">
        <f>SUMIF(66:66,G13,67:67)-SUMIF(66:66,C13,67:67)+100</f>
        <v>100</v>
      </c>
      <c r="I13" s="883"/>
      <c r="J13" s="543">
        <f>SUMIF(66:66,I13,67:67)-SUMIF(66:66,C13,67:67)+100</f>
        <v>100</v>
      </c>
      <c r="K13" s="584"/>
      <c r="L13" s="2150"/>
      <c r="M13" s="2142"/>
      <c r="N13" s="2142"/>
      <c r="O13" s="2149"/>
      <c r="P13" s="3358"/>
      <c r="Q13" s="1153">
        <f t="shared" si="6"/>
        <v>111</v>
      </c>
      <c r="R13" s="1571" t="s">
        <v>8</v>
      </c>
      <c r="S13" s="1572">
        <f t="shared" si="0"/>
        <v>100</v>
      </c>
      <c r="T13" s="1571" t="s">
        <v>8</v>
      </c>
      <c r="U13" s="1572">
        <f t="shared" si="1"/>
        <v>100</v>
      </c>
      <c r="V13" s="1571" t="s">
        <v>8</v>
      </c>
      <c r="W13" s="1572">
        <f t="shared" si="2"/>
        <v>100</v>
      </c>
      <c r="X13" s="1573"/>
      <c r="Y13" s="3304"/>
      <c r="Z13" s="1152">
        <f t="shared" si="7"/>
        <v>111</v>
      </c>
      <c r="AA13" s="1574">
        <f t="shared" si="3"/>
        <v>1</v>
      </c>
      <c r="AB13" s="1574">
        <f t="shared" si="4"/>
        <v>1</v>
      </c>
      <c r="AC13" s="1574">
        <f t="shared" si="5"/>
        <v>1</v>
      </c>
    </row>
    <row r="14" spans="1:29" ht="15.75" thickBot="1">
      <c r="A14" s="2955"/>
      <c r="B14" s="2961">
        <v>111</v>
      </c>
      <c r="C14" s="548"/>
      <c r="D14" s="549">
        <v>100</v>
      </c>
      <c r="E14" s="548"/>
      <c r="F14" s="549">
        <f>SUMIF(68:68,E14,69:69)-SUMIF(68:68,C14,69:69)+100</f>
        <v>100</v>
      </c>
      <c r="G14" s="923"/>
      <c r="H14" s="549">
        <f>SUMIF(68:68,G14,69:69)-SUMIF(68:68,C14,69:69)+100</f>
        <v>100</v>
      </c>
      <c r="I14" s="883"/>
      <c r="J14" s="549">
        <f>SUMIF(68:68,I14,69:69)-SUMIF(68:68,C14,69:69)+100</f>
        <v>100</v>
      </c>
      <c r="K14" s="584"/>
      <c r="L14" s="2150"/>
      <c r="M14" s="2142"/>
      <c r="N14" s="2142"/>
      <c r="O14" s="2149"/>
      <c r="P14" s="3358"/>
      <c r="Q14" s="1153">
        <f t="shared" si="6"/>
        <v>111</v>
      </c>
      <c r="R14" s="1571" t="s">
        <v>8</v>
      </c>
      <c r="S14" s="1572">
        <f t="shared" si="0"/>
        <v>100</v>
      </c>
      <c r="T14" s="1571" t="s">
        <v>8</v>
      </c>
      <c r="U14" s="1572">
        <f t="shared" si="1"/>
        <v>100</v>
      </c>
      <c r="V14" s="1571" t="s">
        <v>8</v>
      </c>
      <c r="W14" s="1572">
        <f t="shared" si="2"/>
        <v>100</v>
      </c>
      <c r="X14" s="1573"/>
      <c r="Y14" s="3304"/>
      <c r="Z14" s="1152">
        <f t="shared" si="7"/>
        <v>111</v>
      </c>
      <c r="AA14" s="1574">
        <f t="shared" si="3"/>
        <v>1</v>
      </c>
      <c r="AB14" s="1574">
        <f t="shared" si="4"/>
        <v>1</v>
      </c>
      <c r="AC14" s="1574">
        <f t="shared" si="5"/>
        <v>1</v>
      </c>
    </row>
    <row r="15" spans="1:29" ht="57">
      <c r="A15" s="2947"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0"/>
      <c r="M15" s="2142"/>
      <c r="N15" s="2142"/>
      <c r="O15" s="2149"/>
      <c r="P15" s="3393" t="s">
        <v>541</v>
      </c>
      <c r="Q15" s="1575" t="str">
        <f t="shared" si="6"/>
        <v>产业集聚程度</v>
      </c>
      <c r="R15" s="1576" t="s">
        <v>8</v>
      </c>
      <c r="S15" s="1577">
        <f t="shared" si="0"/>
        <v>100</v>
      </c>
      <c r="T15" s="1576" t="s">
        <v>8</v>
      </c>
      <c r="U15" s="1577">
        <f t="shared" si="1"/>
        <v>100</v>
      </c>
      <c r="V15" s="1576" t="s">
        <v>8</v>
      </c>
      <c r="W15" s="1577">
        <f t="shared" si="2"/>
        <v>100</v>
      </c>
      <c r="X15" s="1570"/>
      <c r="Y15" s="3393"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94"/>
      <c r="Q16" s="1575"/>
      <c r="R16" s="1576"/>
      <c r="S16" s="1577"/>
      <c r="T16" s="1576"/>
      <c r="U16" s="1577"/>
      <c r="V16" s="1576"/>
      <c r="W16" s="1577"/>
      <c r="X16" s="1570"/>
      <c r="Y16" s="3394"/>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0"/>
      <c r="M17" s="2142"/>
      <c r="N17" s="2142"/>
      <c r="O17" s="2149"/>
      <c r="P17" s="3394"/>
      <c r="Q17" s="1575" t="str">
        <f>B17</f>
        <v>交通便捷度</v>
      </c>
      <c r="R17" s="1576" t="s">
        <v>8</v>
      </c>
      <c r="S17" s="1577">
        <f>F17</f>
        <v>100</v>
      </c>
      <c r="T17" s="1576" t="s">
        <v>8</v>
      </c>
      <c r="U17" s="1577">
        <f>H17</f>
        <v>100</v>
      </c>
      <c r="V17" s="1576" t="s">
        <v>8</v>
      </c>
      <c r="W17" s="1577">
        <f>J17</f>
        <v>100</v>
      </c>
      <c r="X17" s="1570"/>
      <c r="Y17" s="3394"/>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94"/>
      <c r="Q18" s="1575"/>
      <c r="R18" s="1576"/>
      <c r="S18" s="1577"/>
      <c r="T18" s="1576"/>
      <c r="U18" s="1577"/>
      <c r="V18" s="1576"/>
      <c r="W18" s="1577"/>
      <c r="X18" s="1570"/>
      <c r="Y18" s="3394"/>
      <c r="Z18" s="1578"/>
      <c r="AA18" s="1579">
        <v>1</v>
      </c>
      <c r="AB18" s="1579">
        <v>1</v>
      </c>
      <c r="AC18" s="1579">
        <v>1</v>
      </c>
    </row>
    <row r="19" spans="1:29" ht="42.75">
      <c r="A19" s="535"/>
      <c r="B19" s="2636"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0"/>
      <c r="M19" s="2142"/>
      <c r="N19" s="2142"/>
      <c r="O19" s="2149"/>
      <c r="P19" s="3394"/>
      <c r="Q19" s="1575" t="str">
        <f>B19</f>
        <v>公共配套设施</v>
      </c>
      <c r="R19" s="1576" t="s">
        <v>8</v>
      </c>
      <c r="S19" s="1577">
        <f>F19</f>
        <v>100</v>
      </c>
      <c r="T19" s="1576" t="s">
        <v>8</v>
      </c>
      <c r="U19" s="1577">
        <f>H19</f>
        <v>100</v>
      </c>
      <c r="V19" s="1576" t="s">
        <v>8</v>
      </c>
      <c r="W19" s="1577">
        <f>J19</f>
        <v>100</v>
      </c>
      <c r="X19" s="1570"/>
      <c r="Y19" s="3394"/>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50"/>
      <c r="M20" s="2142"/>
      <c r="N20" s="2142"/>
      <c r="O20" s="2149"/>
      <c r="P20" s="3394"/>
      <c r="Q20" s="1575"/>
      <c r="R20" s="1576"/>
      <c r="S20" s="1577"/>
      <c r="T20" s="1576"/>
      <c r="U20" s="1577"/>
      <c r="V20" s="1576"/>
      <c r="W20" s="1577"/>
      <c r="X20" s="1570"/>
      <c r="Y20" s="3394"/>
      <c r="Z20" s="1578"/>
      <c r="AA20" s="1579">
        <v>1</v>
      </c>
      <c r="AB20" s="1579">
        <v>1</v>
      </c>
      <c r="AC20" s="1579">
        <v>1</v>
      </c>
    </row>
    <row r="21" spans="1:29" ht="28.5">
      <c r="A21" s="535"/>
      <c r="B21" s="2624"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0"/>
      <c r="M21" s="2142"/>
      <c r="N21" s="2142"/>
      <c r="O21" s="2149"/>
      <c r="P21" s="3394"/>
      <c r="Q21" s="2612" t="str">
        <f>B21</f>
        <v>基础设施水平</v>
      </c>
      <c r="R21" s="1576" t="s">
        <v>8</v>
      </c>
      <c r="S21" s="1577">
        <f>F21</f>
        <v>100</v>
      </c>
      <c r="T21" s="1576" t="s">
        <v>8</v>
      </c>
      <c r="U21" s="1577">
        <f>H21</f>
        <v>100</v>
      </c>
      <c r="V21" s="1576" t="s">
        <v>8</v>
      </c>
      <c r="W21" s="1577">
        <f>J21</f>
        <v>100</v>
      </c>
      <c r="X21" s="2614"/>
      <c r="Y21" s="3394"/>
      <c r="Z21" s="2613"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5"/>
      <c r="L22" s="2150"/>
      <c r="M22" s="2142"/>
      <c r="N22" s="2142"/>
      <c r="O22" s="2149"/>
      <c r="P22" s="3394"/>
      <c r="Q22" s="2612"/>
      <c r="R22" s="1576"/>
      <c r="S22" s="1577"/>
      <c r="T22" s="1576"/>
      <c r="U22" s="1577"/>
      <c r="V22" s="1576"/>
      <c r="W22" s="1577"/>
      <c r="X22" s="2614"/>
      <c r="Y22" s="3394"/>
      <c r="Z22" s="2613"/>
      <c r="AA22" s="1579">
        <v>1</v>
      </c>
      <c r="AB22" s="1579">
        <v>1</v>
      </c>
      <c r="AC22" s="1579">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0"/>
      <c r="M23" s="2142"/>
      <c r="N23" s="2142"/>
      <c r="O23" s="2149"/>
      <c r="P23" s="3394"/>
      <c r="Q23" s="1575" t="str">
        <f>B23</f>
        <v>环境质量</v>
      </c>
      <c r="R23" s="1576" t="s">
        <v>8</v>
      </c>
      <c r="S23" s="1577">
        <f>F23</f>
        <v>100</v>
      </c>
      <c r="T23" s="1576" t="s">
        <v>8</v>
      </c>
      <c r="U23" s="1577">
        <f>H23</f>
        <v>100</v>
      </c>
      <c r="V23" s="1576" t="s">
        <v>8</v>
      </c>
      <c r="W23" s="1577">
        <f>J23</f>
        <v>100</v>
      </c>
      <c r="X23" s="1570"/>
      <c r="Y23" s="3394"/>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50"/>
      <c r="M24" s="2142"/>
      <c r="N24" s="2142"/>
      <c r="O24" s="2149"/>
      <c r="P24" s="3394"/>
      <c r="Q24" s="1575"/>
      <c r="R24" s="1576"/>
      <c r="S24" s="1577"/>
      <c r="T24" s="1576"/>
      <c r="U24" s="1577"/>
      <c r="V24" s="1576"/>
      <c r="W24" s="1577"/>
      <c r="X24" s="1570"/>
      <c r="Y24" s="3394"/>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394"/>
      <c r="Q25" s="1575">
        <f>B25</f>
        <v>111</v>
      </c>
      <c r="R25" s="1576" t="s">
        <v>8</v>
      </c>
      <c r="S25" s="1577">
        <f>F25</f>
        <v>100</v>
      </c>
      <c r="T25" s="1576" t="s">
        <v>8</v>
      </c>
      <c r="U25" s="1577">
        <f>H25</f>
        <v>100</v>
      </c>
      <c r="V25" s="1576" t="s">
        <v>8</v>
      </c>
      <c r="W25" s="1577">
        <f>J25</f>
        <v>100</v>
      </c>
      <c r="X25" s="1570"/>
      <c r="Y25" s="3394"/>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394"/>
      <c r="Q26" s="1575">
        <f t="shared" ref="Q26:Q40" si="11">B26</f>
        <v>111</v>
      </c>
      <c r="R26" s="1576" t="s">
        <v>8</v>
      </c>
      <c r="S26" s="1577">
        <f>F26</f>
        <v>100</v>
      </c>
      <c r="T26" s="1576" t="s">
        <v>8</v>
      </c>
      <c r="U26" s="1577">
        <f>H26</f>
        <v>100</v>
      </c>
      <c r="V26" s="1576" t="s">
        <v>8</v>
      </c>
      <c r="W26" s="1577">
        <f>J26</f>
        <v>100</v>
      </c>
      <c r="X26" s="1570"/>
      <c r="Y26" s="3394"/>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394"/>
      <c r="Q27" s="1153">
        <f t="shared" si="11"/>
        <v>111</v>
      </c>
      <c r="R27" s="1571" t="s">
        <v>8</v>
      </c>
      <c r="S27" s="1572">
        <f>F27</f>
        <v>100</v>
      </c>
      <c r="T27" s="1571" t="s">
        <v>8</v>
      </c>
      <c r="U27" s="1572">
        <f>H27</f>
        <v>100</v>
      </c>
      <c r="V27" s="1571" t="s">
        <v>8</v>
      </c>
      <c r="W27" s="1572">
        <f>J27</f>
        <v>100</v>
      </c>
      <c r="X27" s="1573"/>
      <c r="Y27" s="3394"/>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0"/>
      <c r="M28" s="2142"/>
      <c r="N28" s="2142"/>
      <c r="O28" s="2149"/>
      <c r="P28" s="3394"/>
      <c r="Q28" s="1575">
        <f t="shared" si="11"/>
        <v>111</v>
      </c>
      <c r="R28" s="1576" t="s">
        <v>8</v>
      </c>
      <c r="S28" s="1577">
        <f t="shared" ref="S28:S40" si="12">F28</f>
        <v>100</v>
      </c>
      <c r="T28" s="1576" t="s">
        <v>8</v>
      </c>
      <c r="U28" s="1577">
        <f t="shared" ref="U28:U40" si="13">H28</f>
        <v>100</v>
      </c>
      <c r="V28" s="1576" t="s">
        <v>8</v>
      </c>
      <c r="W28" s="1577">
        <f t="shared" ref="W28:W40" si="14">J28</f>
        <v>100</v>
      </c>
      <c r="X28" s="1570"/>
      <c r="Y28" s="3394"/>
      <c r="Z28" s="1578">
        <f t="shared" ref="Z28:Z40" si="15">Q28</f>
        <v>111</v>
      </c>
      <c r="AA28" s="1579">
        <f t="shared" si="3"/>
        <v>1</v>
      </c>
      <c r="AB28" s="1579">
        <f t="shared" si="4"/>
        <v>1</v>
      </c>
      <c r="AC28" s="1579">
        <f t="shared" si="5"/>
        <v>1</v>
      </c>
    </row>
    <row r="29" spans="1:29" ht="15">
      <c r="A29" s="2944"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0"/>
      <c r="M29" s="2142"/>
      <c r="N29" s="2142"/>
      <c r="O29" s="2149"/>
      <c r="P29" s="3395" t="s">
        <v>551</v>
      </c>
      <c r="Q29" s="1575" t="str">
        <f t="shared" si="11"/>
        <v>建筑类型</v>
      </c>
      <c r="R29" s="1576" t="s">
        <v>8</v>
      </c>
      <c r="S29" s="1577">
        <f t="shared" si="12"/>
        <v>100</v>
      </c>
      <c r="T29" s="1576" t="s">
        <v>8</v>
      </c>
      <c r="U29" s="1577">
        <f t="shared" si="13"/>
        <v>100</v>
      </c>
      <c r="V29" s="1576" t="s">
        <v>8</v>
      </c>
      <c r="W29" s="1577">
        <f t="shared" si="14"/>
        <v>100</v>
      </c>
      <c r="X29" s="1570"/>
      <c r="Y29" s="3396" t="s">
        <v>551</v>
      </c>
      <c r="Z29" s="1578" t="str">
        <f t="shared" si="15"/>
        <v>建筑类型</v>
      </c>
      <c r="AA29" s="1579">
        <f t="shared" si="3"/>
        <v>1</v>
      </c>
      <c r="AB29" s="1579">
        <f t="shared" si="4"/>
        <v>1</v>
      </c>
      <c r="AC29" s="1579">
        <f t="shared" si="5"/>
        <v>1</v>
      </c>
    </row>
    <row r="30" spans="1:29" s="1341"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396"/>
      <c r="Q30" s="1608" t="str">
        <f t="shared" si="11"/>
        <v>项目建筑规模</v>
      </c>
      <c r="R30" s="1580" t="s">
        <v>8</v>
      </c>
      <c r="S30" s="1581" t="e">
        <f t="shared" si="12"/>
        <v>#N/A</v>
      </c>
      <c r="T30" s="1580" t="s">
        <v>8</v>
      </c>
      <c r="U30" s="1581" t="e">
        <f t="shared" si="13"/>
        <v>#N/A</v>
      </c>
      <c r="V30" s="1580" t="s">
        <v>8</v>
      </c>
      <c r="W30" s="1581" t="e">
        <f t="shared" si="14"/>
        <v>#N/A</v>
      </c>
      <c r="X30" s="1582"/>
      <c r="Y30" s="3396"/>
      <c r="Z30" s="1583" t="str">
        <f t="shared" si="15"/>
        <v>项目建筑规模</v>
      </c>
      <c r="AA30" s="1579" t="e">
        <f t="shared" si="3"/>
        <v>#N/A</v>
      </c>
      <c r="AB30" s="1579" t="e">
        <f t="shared" si="4"/>
        <v>#N/A</v>
      </c>
      <c r="AC30" s="1579"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396"/>
      <c r="Q31" s="1575" t="str">
        <f t="shared" si="11"/>
        <v>建筑结构</v>
      </c>
      <c r="R31" s="1576" t="s">
        <v>8</v>
      </c>
      <c r="S31" s="1577">
        <f t="shared" si="12"/>
        <v>100</v>
      </c>
      <c r="T31" s="1576" t="s">
        <v>8</v>
      </c>
      <c r="U31" s="1577">
        <f t="shared" si="13"/>
        <v>100</v>
      </c>
      <c r="V31" s="1576" t="s">
        <v>8</v>
      </c>
      <c r="W31" s="1577">
        <f t="shared" si="14"/>
        <v>100</v>
      </c>
      <c r="X31" s="1570"/>
      <c r="Y31" s="3396"/>
      <c r="Z31" s="1578" t="str">
        <f t="shared" si="15"/>
        <v>建筑结构</v>
      </c>
      <c r="AA31" s="1579">
        <f t="shared" si="3"/>
        <v>1</v>
      </c>
      <c r="AB31" s="1579">
        <f t="shared" si="4"/>
        <v>1</v>
      </c>
      <c r="AC31" s="1579">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396"/>
      <c r="Q32" s="1575" t="str">
        <f t="shared" si="11"/>
        <v>公共部分装修</v>
      </c>
      <c r="R32" s="1576" t="s">
        <v>8</v>
      </c>
      <c r="S32" s="1577">
        <f t="shared" si="12"/>
        <v>100</v>
      </c>
      <c r="T32" s="1576" t="s">
        <v>8</v>
      </c>
      <c r="U32" s="1577">
        <f t="shared" si="13"/>
        <v>100</v>
      </c>
      <c r="V32" s="1576" t="s">
        <v>8</v>
      </c>
      <c r="W32" s="1577">
        <f t="shared" si="14"/>
        <v>100</v>
      </c>
      <c r="X32" s="1570"/>
      <c r="Y32" s="3396"/>
      <c r="Z32" s="1578" t="str">
        <f t="shared" si="15"/>
        <v>公共部分装修</v>
      </c>
      <c r="AA32" s="1579">
        <f t="shared" si="3"/>
        <v>1</v>
      </c>
      <c r="AB32" s="1579">
        <f t="shared" si="4"/>
        <v>1</v>
      </c>
      <c r="AC32" s="1579">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0"/>
      <c r="M33" s="2142"/>
      <c r="N33" s="2142"/>
      <c r="O33" s="2149"/>
      <c r="P33" s="3396"/>
      <c r="Q33" s="1575" t="str">
        <f t="shared" si="11"/>
        <v>成新度</v>
      </c>
      <c r="R33" s="1576" t="s">
        <v>8</v>
      </c>
      <c r="S33" s="1577" t="e">
        <f t="shared" si="12"/>
        <v>#N/A</v>
      </c>
      <c r="T33" s="1576" t="s">
        <v>8</v>
      </c>
      <c r="U33" s="1577" t="e">
        <f t="shared" si="13"/>
        <v>#N/A</v>
      </c>
      <c r="V33" s="1576" t="s">
        <v>8</v>
      </c>
      <c r="W33" s="1577" t="e">
        <f t="shared" si="14"/>
        <v>#N/A</v>
      </c>
      <c r="X33" s="1570"/>
      <c r="Y33" s="3396"/>
      <c r="Z33" s="1578" t="str">
        <f t="shared" si="15"/>
        <v>成新度</v>
      </c>
      <c r="AA33" s="1579" t="e">
        <f t="shared" si="3"/>
        <v>#N/A</v>
      </c>
      <c r="AB33" s="1579" t="e">
        <f t="shared" si="4"/>
        <v>#N/A</v>
      </c>
      <c r="AC33" s="1579" t="e">
        <f t="shared" si="5"/>
        <v>#N/A</v>
      </c>
    </row>
    <row r="34" spans="1:29" s="1222"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396"/>
      <c r="Q34" s="1153" t="str">
        <f t="shared" si="11"/>
        <v>物业管理</v>
      </c>
      <c r="R34" s="1571" t="s">
        <v>8</v>
      </c>
      <c r="S34" s="1572">
        <f t="shared" si="12"/>
        <v>100</v>
      </c>
      <c r="T34" s="1571" t="s">
        <v>8</v>
      </c>
      <c r="U34" s="1572">
        <f t="shared" si="13"/>
        <v>100</v>
      </c>
      <c r="V34" s="1571" t="s">
        <v>8</v>
      </c>
      <c r="W34" s="1572">
        <f t="shared" si="14"/>
        <v>100</v>
      </c>
      <c r="X34" s="1573"/>
      <c r="Y34" s="3396"/>
      <c r="Z34" s="1152"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396" t="s">
        <v>551</v>
      </c>
      <c r="Q35" s="1575" t="str">
        <f t="shared" si="11"/>
        <v>市政基础设施</v>
      </c>
      <c r="R35" s="1576" t="s">
        <v>8</v>
      </c>
      <c r="S35" s="1577">
        <f t="shared" si="12"/>
        <v>100</v>
      </c>
      <c r="T35" s="1576" t="s">
        <v>8</v>
      </c>
      <c r="U35" s="1577">
        <f t="shared" si="13"/>
        <v>100</v>
      </c>
      <c r="V35" s="1576" t="s">
        <v>8</v>
      </c>
      <c r="W35" s="1577">
        <f t="shared" si="14"/>
        <v>100</v>
      </c>
      <c r="X35" s="1570"/>
      <c r="Y35" s="3396" t="s">
        <v>551</v>
      </c>
      <c r="Z35" s="1578" t="str">
        <f t="shared" si="15"/>
        <v>市政基础设施</v>
      </c>
      <c r="AA35" s="1579">
        <f t="shared" si="3"/>
        <v>1</v>
      </c>
      <c r="AB35" s="1579">
        <f t="shared" si="4"/>
        <v>1</v>
      </c>
      <c r="AC35" s="1579">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396"/>
      <c r="Q36" s="1575" t="str">
        <f t="shared" si="11"/>
        <v>内部装修</v>
      </c>
      <c r="R36" s="1576" t="s">
        <v>8</v>
      </c>
      <c r="S36" s="1577">
        <f t="shared" si="12"/>
        <v>100</v>
      </c>
      <c r="T36" s="1576" t="s">
        <v>8</v>
      </c>
      <c r="U36" s="1577">
        <f t="shared" si="13"/>
        <v>100</v>
      </c>
      <c r="V36" s="1576" t="s">
        <v>8</v>
      </c>
      <c r="W36" s="1577">
        <f t="shared" si="14"/>
        <v>100</v>
      </c>
      <c r="X36" s="1570"/>
      <c r="Y36" s="3396"/>
      <c r="Z36" s="1578" t="str">
        <f t="shared" si="15"/>
        <v>内部装修</v>
      </c>
      <c r="AA36" s="1579">
        <f t="shared" si="3"/>
        <v>1</v>
      </c>
      <c r="AB36" s="1579">
        <f t="shared" si="4"/>
        <v>1</v>
      </c>
      <c r="AC36" s="1579">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396"/>
      <c r="Q37" s="1575" t="str">
        <f t="shared" si="11"/>
        <v>内部装修状况</v>
      </c>
      <c r="R37" s="1576" t="s">
        <v>8</v>
      </c>
      <c r="S37" s="1577">
        <f t="shared" si="12"/>
        <v>100</v>
      </c>
      <c r="T37" s="1576" t="s">
        <v>8</v>
      </c>
      <c r="U37" s="1577">
        <f t="shared" si="13"/>
        <v>100</v>
      </c>
      <c r="V37" s="1576" t="s">
        <v>8</v>
      </c>
      <c r="W37" s="1577">
        <f t="shared" si="14"/>
        <v>100</v>
      </c>
      <c r="X37" s="1570"/>
      <c r="Y37" s="3396"/>
      <c r="Z37" s="1578" t="str">
        <f t="shared" si="15"/>
        <v>内部装修状况</v>
      </c>
      <c r="AA37" s="1579">
        <f t="shared" si="3"/>
        <v>1</v>
      </c>
      <c r="AB37" s="1579">
        <f t="shared" si="4"/>
        <v>1</v>
      </c>
      <c r="AC37" s="1579">
        <f t="shared" si="5"/>
        <v>1</v>
      </c>
    </row>
    <row r="38" spans="1:29" s="1341"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8"/>
      <c r="M38" s="2179"/>
      <c r="N38" s="2179"/>
      <c r="O38" s="2151"/>
      <c r="P38" s="3396"/>
      <c r="Q38" s="1608">
        <f t="shared" si="11"/>
        <v>111</v>
      </c>
      <c r="R38" s="1580" t="s">
        <v>8</v>
      </c>
      <c r="S38" s="1581">
        <f t="shared" si="12"/>
        <v>100</v>
      </c>
      <c r="T38" s="1580" t="s">
        <v>8</v>
      </c>
      <c r="U38" s="1581">
        <f t="shared" si="13"/>
        <v>100</v>
      </c>
      <c r="V38" s="1580" t="s">
        <v>8</v>
      </c>
      <c r="W38" s="1581">
        <f t="shared" si="14"/>
        <v>100</v>
      </c>
      <c r="X38" s="1582"/>
      <c r="Y38" s="3396"/>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0"/>
      <c r="M39" s="2142"/>
      <c r="N39" s="2142"/>
      <c r="O39" s="2149"/>
      <c r="P39" s="3396"/>
      <c r="Q39" s="1575">
        <f t="shared" si="11"/>
        <v>111</v>
      </c>
      <c r="R39" s="1576" t="s">
        <v>8</v>
      </c>
      <c r="S39" s="1577">
        <f t="shared" si="12"/>
        <v>100</v>
      </c>
      <c r="T39" s="1576" t="s">
        <v>8</v>
      </c>
      <c r="U39" s="1577">
        <f t="shared" si="13"/>
        <v>100</v>
      </c>
      <c r="V39" s="1576" t="s">
        <v>8</v>
      </c>
      <c r="W39" s="1577">
        <f t="shared" si="14"/>
        <v>100</v>
      </c>
      <c r="X39" s="1570"/>
      <c r="Y39" s="3396"/>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0"/>
      <c r="M40" s="2142"/>
      <c r="N40" s="2142"/>
      <c r="O40" s="2149"/>
      <c r="P40" s="3471"/>
      <c r="Q40" s="1575">
        <f t="shared" si="11"/>
        <v>111</v>
      </c>
      <c r="R40" s="1576" t="s">
        <v>8</v>
      </c>
      <c r="S40" s="1577">
        <f t="shared" si="12"/>
        <v>100</v>
      </c>
      <c r="T40" s="1576" t="s">
        <v>8</v>
      </c>
      <c r="U40" s="1577">
        <f t="shared" si="13"/>
        <v>100</v>
      </c>
      <c r="V40" s="1576" t="s">
        <v>8</v>
      </c>
      <c r="W40" s="1577">
        <f t="shared" si="14"/>
        <v>100</v>
      </c>
      <c r="X40" s="1570"/>
      <c r="Y40" s="3471"/>
      <c r="Z40" s="1578">
        <f t="shared" si="15"/>
        <v>111</v>
      </c>
      <c r="AA40" s="1579">
        <f t="shared" si="3"/>
        <v>1</v>
      </c>
      <c r="AB40" s="1579">
        <f t="shared" si="4"/>
        <v>1</v>
      </c>
      <c r="AC40" s="1579">
        <f t="shared" si="5"/>
        <v>1</v>
      </c>
    </row>
    <row r="41" spans="1:29" ht="15">
      <c r="A41" s="610" t="s">
        <v>739</v>
      </c>
      <c r="B41" s="890"/>
      <c r="C41" s="2660" t="s">
        <v>1</v>
      </c>
      <c r="D41" s="2661"/>
      <c r="E41" s="2662"/>
      <c r="F41" s="2663"/>
      <c r="G41" s="2664"/>
      <c r="H41" s="2665"/>
      <c r="I41" s="2662"/>
      <c r="J41" s="2665"/>
      <c r="K41" s="1614"/>
      <c r="L41" s="2152"/>
      <c r="M41" s="2153"/>
      <c r="N41" s="2142"/>
      <c r="O41" s="2153"/>
      <c r="P41" s="3358" t="str">
        <f>A41</f>
        <v>成交单价（元/平方米）</v>
      </c>
      <c r="Q41" s="3358"/>
      <c r="R41" s="3470">
        <f>E41</f>
        <v>0</v>
      </c>
      <c r="S41" s="3470"/>
      <c r="T41" s="3470">
        <f>G41</f>
        <v>0</v>
      </c>
      <c r="U41" s="3470"/>
      <c r="V41" s="3470">
        <f>I41</f>
        <v>0</v>
      </c>
      <c r="W41" s="3470"/>
      <c r="X41" s="1562"/>
      <c r="Y41" s="1584"/>
      <c r="Z41" s="1562"/>
      <c r="AA41" s="1562"/>
      <c r="AB41" s="1562"/>
      <c r="AC41" s="1562"/>
    </row>
    <row r="42" spans="1:29" ht="15.75" thickBot="1">
      <c r="A42" s="618" t="s">
        <v>2770</v>
      </c>
      <c r="B42" s="891"/>
      <c r="C42" s="2666" t="e">
        <f>R43</f>
        <v>#DIV/0!</v>
      </c>
      <c r="D42" s="2667"/>
      <c r="E42" s="2668" t="e">
        <f>R42</f>
        <v>#DIV/0!</v>
      </c>
      <c r="F42" s="2668"/>
      <c r="G42" s="2666" t="e">
        <f>T42</f>
        <v>#DIV/0!</v>
      </c>
      <c r="H42" s="2667"/>
      <c r="I42" s="2668" t="e">
        <f>V42</f>
        <v>#DIV/0!</v>
      </c>
      <c r="J42" s="2667"/>
      <c r="K42" s="1615"/>
      <c r="L42" s="2152"/>
      <c r="M42" s="2153"/>
      <c r="N42" s="2142"/>
      <c r="O42" s="2153"/>
      <c r="P42" s="3358" t="str">
        <f>A42</f>
        <v>比较价格（元/平方米）</v>
      </c>
      <c r="Q42" s="3358"/>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2"/>
      <c r="Y42" s="1562"/>
      <c r="Z42" s="1562"/>
      <c r="AA42" s="1562"/>
      <c r="AB42" s="1562"/>
      <c r="AC42" s="1562"/>
    </row>
    <row r="43" spans="1:29" ht="15.75" thickBot="1">
      <c r="A43" s="624" t="s">
        <v>2936</v>
      </c>
      <c r="B43" s="625"/>
      <c r="C43" s="2669" t="e">
        <f>R43</f>
        <v>#DIV/0!</v>
      </c>
      <c r="D43" s="2669"/>
      <c r="E43" s="2669"/>
      <c r="F43" s="2669"/>
      <c r="G43" s="2669"/>
      <c r="H43" s="2669"/>
      <c r="I43" s="2669"/>
      <c r="J43" s="2669"/>
      <c r="K43" s="1616"/>
      <c r="L43" s="2152"/>
      <c r="M43" s="2153"/>
      <c r="N43" s="2153"/>
      <c r="O43" s="2153"/>
      <c r="P43" s="3355" t="str">
        <f>A43</f>
        <v>估价对象XX用房的比较价格（楼面单价，元/平方米）</v>
      </c>
      <c r="Q43" s="3356"/>
      <c r="R43" s="3469" t="e">
        <f>IF(F1="售价",ROUND(AVERAGE(R42:V42),0),ROUND(AVERAGE(R42:V42),1))</f>
        <v>#DIV/0!</v>
      </c>
      <c r="S43" s="3469"/>
      <c r="T43" s="3469"/>
      <c r="U43" s="3469"/>
      <c r="V43" s="3469"/>
      <c r="W43" s="3469"/>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9" customFormat="1" ht="15">
      <c r="A52" s="648" t="s">
        <v>530</v>
      </c>
      <c r="B52" s="649"/>
      <c r="C52" s="2839" t="str">
        <f>YEAR(C7)&amp;"-"&amp;MONTH(C7)</f>
        <v>2017-9</v>
      </c>
      <c r="D52" s="2841">
        <f>EDATE(C52,-1)</f>
        <v>42948</v>
      </c>
      <c r="E52" s="2841">
        <f t="shared" ref="E52:O52" si="16">EDATE(D52,-1)</f>
        <v>42917</v>
      </c>
      <c r="F52" s="2841">
        <f t="shared" si="16"/>
        <v>42887</v>
      </c>
      <c r="G52" s="2841">
        <f t="shared" si="16"/>
        <v>42856</v>
      </c>
      <c r="H52" s="2841">
        <f t="shared" si="16"/>
        <v>42826</v>
      </c>
      <c r="I52" s="2841">
        <f t="shared" si="16"/>
        <v>42795</v>
      </c>
      <c r="J52" s="2841">
        <f t="shared" si="16"/>
        <v>42767</v>
      </c>
      <c r="K52" s="2841">
        <f t="shared" si="16"/>
        <v>42736</v>
      </c>
      <c r="L52" s="2841">
        <f t="shared" si="16"/>
        <v>42705</v>
      </c>
      <c r="M52" s="2841">
        <f t="shared" si="16"/>
        <v>42675</v>
      </c>
      <c r="N52" s="2841">
        <f t="shared" si="16"/>
        <v>42644</v>
      </c>
      <c r="O52" s="2841">
        <f t="shared" si="16"/>
        <v>42614</v>
      </c>
      <c r="P52" s="2168"/>
      <c r="Q52" s="2169"/>
      <c r="R52" s="2169"/>
      <c r="S52" s="2169"/>
      <c r="T52" s="2169"/>
      <c r="U52" s="2169"/>
      <c r="V52" s="2169"/>
      <c r="W52" s="2169"/>
      <c r="X52" s="2169"/>
      <c r="Y52" s="2169"/>
      <c r="Z52" s="2169"/>
      <c r="AA52" s="2169"/>
      <c r="AB52" s="2169"/>
      <c r="AC52" s="2169"/>
    </row>
    <row r="53" spans="1:29" s="1222"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2" customFormat="1" ht="15.75" thickBot="1">
      <c r="A54" s="656" t="s">
        <v>576</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2" customFormat="1" ht="15">
      <c r="A55" s="662" t="s">
        <v>532</v>
      </c>
      <c r="B55" s="651"/>
      <c r="C55" s="663" t="s">
        <v>577</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1"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1"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1"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1"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540</v>
      </c>
      <c r="B70" s="668" t="s">
        <v>586</v>
      </c>
      <c r="C70" s="706" t="s">
        <v>580</v>
      </c>
      <c r="D70" s="706" t="s">
        <v>581</v>
      </c>
      <c r="E70" s="706" t="s">
        <v>582</v>
      </c>
      <c r="F70" s="706" t="s">
        <v>583</v>
      </c>
      <c r="G70" s="706" t="s">
        <v>584</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587</v>
      </c>
      <c r="C72" s="711" t="s">
        <v>580</v>
      </c>
      <c r="D72" s="711" t="s">
        <v>581</v>
      </c>
      <c r="E72" s="711" t="s">
        <v>582</v>
      </c>
      <c r="F72" s="711" t="s">
        <v>583</v>
      </c>
      <c r="G72" s="711" t="s">
        <v>584</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2564</v>
      </c>
      <c r="C74" s="711" t="s">
        <v>580</v>
      </c>
      <c r="D74" s="711" t="s">
        <v>581</v>
      </c>
      <c r="E74" s="711" t="s">
        <v>582</v>
      </c>
      <c r="F74" s="711" t="s">
        <v>583</v>
      </c>
      <c r="G74" s="711" t="s">
        <v>584</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30" t="s">
        <v>2565</v>
      </c>
      <c r="C76" s="2631" t="s">
        <v>2566</v>
      </c>
      <c r="D76" s="2631" t="s">
        <v>2567</v>
      </c>
      <c r="E76" s="2631" t="s">
        <v>2568</v>
      </c>
      <c r="F76" s="2631" t="s">
        <v>2569</v>
      </c>
      <c r="G76" s="2631" t="s">
        <v>2570</v>
      </c>
      <c r="H76" s="938"/>
      <c r="I76" s="938"/>
      <c r="J76" s="938"/>
      <c r="K76" s="938"/>
      <c r="L76" s="938"/>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2"/>
      <c r="B80" s="676">
        <f>B25</f>
        <v>111</v>
      </c>
      <c r="C80" s="691"/>
      <c r="D80" s="691"/>
      <c r="E80" s="691"/>
      <c r="F80" s="691"/>
      <c r="G80" s="691"/>
      <c r="H80" s="691"/>
      <c r="I80" s="691"/>
      <c r="J80" s="691"/>
      <c r="K80" s="691"/>
      <c r="L80" s="893"/>
      <c r="M80" s="894"/>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3"/>
      <c r="M82" s="894"/>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3"/>
      <c r="M84" s="8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6"/>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552</v>
      </c>
      <c r="B88" s="668" t="s">
        <v>750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752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754</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7">
        <v>0.5</v>
      </c>
      <c r="D98" s="897">
        <v>0.6</v>
      </c>
      <c r="E98" s="897">
        <v>0.7</v>
      </c>
      <c r="F98" s="897">
        <v>0.8</v>
      </c>
      <c r="G98" s="897">
        <v>0.9</v>
      </c>
      <c r="H98" s="897">
        <v>1.0001</v>
      </c>
      <c r="I98" s="908"/>
      <c r="J98" s="908"/>
      <c r="K98" s="909"/>
      <c r="L98" s="910"/>
      <c r="M98" s="911"/>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1"/>
      <c r="B100" s="676" t="s">
        <v>756</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2563</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758</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6"/>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4"/>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IF(B37="元/平方米",C39,ROUND(B2*10000/D3,0))</f>
        <v>#DIV/0!</v>
      </c>
      <c r="C3" s="855" t="s">
        <v>799</v>
      </c>
      <c r="D3" s="854">
        <f>SUMIF('数据-汇总表'!$C19:$C33,D1,'数据-汇总表'!$E19:$E33)</f>
        <v>0</v>
      </c>
      <c r="E3" s="1852" t="s">
        <v>2080</v>
      </c>
      <c r="F3" s="854">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64" t="s">
        <v>801</v>
      </c>
      <c r="D4" s="3365"/>
      <c r="E4" s="3364" t="s">
        <v>802</v>
      </c>
      <c r="F4" s="3365"/>
      <c r="G4" s="3364" t="s">
        <v>803</v>
      </c>
      <c r="H4" s="3365"/>
      <c r="I4" s="3364" t="s">
        <v>804</v>
      </c>
      <c r="J4" s="3365"/>
      <c r="K4" s="517" t="s">
        <v>805</v>
      </c>
      <c r="L4" s="2141"/>
      <c r="M4" s="2142"/>
      <c r="N4" s="2142"/>
      <c r="O4" s="2142"/>
      <c r="P4" s="3366" t="s">
        <v>806</v>
      </c>
      <c r="Q4" s="3367"/>
      <c r="R4" s="3372" t="s">
        <v>802</v>
      </c>
      <c r="S4" s="3373"/>
      <c r="T4" s="3372" t="s">
        <v>803</v>
      </c>
      <c r="U4" s="3373"/>
      <c r="V4" s="3359" t="s">
        <v>804</v>
      </c>
      <c r="W4" s="3359"/>
      <c r="X4" s="1570"/>
      <c r="Y4" s="3372" t="s">
        <v>806</v>
      </c>
      <c r="Z4" s="3373"/>
      <c r="AA4" s="3361" t="s">
        <v>802</v>
      </c>
      <c r="AB4" s="3362" t="s">
        <v>803</v>
      </c>
      <c r="AC4" s="3361" t="s">
        <v>804</v>
      </c>
    </row>
    <row r="5" spans="1:29" ht="15">
      <c r="A5" s="518"/>
      <c r="B5" s="519"/>
      <c r="C5" s="3382" t="s">
        <v>2930</v>
      </c>
      <c r="D5" s="3381"/>
      <c r="E5" s="3382" t="s">
        <v>2931</v>
      </c>
      <c r="F5" s="3381"/>
      <c r="G5" s="3382" t="s">
        <v>2932</v>
      </c>
      <c r="H5" s="3381"/>
      <c r="I5" s="3382" t="s">
        <v>2933</v>
      </c>
      <c r="J5" s="3381"/>
      <c r="K5" s="517"/>
      <c r="L5" s="2141"/>
      <c r="M5" s="2142"/>
      <c r="N5" s="2142"/>
      <c r="O5" s="2142"/>
      <c r="P5" s="3368"/>
      <c r="Q5" s="3369"/>
      <c r="R5" s="3374"/>
      <c r="S5" s="3375"/>
      <c r="T5" s="3374"/>
      <c r="U5" s="3375"/>
      <c r="V5" s="3359"/>
      <c r="W5" s="3359"/>
      <c r="X5" s="1570"/>
      <c r="Y5" s="3374"/>
      <c r="Z5" s="3375"/>
      <c r="AA5" s="3362"/>
      <c r="AB5" s="3362"/>
      <c r="AC5" s="3362"/>
    </row>
    <row r="6" spans="1:29" ht="15.75" thickBot="1">
      <c r="A6" s="520"/>
      <c r="B6" s="521"/>
      <c r="C6" s="3378" t="s">
        <v>2934</v>
      </c>
      <c r="D6" s="3379"/>
      <c r="E6" s="3383" t="s">
        <v>2934</v>
      </c>
      <c r="F6" s="3384"/>
      <c r="G6" s="3378" t="s">
        <v>2934</v>
      </c>
      <c r="H6" s="3379"/>
      <c r="I6" s="3378" t="s">
        <v>2934</v>
      </c>
      <c r="J6" s="3379"/>
      <c r="K6" s="517" t="s">
        <v>529</v>
      </c>
      <c r="L6" s="2141"/>
      <c r="M6" s="2142"/>
      <c r="N6" s="2142"/>
      <c r="O6" s="2142"/>
      <c r="P6" s="3370"/>
      <c r="Q6" s="3371"/>
      <c r="R6" s="3374"/>
      <c r="S6" s="3375"/>
      <c r="T6" s="3376"/>
      <c r="U6" s="3377"/>
      <c r="V6" s="3359"/>
      <c r="W6" s="3359"/>
      <c r="X6" s="1570"/>
      <c r="Y6" s="3376"/>
      <c r="Z6" s="3377"/>
      <c r="AA6" s="3363"/>
      <c r="AB6" s="3363"/>
      <c r="AC6" s="3363"/>
    </row>
    <row r="7" spans="1:29" s="1222" customFormat="1" ht="15.75" thickBot="1">
      <c r="A7" s="2949"/>
      <c r="B7" s="2956" t="s">
        <v>530</v>
      </c>
      <c r="C7" s="522">
        <f>'数据-取费表'!B2</f>
        <v>42997</v>
      </c>
      <c r="D7" s="523">
        <v>100</v>
      </c>
      <c r="E7" s="524"/>
      <c r="F7" s="525">
        <f>SUMIF(48:48,YEAR(E7)&amp;"-"&amp;MONTH(E7),49:49)</f>
        <v>0</v>
      </c>
      <c r="G7" s="526"/>
      <c r="H7" s="523">
        <f>SUMIF(48:48,YEAR(G7)&amp;"-"&amp;MONTH(G7),49:49)</f>
        <v>0</v>
      </c>
      <c r="I7" s="526"/>
      <c r="J7" s="523">
        <f>SUMIF(48:48,YEAR(I7)&amp;"-"&amp;MONTH(I7),49:49)</f>
        <v>0</v>
      </c>
      <c r="K7" s="527"/>
      <c r="L7" s="2143"/>
      <c r="M7" s="2144"/>
      <c r="N7" s="2144"/>
      <c r="O7" s="2144"/>
      <c r="P7" s="3390" t="s">
        <v>531</v>
      </c>
      <c r="Q7" s="3392"/>
      <c r="R7" s="1571" t="s">
        <v>8</v>
      </c>
      <c r="S7" s="1572">
        <f t="shared" ref="S7:S14" si="0">F7</f>
        <v>0</v>
      </c>
      <c r="T7" s="1571" t="s">
        <v>8</v>
      </c>
      <c r="U7" s="1572">
        <f t="shared" ref="U7:U14" si="1">H7</f>
        <v>0</v>
      </c>
      <c r="V7" s="1571" t="s">
        <v>8</v>
      </c>
      <c r="W7" s="1572">
        <f t="shared" ref="W7:W14" si="2">J7</f>
        <v>0</v>
      </c>
      <c r="X7" s="1573"/>
      <c r="Y7" s="3390" t="s">
        <v>531</v>
      </c>
      <c r="Z7" s="3391"/>
      <c r="AA7" s="1574" t="e">
        <f>D7/F7</f>
        <v>#DIV/0!</v>
      </c>
      <c r="AB7" s="1574" t="e">
        <f>D7/H7</f>
        <v>#DIV/0!</v>
      </c>
      <c r="AC7" s="1574" t="e">
        <f>D7/J7</f>
        <v>#DIV/0!</v>
      </c>
    </row>
    <row r="8" spans="1:29" s="1222" customFormat="1" ht="15.75" thickBot="1">
      <c r="A8" s="2950"/>
      <c r="B8" s="2957" t="s">
        <v>532</v>
      </c>
      <c r="C8" s="528" t="s">
        <v>577</v>
      </c>
      <c r="D8" s="523">
        <v>100</v>
      </c>
      <c r="E8" s="528"/>
      <c r="F8" s="525">
        <f>SUMIF(51:51,E8,52:52)-SUMIF(51:51,C8,52:52)+100</f>
        <v>0</v>
      </c>
      <c r="G8" s="528"/>
      <c r="H8" s="523">
        <f>SUMIF(51:51,G8,52:52)-SUMIF(51:51,C8,52:52)+100</f>
        <v>0</v>
      </c>
      <c r="I8" s="528"/>
      <c r="J8" s="523">
        <f>SUMIF(51:51,I8,52:52)-SUMIF(51:51,C8,52:52)+100</f>
        <v>0</v>
      </c>
      <c r="K8" s="527"/>
      <c r="L8" s="2143"/>
      <c r="M8" s="2144"/>
      <c r="N8" s="2144"/>
      <c r="O8" s="2144"/>
      <c r="P8" s="3390" t="s">
        <v>534</v>
      </c>
      <c r="Q8" s="3391"/>
      <c r="R8" s="1571" t="s">
        <v>8</v>
      </c>
      <c r="S8" s="1572">
        <f t="shared" si="0"/>
        <v>0</v>
      </c>
      <c r="T8" s="1571" t="s">
        <v>8</v>
      </c>
      <c r="U8" s="1572">
        <f t="shared" si="1"/>
        <v>0</v>
      </c>
      <c r="V8" s="1571" t="s">
        <v>8</v>
      </c>
      <c r="W8" s="1572">
        <f t="shared" si="2"/>
        <v>0</v>
      </c>
      <c r="X8" s="1573"/>
      <c r="Y8" s="3390" t="s">
        <v>534</v>
      </c>
      <c r="Z8" s="3391"/>
      <c r="AA8" s="1574" t="e">
        <f t="shared" ref="AA8:AA36" si="3">D8/F8</f>
        <v>#DIV/0!</v>
      </c>
      <c r="AB8" s="1574" t="e">
        <f t="shared" ref="AB8:AB36" si="4">D8/H8</f>
        <v>#DIV/0!</v>
      </c>
      <c r="AC8" s="1574" t="e">
        <f t="shared" ref="AC8:AC36" si="5">D8/J8</f>
        <v>#DIV/0!</v>
      </c>
    </row>
    <row r="9" spans="1:29" s="1222" customFormat="1" ht="15">
      <c r="A9" s="2951"/>
      <c r="B9" s="2958" t="s">
        <v>2766</v>
      </c>
      <c r="C9" s="860"/>
      <c r="D9" s="254">
        <v>100</v>
      </c>
      <c r="E9" s="863"/>
      <c r="F9" s="254">
        <f>SUMIF(53:53,E9,54:54)-SUMIF(53:53,C9,54:54)+100</f>
        <v>100</v>
      </c>
      <c r="G9" s="861"/>
      <c r="H9" s="254">
        <f>SUMIF(53:53,G9,54:54)-SUMIF(53:53,C9,54:54)+100</f>
        <v>100</v>
      </c>
      <c r="I9" s="861"/>
      <c r="J9" s="254">
        <f>SUMIF(53:53,I9,54:54)-SUMIF(53:53,C9,54:54)+100</f>
        <v>100</v>
      </c>
      <c r="K9" s="527"/>
      <c r="L9" s="2143"/>
      <c r="M9" s="2144"/>
      <c r="N9" s="2144"/>
      <c r="O9" s="2145"/>
      <c r="P9" s="3358" t="s">
        <v>536</v>
      </c>
      <c r="Q9" s="1153" t="str">
        <f t="shared" ref="Q9:Q14" si="6">B9</f>
        <v>用途</v>
      </c>
      <c r="R9" s="1571" t="s">
        <v>8</v>
      </c>
      <c r="S9" s="1572">
        <f t="shared" si="0"/>
        <v>100</v>
      </c>
      <c r="T9" s="1571" t="s">
        <v>8</v>
      </c>
      <c r="U9" s="1572">
        <f t="shared" si="1"/>
        <v>100</v>
      </c>
      <c r="V9" s="1571" t="s">
        <v>8</v>
      </c>
      <c r="W9" s="1572">
        <f t="shared" si="2"/>
        <v>100</v>
      </c>
      <c r="X9" s="1573"/>
      <c r="Y9" s="3304" t="s">
        <v>537</v>
      </c>
      <c r="Z9" s="1152" t="str">
        <f t="shared" ref="Z9:Z14" si="7">Q9</f>
        <v>用途</v>
      </c>
      <c r="AA9" s="1574">
        <f t="shared" si="3"/>
        <v>1</v>
      </c>
      <c r="AB9" s="1574">
        <f t="shared" si="4"/>
        <v>1</v>
      </c>
      <c r="AC9" s="1574">
        <f t="shared" si="5"/>
        <v>1</v>
      </c>
    </row>
    <row r="10" spans="1:29" s="1340" customFormat="1" ht="27">
      <c r="A10" s="2952"/>
      <c r="B10" s="2957" t="s">
        <v>2767</v>
      </c>
      <c r="C10" s="864"/>
      <c r="D10" s="255">
        <v>100</v>
      </c>
      <c r="E10" s="864"/>
      <c r="F10" s="255">
        <f>SUMIF(55:55,E10,56:56)-SUMIF(55:55,C10,56:56)+100</f>
        <v>100</v>
      </c>
      <c r="G10" s="865"/>
      <c r="H10" s="255">
        <f>SUMIF(55:55,G10,56:56)-SUMIF(55:55,C10,56:56)+100</f>
        <v>100</v>
      </c>
      <c r="I10" s="864"/>
      <c r="J10" s="255">
        <f>SUMIF(55:55,I10,56:56)-SUMIF(55:55,C10,56:56)+100</f>
        <v>100</v>
      </c>
      <c r="K10" s="587"/>
      <c r="L10" s="2146"/>
      <c r="M10" s="2186"/>
      <c r="N10" s="2186"/>
      <c r="O10" s="2147"/>
      <c r="P10" s="3358"/>
      <c r="Q10" s="1153" t="str">
        <f t="shared" si="6"/>
        <v>土地使用年限（年）</v>
      </c>
      <c r="R10" s="1571" t="s">
        <v>8</v>
      </c>
      <c r="S10" s="1572">
        <f t="shared" si="0"/>
        <v>100</v>
      </c>
      <c r="T10" s="1571" t="s">
        <v>8</v>
      </c>
      <c r="U10" s="1572">
        <f t="shared" si="1"/>
        <v>100</v>
      </c>
      <c r="V10" s="1571" t="s">
        <v>8</v>
      </c>
      <c r="W10" s="1572">
        <f t="shared" si="2"/>
        <v>100</v>
      </c>
      <c r="X10" s="1573"/>
      <c r="Y10" s="3304"/>
      <c r="Z10" s="1152" t="str">
        <f t="shared" si="7"/>
        <v>土地使用年限（年）</v>
      </c>
      <c r="AA10" s="1574">
        <f t="shared" si="3"/>
        <v>1</v>
      </c>
      <c r="AB10" s="1574">
        <f t="shared" si="4"/>
        <v>1</v>
      </c>
      <c r="AC10" s="1574">
        <f t="shared" si="5"/>
        <v>1</v>
      </c>
    </row>
    <row r="11" spans="1:29" ht="15">
      <c r="A11" s="2954"/>
      <c r="B11" s="2960">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58"/>
      <c r="Q11" s="1153">
        <f t="shared" si="6"/>
        <v>111</v>
      </c>
      <c r="R11" s="1571" t="s">
        <v>8</v>
      </c>
      <c r="S11" s="1572">
        <f t="shared" si="0"/>
        <v>100</v>
      </c>
      <c r="T11" s="1571" t="s">
        <v>8</v>
      </c>
      <c r="U11" s="1572">
        <f t="shared" si="1"/>
        <v>100</v>
      </c>
      <c r="V11" s="1571" t="s">
        <v>8</v>
      </c>
      <c r="W11" s="1572">
        <f t="shared" si="2"/>
        <v>100</v>
      </c>
      <c r="X11" s="1573"/>
      <c r="Y11" s="3304"/>
      <c r="Z11" s="1152">
        <f t="shared" si="7"/>
        <v>111</v>
      </c>
      <c r="AA11" s="1574">
        <f t="shared" si="3"/>
        <v>1</v>
      </c>
      <c r="AB11" s="1574">
        <f t="shared" si="4"/>
        <v>1</v>
      </c>
      <c r="AC11" s="1574">
        <f t="shared" si="5"/>
        <v>1</v>
      </c>
    </row>
    <row r="12" spans="1:29" s="1222" customFormat="1" ht="15">
      <c r="A12" s="2954"/>
      <c r="B12" s="2960">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58"/>
      <c r="Q12" s="1153">
        <f t="shared" si="6"/>
        <v>111</v>
      </c>
      <c r="R12" s="1571" t="s">
        <v>8</v>
      </c>
      <c r="S12" s="1572">
        <f t="shared" si="0"/>
        <v>100</v>
      </c>
      <c r="T12" s="1571" t="s">
        <v>8</v>
      </c>
      <c r="U12" s="1572">
        <f t="shared" si="1"/>
        <v>100</v>
      </c>
      <c r="V12" s="1571" t="s">
        <v>8</v>
      </c>
      <c r="W12" s="1572">
        <f t="shared" si="2"/>
        <v>100</v>
      </c>
      <c r="X12" s="1573"/>
      <c r="Y12" s="3304"/>
      <c r="Z12" s="1152">
        <f t="shared" si="7"/>
        <v>111</v>
      </c>
      <c r="AA12" s="1574">
        <f>D12/F12</f>
        <v>1</v>
      </c>
      <c r="AB12" s="1574">
        <f>D12/H12</f>
        <v>1</v>
      </c>
      <c r="AC12" s="1574">
        <f>D12/J12</f>
        <v>1</v>
      </c>
    </row>
    <row r="13" spans="1:29" ht="15.75" thickBot="1">
      <c r="A13" s="2955"/>
      <c r="B13" s="2961">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58"/>
      <c r="Q13" s="1153">
        <f t="shared" si="6"/>
        <v>111</v>
      </c>
      <c r="R13" s="1571" t="s">
        <v>8</v>
      </c>
      <c r="S13" s="1572">
        <f t="shared" si="0"/>
        <v>100</v>
      </c>
      <c r="T13" s="1571" t="s">
        <v>8</v>
      </c>
      <c r="U13" s="1572">
        <f t="shared" si="1"/>
        <v>100</v>
      </c>
      <c r="V13" s="1571" t="s">
        <v>8</v>
      </c>
      <c r="W13" s="1572">
        <f t="shared" si="2"/>
        <v>100</v>
      </c>
      <c r="X13" s="1573"/>
      <c r="Y13" s="3304"/>
      <c r="Z13" s="1152">
        <f t="shared" si="7"/>
        <v>111</v>
      </c>
      <c r="AA13" s="1574">
        <f t="shared" si="3"/>
        <v>1</v>
      </c>
      <c r="AB13" s="1574">
        <f t="shared" si="4"/>
        <v>1</v>
      </c>
      <c r="AC13" s="1574">
        <f t="shared" si="5"/>
        <v>1</v>
      </c>
    </row>
    <row r="14" spans="1:29" ht="15">
      <c r="A14" s="2947" t="s">
        <v>2764</v>
      </c>
      <c r="B14" s="550" t="s">
        <v>544</v>
      </c>
      <c r="C14" s="924" t="str">
        <f>IF(B1="工业",估价对象房地状况!G4,估价对象房地状况!C6)</f>
        <v>一般</v>
      </c>
      <c r="D14" s="552">
        <v>100</v>
      </c>
      <c r="E14" s="553"/>
      <c r="F14" s="554">
        <f>SUMIF(63:63,E15,64:64)-SUMIF(63:63,C15,64:64)+100</f>
        <v>100</v>
      </c>
      <c r="G14" s="555"/>
      <c r="H14" s="552">
        <f>SUMIF(63:63,G15,64:64)-SUMIF(63:63,C15,64:64)+100</f>
        <v>100</v>
      </c>
      <c r="I14" s="553"/>
      <c r="J14" s="552">
        <f>SUMIF(63:63,I15,64:64)-SUMIF(63:63,C15,64:64)+100</f>
        <v>100</v>
      </c>
      <c r="K14" s="901"/>
      <c r="L14" s="2150"/>
      <c r="M14" s="2142"/>
      <c r="N14" s="2142"/>
      <c r="O14" s="2149"/>
      <c r="P14" s="3393" t="s">
        <v>541</v>
      </c>
      <c r="Q14" s="1575" t="str">
        <f t="shared" si="6"/>
        <v>交通便捷度</v>
      </c>
      <c r="R14" s="1576" t="s">
        <v>8</v>
      </c>
      <c r="S14" s="1577">
        <f t="shared" si="0"/>
        <v>100</v>
      </c>
      <c r="T14" s="1576" t="s">
        <v>8</v>
      </c>
      <c r="U14" s="1577">
        <f t="shared" si="1"/>
        <v>100</v>
      </c>
      <c r="V14" s="1576" t="s">
        <v>8</v>
      </c>
      <c r="W14" s="1577">
        <f t="shared" si="2"/>
        <v>100</v>
      </c>
      <c r="X14" s="1570"/>
      <c r="Y14" s="3393"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50"/>
      <c r="M15" s="2142"/>
      <c r="N15" s="2142"/>
      <c r="O15" s="2149"/>
      <c r="P15" s="3394"/>
      <c r="Q15" s="1575"/>
      <c r="R15" s="1576"/>
      <c r="S15" s="1577"/>
      <c r="T15" s="1576"/>
      <c r="U15" s="1577"/>
      <c r="V15" s="1576"/>
      <c r="W15" s="1577"/>
      <c r="X15" s="1570"/>
      <c r="Y15" s="3394"/>
      <c r="Z15" s="1578"/>
      <c r="AA15" s="1579">
        <v>1</v>
      </c>
      <c r="AB15" s="1579">
        <v>1</v>
      </c>
      <c r="AC15" s="1579">
        <v>1</v>
      </c>
    </row>
    <row r="16" spans="1:29" ht="15">
      <c r="A16" s="518"/>
      <c r="B16" s="2636" t="s">
        <v>2553</v>
      </c>
      <c r="C16" s="875" t="str">
        <f>IF(B1="工业",估价对象房地状况!G5,估价对象房地状况!C7)</f>
        <v>一般</v>
      </c>
      <c r="D16" s="568">
        <v>100</v>
      </c>
      <c r="E16" s="575"/>
      <c r="F16" s="574">
        <f>SUMIF(65:65,E17,66:66)-SUMIF(65:65,C17,66:66)+100</f>
        <v>100</v>
      </c>
      <c r="G16" s="575"/>
      <c r="H16" s="568">
        <f>SUMIF(65:65,G17,66:66)-SUMIF(65:65,C17,66:66)+100</f>
        <v>100</v>
      </c>
      <c r="I16" s="573"/>
      <c r="J16" s="568">
        <f>SUMIF(65:65,I17,66:66)-SUMIF(65:65,C17,66:66)+100</f>
        <v>100</v>
      </c>
      <c r="K16" s="901"/>
      <c r="L16" s="2150"/>
      <c r="M16" s="2142"/>
      <c r="N16" s="2142"/>
      <c r="O16" s="2149"/>
      <c r="P16" s="3394"/>
      <c r="Q16" s="1575" t="str">
        <f>B16</f>
        <v>公共配套设施</v>
      </c>
      <c r="R16" s="1576" t="s">
        <v>8</v>
      </c>
      <c r="S16" s="1577">
        <f>F16</f>
        <v>100</v>
      </c>
      <c r="T16" s="1576" t="s">
        <v>8</v>
      </c>
      <c r="U16" s="1577">
        <f>H16</f>
        <v>100</v>
      </c>
      <c r="V16" s="1576" t="s">
        <v>8</v>
      </c>
      <c r="W16" s="1577">
        <f>J16</f>
        <v>100</v>
      </c>
      <c r="X16" s="1570"/>
      <c r="Y16" s="3394"/>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50"/>
      <c r="M17" s="2142"/>
      <c r="N17" s="2142"/>
      <c r="O17" s="2149"/>
      <c r="P17" s="3394"/>
      <c r="Q17" s="1575"/>
      <c r="R17" s="1576"/>
      <c r="S17" s="1577"/>
      <c r="T17" s="1576"/>
      <c r="U17" s="1577"/>
      <c r="V17" s="1576"/>
      <c r="W17" s="1577"/>
      <c r="X17" s="1570"/>
      <c r="Y17" s="3394"/>
      <c r="Z17" s="1578"/>
      <c r="AA17" s="1579">
        <v>1</v>
      </c>
      <c r="AB17" s="1579">
        <v>1</v>
      </c>
      <c r="AC17" s="1579">
        <v>1</v>
      </c>
    </row>
    <row r="18" spans="1:29" ht="15">
      <c r="A18" s="518"/>
      <c r="B18" s="2624" t="s">
        <v>2565</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1"/>
      <c r="L18" s="2150"/>
      <c r="M18" s="2142"/>
      <c r="N18" s="2142"/>
      <c r="O18" s="2149"/>
      <c r="P18" s="3394"/>
      <c r="Q18" s="2612" t="str">
        <f>B18</f>
        <v>基础设施水平</v>
      </c>
      <c r="R18" s="1576" t="s">
        <v>8</v>
      </c>
      <c r="S18" s="1577">
        <f>F18</f>
        <v>100</v>
      </c>
      <c r="T18" s="1576" t="s">
        <v>8</v>
      </c>
      <c r="U18" s="1577">
        <f>H18</f>
        <v>100</v>
      </c>
      <c r="V18" s="1576" t="s">
        <v>8</v>
      </c>
      <c r="W18" s="1577">
        <f>J18</f>
        <v>100</v>
      </c>
      <c r="X18" s="2614"/>
      <c r="Y18" s="3394"/>
      <c r="Z18" s="2613"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5"/>
      <c r="L19" s="2150"/>
      <c r="M19" s="2142"/>
      <c r="N19" s="2142"/>
      <c r="O19" s="2149"/>
      <c r="P19" s="3394"/>
      <c r="Q19" s="2612"/>
      <c r="R19" s="1576"/>
      <c r="S19" s="1577"/>
      <c r="T19" s="1576"/>
      <c r="U19" s="1577"/>
      <c r="V19" s="1576"/>
      <c r="W19" s="1577"/>
      <c r="X19" s="2614"/>
      <c r="Y19" s="3394"/>
      <c r="Z19" s="2613"/>
      <c r="AA19" s="1579">
        <v>1</v>
      </c>
      <c r="AB19" s="1579">
        <v>1</v>
      </c>
      <c r="AC19" s="1579">
        <v>1</v>
      </c>
    </row>
    <row r="20" spans="1:29" ht="15">
      <c r="A20" s="518"/>
      <c r="B20" s="563" t="s">
        <v>807</v>
      </c>
      <c r="C20" s="875" t="str">
        <f>IF(B1="工业",估价对象房地状况!G7,估价对象房地状况!C9)</f>
        <v>一般</v>
      </c>
      <c r="D20" s="568">
        <v>100</v>
      </c>
      <c r="E20" s="565"/>
      <c r="F20" s="566">
        <f>SUMIF(69:69,E21,70:70)-SUMIF(69:69,C21,70:70)+100</f>
        <v>100</v>
      </c>
      <c r="G20" s="567"/>
      <c r="H20" s="562">
        <f>SUMIF(69:69,G21,70:70)-SUMIF(69:69,C21,70:70)+100</f>
        <v>100</v>
      </c>
      <c r="I20" s="565"/>
      <c r="J20" s="562">
        <f>SUMIF(69:69,I21,70:70)-SUMIF(69:69,C21,70:70)+100</f>
        <v>100</v>
      </c>
      <c r="K20" s="901"/>
      <c r="L20" s="2150"/>
      <c r="M20" s="2142"/>
      <c r="N20" s="2142"/>
      <c r="O20" s="2149"/>
      <c r="P20" s="3394"/>
      <c r="Q20" s="1575" t="str">
        <f>B20</f>
        <v>自然及人文环境</v>
      </c>
      <c r="R20" s="1576" t="s">
        <v>8</v>
      </c>
      <c r="S20" s="1577">
        <f>F20</f>
        <v>100</v>
      </c>
      <c r="T20" s="1576" t="s">
        <v>8</v>
      </c>
      <c r="U20" s="1577">
        <f>H20</f>
        <v>100</v>
      </c>
      <c r="V20" s="1576" t="s">
        <v>8</v>
      </c>
      <c r="W20" s="1577">
        <f>J20</f>
        <v>100</v>
      </c>
      <c r="X20" s="1570"/>
      <c r="Y20" s="3394"/>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50"/>
      <c r="M21" s="2142"/>
      <c r="N21" s="2142"/>
      <c r="O21" s="2149"/>
      <c r="P21" s="3394"/>
      <c r="Q21" s="1575"/>
      <c r="R21" s="1576"/>
      <c r="S21" s="1577"/>
      <c r="T21" s="1576"/>
      <c r="U21" s="1577"/>
      <c r="V21" s="1576"/>
      <c r="W21" s="1577"/>
      <c r="X21" s="1570"/>
      <c r="Y21" s="3394"/>
      <c r="Z21" s="1578"/>
      <c r="AA21" s="1579">
        <v>1</v>
      </c>
      <c r="AB21" s="1579">
        <v>1</v>
      </c>
      <c r="AC21" s="1579">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394"/>
      <c r="Q22" s="1575" t="str">
        <f>B22</f>
        <v>楼层</v>
      </c>
      <c r="R22" s="1576" t="s">
        <v>8</v>
      </c>
      <c r="S22" s="1577">
        <f>F22</f>
        <v>100</v>
      </c>
      <c r="T22" s="1576" t="s">
        <v>8</v>
      </c>
      <c r="U22" s="1577">
        <f>H22</f>
        <v>100</v>
      </c>
      <c r="V22" s="1576" t="s">
        <v>8</v>
      </c>
      <c r="W22" s="1577">
        <f>J22</f>
        <v>100</v>
      </c>
      <c r="X22" s="1570"/>
      <c r="Y22" s="3394"/>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394"/>
      <c r="Q23" s="1575">
        <f>B23</f>
        <v>111</v>
      </c>
      <c r="R23" s="1576" t="s">
        <v>8</v>
      </c>
      <c r="S23" s="1577">
        <f>F23</f>
        <v>100</v>
      </c>
      <c r="T23" s="1576" t="s">
        <v>8</v>
      </c>
      <c r="U23" s="1577">
        <f>H23</f>
        <v>100</v>
      </c>
      <c r="V23" s="1576" t="s">
        <v>8</v>
      </c>
      <c r="W23" s="1577">
        <f>J23</f>
        <v>100</v>
      </c>
      <c r="X23" s="1570"/>
      <c r="Y23" s="3394"/>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394"/>
      <c r="Q24" s="1575">
        <f t="shared" ref="Q24:Q36" si="11">B24</f>
        <v>111</v>
      </c>
      <c r="R24" s="1576" t="s">
        <v>8</v>
      </c>
      <c r="S24" s="1577">
        <f>F24</f>
        <v>100</v>
      </c>
      <c r="T24" s="1576" t="s">
        <v>8</v>
      </c>
      <c r="U24" s="1577">
        <f>H24</f>
        <v>100</v>
      </c>
      <c r="V24" s="1576" t="s">
        <v>8</v>
      </c>
      <c r="W24" s="1577">
        <f>J24</f>
        <v>100</v>
      </c>
      <c r="X24" s="1570"/>
      <c r="Y24" s="3394"/>
      <c r="Z24" s="1578">
        <f>Q24</f>
        <v>111</v>
      </c>
      <c r="AA24" s="1579">
        <f t="shared" si="3"/>
        <v>1</v>
      </c>
      <c r="AB24" s="1579">
        <f t="shared" si="4"/>
        <v>1</v>
      </c>
      <c r="AC24" s="1579">
        <f t="shared" si="5"/>
        <v>1</v>
      </c>
    </row>
    <row r="25" spans="1:29" s="1222"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3"/>
      <c r="M25" s="2144"/>
      <c r="N25" s="2144"/>
      <c r="O25" s="2145"/>
      <c r="P25" s="3394"/>
      <c r="Q25" s="1153">
        <f t="shared" si="11"/>
        <v>111</v>
      </c>
      <c r="R25" s="1571" t="s">
        <v>8</v>
      </c>
      <c r="S25" s="1572">
        <f>F25</f>
        <v>100</v>
      </c>
      <c r="T25" s="1571" t="s">
        <v>8</v>
      </c>
      <c r="U25" s="1572">
        <f>H25</f>
        <v>100</v>
      </c>
      <c r="V25" s="1571" t="s">
        <v>8</v>
      </c>
      <c r="W25" s="1572">
        <f>J25</f>
        <v>100</v>
      </c>
      <c r="X25" s="1573"/>
      <c r="Y25" s="3394"/>
      <c r="Z25" s="1152">
        <f>Q25</f>
        <v>111</v>
      </c>
      <c r="AA25" s="1579">
        <f>D25/F25</f>
        <v>1</v>
      </c>
      <c r="AB25" s="1579">
        <f>D25/H25</f>
        <v>1</v>
      </c>
      <c r="AC25" s="1579">
        <f>D25/J25</f>
        <v>1</v>
      </c>
    </row>
    <row r="26" spans="1:29" ht="15">
      <c r="A26" s="2944" t="s">
        <v>2765</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0"/>
      <c r="M26" s="2142"/>
      <c r="N26" s="2142"/>
      <c r="O26" s="2149"/>
      <c r="P26" s="3395"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6" t="s">
        <v>551</v>
      </c>
      <c r="Z26" s="1578" t="str">
        <f t="shared" ref="Z26:Z36" si="15">Q26</f>
        <v>配套类型</v>
      </c>
      <c r="AA26" s="1579">
        <f t="shared" si="3"/>
        <v>1</v>
      </c>
      <c r="AB26" s="1579">
        <f t="shared" si="4"/>
        <v>1</v>
      </c>
      <c r="AC26" s="1579">
        <f t="shared" si="5"/>
        <v>1</v>
      </c>
    </row>
    <row r="27" spans="1:29" s="1341"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8"/>
      <c r="M27" s="2179"/>
      <c r="N27" s="2179"/>
      <c r="O27" s="2151"/>
      <c r="P27" s="3396"/>
      <c r="Q27" s="1608" t="str">
        <f t="shared" si="11"/>
        <v>项目停车位配比</v>
      </c>
      <c r="R27" s="1580" t="s">
        <v>8</v>
      </c>
      <c r="S27" s="1581">
        <f t="shared" si="12"/>
        <v>100</v>
      </c>
      <c r="T27" s="1580" t="s">
        <v>8</v>
      </c>
      <c r="U27" s="1581">
        <f t="shared" si="13"/>
        <v>100</v>
      </c>
      <c r="V27" s="1580" t="s">
        <v>8</v>
      </c>
      <c r="W27" s="1581">
        <f t="shared" si="14"/>
        <v>100</v>
      </c>
      <c r="X27" s="1582"/>
      <c r="Y27" s="3396"/>
      <c r="Z27" s="1583" t="str">
        <f t="shared" si="15"/>
        <v>项目停车位配比</v>
      </c>
      <c r="AA27" s="1579">
        <f t="shared" si="3"/>
        <v>1</v>
      </c>
      <c r="AB27" s="1579">
        <f t="shared" si="4"/>
        <v>1</v>
      </c>
      <c r="AC27" s="1579">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0"/>
      <c r="M28" s="2142"/>
      <c r="N28" s="2142"/>
      <c r="O28" s="2149"/>
      <c r="P28" s="3396"/>
      <c r="Q28" s="1575" t="str">
        <f t="shared" si="11"/>
        <v>公共部分装修</v>
      </c>
      <c r="R28" s="1576" t="s">
        <v>8</v>
      </c>
      <c r="S28" s="1577">
        <f t="shared" si="12"/>
        <v>100</v>
      </c>
      <c r="T28" s="1576" t="s">
        <v>8</v>
      </c>
      <c r="U28" s="1577">
        <f t="shared" si="13"/>
        <v>100</v>
      </c>
      <c r="V28" s="1576" t="s">
        <v>8</v>
      </c>
      <c r="W28" s="1577">
        <f t="shared" si="14"/>
        <v>100</v>
      </c>
      <c r="X28" s="1570"/>
      <c r="Y28" s="3396"/>
      <c r="Z28" s="1578" t="str">
        <f t="shared" si="15"/>
        <v>公共部分装修</v>
      </c>
      <c r="AA28" s="1579">
        <f t="shared" si="3"/>
        <v>1</v>
      </c>
      <c r="AB28" s="1579">
        <f t="shared" si="4"/>
        <v>1</v>
      </c>
      <c r="AC28" s="1579">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0"/>
      <c r="M29" s="2142"/>
      <c r="N29" s="2142"/>
      <c r="O29" s="2149"/>
      <c r="P29" s="3396"/>
      <c r="Q29" s="1575" t="str">
        <f t="shared" si="11"/>
        <v>成新率</v>
      </c>
      <c r="R29" s="1576" t="s">
        <v>8</v>
      </c>
      <c r="S29" s="1577" t="e">
        <f t="shared" si="12"/>
        <v>#N/A</v>
      </c>
      <c r="T29" s="1576" t="s">
        <v>8</v>
      </c>
      <c r="U29" s="1577" t="e">
        <f t="shared" si="13"/>
        <v>#N/A</v>
      </c>
      <c r="V29" s="1576" t="s">
        <v>8</v>
      </c>
      <c r="W29" s="1577" t="e">
        <f t="shared" si="14"/>
        <v>#N/A</v>
      </c>
      <c r="X29" s="1570"/>
      <c r="Y29" s="3396"/>
      <c r="Z29" s="1578" t="str">
        <f t="shared" si="15"/>
        <v>成新率</v>
      </c>
      <c r="AA29" s="1579" t="e">
        <f t="shared" si="3"/>
        <v>#N/A</v>
      </c>
      <c r="AB29" s="1579" t="e">
        <f t="shared" si="4"/>
        <v>#N/A</v>
      </c>
      <c r="AC29" s="1579"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0"/>
      <c r="M30" s="2142"/>
      <c r="N30" s="2142"/>
      <c r="O30" s="2149"/>
      <c r="P30" s="3396"/>
      <c r="Q30" s="1575" t="str">
        <f t="shared" si="11"/>
        <v>物业等级</v>
      </c>
      <c r="R30" s="1576" t="s">
        <v>8</v>
      </c>
      <c r="S30" s="1577">
        <f t="shared" si="12"/>
        <v>100</v>
      </c>
      <c r="T30" s="1576" t="s">
        <v>8</v>
      </c>
      <c r="U30" s="1577">
        <f t="shared" si="13"/>
        <v>100</v>
      </c>
      <c r="V30" s="1576" t="s">
        <v>8</v>
      </c>
      <c r="W30" s="1577">
        <f t="shared" si="14"/>
        <v>100</v>
      </c>
      <c r="X30" s="1570"/>
      <c r="Y30" s="3396"/>
      <c r="Z30" s="1578" t="str">
        <f t="shared" si="15"/>
        <v>物业等级</v>
      </c>
      <c r="AA30" s="1579">
        <f t="shared" si="3"/>
        <v>1</v>
      </c>
      <c r="AB30" s="1579">
        <f t="shared" si="4"/>
        <v>1</v>
      </c>
      <c r="AC30" s="1579">
        <f t="shared" si="5"/>
        <v>1</v>
      </c>
    </row>
    <row r="31" spans="1:29" s="1222"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3"/>
      <c r="M31" s="2144"/>
      <c r="N31" s="2144"/>
      <c r="O31" s="2145"/>
      <c r="P31" s="3396"/>
      <c r="Q31" s="1153" t="str">
        <f t="shared" si="11"/>
        <v>停车位面积</v>
      </c>
      <c r="R31" s="1571" t="s">
        <v>8</v>
      </c>
      <c r="S31" s="1572" t="e">
        <f t="shared" si="12"/>
        <v>#N/A</v>
      </c>
      <c r="T31" s="1571" t="s">
        <v>8</v>
      </c>
      <c r="U31" s="1572" t="e">
        <f t="shared" si="13"/>
        <v>#N/A</v>
      </c>
      <c r="V31" s="1571" t="s">
        <v>8</v>
      </c>
      <c r="W31" s="1572" t="e">
        <f t="shared" si="14"/>
        <v>#N/A</v>
      </c>
      <c r="X31" s="1573"/>
      <c r="Y31" s="3396"/>
      <c r="Z31" s="1152" t="str">
        <f t="shared" si="15"/>
        <v>停车位面积</v>
      </c>
      <c r="AA31" s="1574" t="e">
        <f t="shared" si="3"/>
        <v>#N/A</v>
      </c>
      <c r="AB31" s="1574" t="e">
        <f t="shared" si="4"/>
        <v>#N/A</v>
      </c>
      <c r="AC31" s="1574"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0"/>
      <c r="M32" s="2142"/>
      <c r="N32" s="2142"/>
      <c r="O32" s="2149"/>
      <c r="P32" s="3396" t="s">
        <v>551</v>
      </c>
      <c r="Q32" s="1575" t="str">
        <f t="shared" si="11"/>
        <v>车位类型</v>
      </c>
      <c r="R32" s="1576" t="s">
        <v>8</v>
      </c>
      <c r="S32" s="1577">
        <f t="shared" si="12"/>
        <v>100</v>
      </c>
      <c r="T32" s="1576" t="s">
        <v>8</v>
      </c>
      <c r="U32" s="1577">
        <f t="shared" si="13"/>
        <v>100</v>
      </c>
      <c r="V32" s="1576" t="s">
        <v>8</v>
      </c>
      <c r="W32" s="1577">
        <f t="shared" si="14"/>
        <v>100</v>
      </c>
      <c r="X32" s="1570"/>
      <c r="Y32" s="3396" t="s">
        <v>551</v>
      </c>
      <c r="Z32" s="1578" t="str">
        <f t="shared" si="15"/>
        <v>车位类型</v>
      </c>
      <c r="AA32" s="1579">
        <f t="shared" si="3"/>
        <v>1</v>
      </c>
      <c r="AB32" s="1579">
        <f t="shared" si="4"/>
        <v>1</v>
      </c>
      <c r="AC32" s="1579">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0"/>
      <c r="M33" s="2142"/>
      <c r="N33" s="2142"/>
      <c r="O33" s="2149"/>
      <c r="P33" s="3396"/>
      <c r="Q33" s="1575" t="str">
        <f t="shared" si="11"/>
        <v>是否直接入户</v>
      </c>
      <c r="R33" s="1576" t="s">
        <v>8</v>
      </c>
      <c r="S33" s="1577">
        <f t="shared" si="12"/>
        <v>100</v>
      </c>
      <c r="T33" s="1576" t="s">
        <v>8</v>
      </c>
      <c r="U33" s="1577">
        <f t="shared" si="13"/>
        <v>100</v>
      </c>
      <c r="V33" s="1576" t="s">
        <v>8</v>
      </c>
      <c r="W33" s="1577">
        <f t="shared" si="14"/>
        <v>100</v>
      </c>
      <c r="X33" s="1570"/>
      <c r="Y33" s="3396"/>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396"/>
      <c r="Q34" s="1575">
        <f t="shared" si="11"/>
        <v>111</v>
      </c>
      <c r="R34" s="1576" t="s">
        <v>8</v>
      </c>
      <c r="S34" s="1577">
        <f t="shared" si="12"/>
        <v>100</v>
      </c>
      <c r="T34" s="1576" t="s">
        <v>8</v>
      </c>
      <c r="U34" s="1577">
        <f t="shared" si="13"/>
        <v>100</v>
      </c>
      <c r="V34" s="1576" t="s">
        <v>8</v>
      </c>
      <c r="W34" s="1577">
        <f t="shared" si="14"/>
        <v>100</v>
      </c>
      <c r="X34" s="1570"/>
      <c r="Y34" s="3396"/>
      <c r="Z34" s="1578">
        <f t="shared" si="15"/>
        <v>111</v>
      </c>
      <c r="AA34" s="1579">
        <f t="shared" si="3"/>
        <v>1</v>
      </c>
      <c r="AB34" s="1579">
        <f t="shared" si="4"/>
        <v>1</v>
      </c>
      <c r="AC34" s="1579">
        <f t="shared" si="5"/>
        <v>1</v>
      </c>
    </row>
    <row r="35" spans="1:29" s="1341"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396"/>
      <c r="Q35" s="1608">
        <f t="shared" si="11"/>
        <v>111</v>
      </c>
      <c r="R35" s="1580" t="s">
        <v>8</v>
      </c>
      <c r="S35" s="1581">
        <f t="shared" si="12"/>
        <v>100</v>
      </c>
      <c r="T35" s="1580" t="s">
        <v>8</v>
      </c>
      <c r="U35" s="1581">
        <f t="shared" si="13"/>
        <v>100</v>
      </c>
      <c r="V35" s="1580" t="s">
        <v>8</v>
      </c>
      <c r="W35" s="1581">
        <f t="shared" si="14"/>
        <v>100</v>
      </c>
      <c r="X35" s="1582"/>
      <c r="Y35" s="3396"/>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396"/>
      <c r="Q36" s="1575">
        <f t="shared" si="11"/>
        <v>111</v>
      </c>
      <c r="R36" s="1576" t="s">
        <v>8</v>
      </c>
      <c r="S36" s="1577">
        <f t="shared" si="12"/>
        <v>100</v>
      </c>
      <c r="T36" s="1576" t="s">
        <v>8</v>
      </c>
      <c r="U36" s="1577">
        <f t="shared" si="13"/>
        <v>100</v>
      </c>
      <c r="V36" s="1576" t="s">
        <v>8</v>
      </c>
      <c r="W36" s="1577">
        <f t="shared" si="14"/>
        <v>100</v>
      </c>
      <c r="X36" s="1570"/>
      <c r="Y36" s="3396"/>
      <c r="Z36" s="1578">
        <f t="shared" si="15"/>
        <v>111</v>
      </c>
      <c r="AA36" s="1579">
        <f t="shared" si="3"/>
        <v>1</v>
      </c>
      <c r="AB36" s="1579">
        <f t="shared" si="4"/>
        <v>1</v>
      </c>
      <c r="AC36" s="1579">
        <f t="shared" si="5"/>
        <v>1</v>
      </c>
    </row>
    <row r="37" spans="1:29" ht="15">
      <c r="A37" s="1850" t="s">
        <v>2081</v>
      </c>
      <c r="B37" s="1851" t="s">
        <v>2082</v>
      </c>
      <c r="C37" s="2660" t="s">
        <v>1</v>
      </c>
      <c r="D37" s="2661"/>
      <c r="E37" s="2662"/>
      <c r="F37" s="2663"/>
      <c r="G37" s="2664"/>
      <c r="H37" s="2665"/>
      <c r="I37" s="2662"/>
      <c r="J37" s="2665"/>
      <c r="K37" s="1614"/>
      <c r="L37" s="2152"/>
      <c r="M37" s="2153"/>
      <c r="N37" s="2142"/>
      <c r="O37" s="2153"/>
      <c r="P37" s="3358" t="str">
        <f>A37</f>
        <v>成交单价</v>
      </c>
      <c r="Q37" s="3358"/>
      <c r="R37" s="3470">
        <f>E37</f>
        <v>0</v>
      </c>
      <c r="S37" s="3470"/>
      <c r="T37" s="3470">
        <f>G37</f>
        <v>0</v>
      </c>
      <c r="U37" s="3470"/>
      <c r="V37" s="3470">
        <f>I37</f>
        <v>0</v>
      </c>
      <c r="W37" s="3470"/>
      <c r="X37" s="1562"/>
      <c r="Y37" s="1584"/>
      <c r="Z37" s="1562"/>
      <c r="AA37" s="1562"/>
      <c r="AB37" s="1562"/>
      <c r="AC37" s="1562"/>
    </row>
    <row r="38" spans="1:29" ht="15.75" thickBot="1">
      <c r="A38" s="618" t="s">
        <v>2770</v>
      </c>
      <c r="B38" s="891"/>
      <c r="C38" s="2666" t="e">
        <f>R39</f>
        <v>#DIV/0!</v>
      </c>
      <c r="D38" s="2667"/>
      <c r="E38" s="2668" t="e">
        <f>R38</f>
        <v>#DIV/0!</v>
      </c>
      <c r="F38" s="2668"/>
      <c r="G38" s="2666" t="e">
        <f>T38</f>
        <v>#DIV/0!</v>
      </c>
      <c r="H38" s="2667"/>
      <c r="I38" s="2668" t="e">
        <f>V38</f>
        <v>#DIV/0!</v>
      </c>
      <c r="J38" s="2667"/>
      <c r="K38" s="1615"/>
      <c r="L38" s="2152"/>
      <c r="M38" s="2153"/>
      <c r="N38" s="2153"/>
      <c r="O38" s="2153"/>
      <c r="P38" s="3358" t="str">
        <f>A38</f>
        <v>比较价格（元/平方米）</v>
      </c>
      <c r="Q38" s="3358"/>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2"/>
      <c r="Y38" s="1562"/>
      <c r="Z38" s="1562"/>
      <c r="AA38" s="1562"/>
      <c r="AB38" s="1562"/>
      <c r="AC38" s="1562"/>
    </row>
    <row r="39" spans="1:29" ht="15.75" thickBot="1">
      <c r="A39" s="624" t="s">
        <v>2936</v>
      </c>
      <c r="B39" s="625"/>
      <c r="C39" s="2669" t="e">
        <f>R39</f>
        <v>#DIV/0!</v>
      </c>
      <c r="D39" s="2669"/>
      <c r="E39" s="2669"/>
      <c r="F39" s="2669"/>
      <c r="G39" s="2669"/>
      <c r="H39" s="2669"/>
      <c r="I39" s="2669"/>
      <c r="J39" s="2669"/>
      <c r="K39" s="1616"/>
      <c r="L39" s="2152"/>
      <c r="M39" s="2153"/>
      <c r="N39" s="2153"/>
      <c r="O39" s="2153"/>
      <c r="P39" s="3355" t="str">
        <f>A39</f>
        <v>估价对象XX用房的比较价格（楼面单价，元/平方米）</v>
      </c>
      <c r="Q39" s="3356"/>
      <c r="R39" s="3469" t="e">
        <f>IF(F1="售价",ROUND(AVERAGE(R38:V38),0),ROUND(AVERAGE(R38:V38),1))</f>
        <v>#DIV/0!</v>
      </c>
      <c r="S39" s="3469"/>
      <c r="T39" s="3469"/>
      <c r="U39" s="3469"/>
      <c r="V39" s="3469"/>
      <c r="W39" s="3469"/>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8" t="s">
        <v>530</v>
      </c>
      <c r="B48" s="649"/>
      <c r="C48" s="2839" t="str">
        <f>YEAR(C7)&amp;"-"&amp;MONTH(C7)</f>
        <v>2017-9</v>
      </c>
      <c r="D48" s="2841">
        <f>EDATE(C48,-1)</f>
        <v>42948</v>
      </c>
      <c r="E48" s="2841">
        <f t="shared" ref="E48:O48" si="16">EDATE(D48,-1)</f>
        <v>42917</v>
      </c>
      <c r="F48" s="2841">
        <f t="shared" si="16"/>
        <v>42887</v>
      </c>
      <c r="G48" s="2841">
        <f t="shared" si="16"/>
        <v>42856</v>
      </c>
      <c r="H48" s="2841">
        <f t="shared" si="16"/>
        <v>42826</v>
      </c>
      <c r="I48" s="2841">
        <f t="shared" si="16"/>
        <v>42795</v>
      </c>
      <c r="J48" s="2841">
        <f t="shared" si="16"/>
        <v>42767</v>
      </c>
      <c r="K48" s="2841">
        <f t="shared" si="16"/>
        <v>42736</v>
      </c>
      <c r="L48" s="2841">
        <f t="shared" si="16"/>
        <v>42705</v>
      </c>
      <c r="M48" s="2841">
        <f t="shared" si="16"/>
        <v>42675</v>
      </c>
      <c r="N48" s="2841">
        <f t="shared" si="16"/>
        <v>42644</v>
      </c>
      <c r="O48" s="2841">
        <f t="shared" si="16"/>
        <v>42614</v>
      </c>
      <c r="P48" s="2168"/>
      <c r="Q48" s="2169"/>
      <c r="R48" s="2169"/>
      <c r="S48" s="2169"/>
      <c r="T48" s="2169"/>
      <c r="U48" s="2169"/>
      <c r="V48" s="2169"/>
      <c r="W48" s="2169"/>
      <c r="X48" s="2169"/>
      <c r="Y48" s="2169"/>
      <c r="Z48" s="2169"/>
      <c r="AA48" s="2169"/>
      <c r="AB48" s="2169"/>
      <c r="AC48" s="2169"/>
    </row>
    <row r="49" spans="1:29" s="1222" customFormat="1" ht="15">
      <c r="A49" s="650"/>
      <c r="B49" s="651"/>
      <c r="C49" s="2840">
        <v>100</v>
      </c>
      <c r="D49" s="653"/>
      <c r="E49" s="653"/>
      <c r="F49" s="653"/>
      <c r="G49" s="653"/>
      <c r="H49" s="653"/>
      <c r="I49" s="653"/>
      <c r="J49" s="653"/>
      <c r="K49" s="653"/>
      <c r="L49" s="653"/>
      <c r="M49" s="654"/>
      <c r="N49" s="653"/>
      <c r="O49" s="655"/>
      <c r="P49" s="2166"/>
      <c r="Q49" s="1997"/>
      <c r="R49" s="1997"/>
      <c r="S49" s="1997"/>
      <c r="T49" s="1997"/>
      <c r="U49" s="1997"/>
      <c r="V49" s="1997"/>
      <c r="W49" s="1997"/>
      <c r="X49" s="1997"/>
      <c r="Y49" s="1997"/>
      <c r="Z49" s="1997"/>
      <c r="AA49" s="1997"/>
      <c r="AB49" s="1997"/>
      <c r="AC49" s="1997"/>
    </row>
    <row r="50" spans="1:29" s="1222" customFormat="1" ht="15.75" thickBot="1">
      <c r="A50" s="656" t="s">
        <v>576</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2" customFormat="1" ht="15">
      <c r="A51" s="662" t="s">
        <v>532</v>
      </c>
      <c r="B51" s="651"/>
      <c r="C51" s="663" t="s">
        <v>577</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8">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1"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1"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1"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1"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2564</v>
      </c>
      <c r="C65" s="711" t="s">
        <v>580</v>
      </c>
      <c r="D65" s="711" t="s">
        <v>581</v>
      </c>
      <c r="E65" s="711" t="s">
        <v>582</v>
      </c>
      <c r="F65" s="711" t="s">
        <v>583</v>
      </c>
      <c r="G65" s="711" t="s">
        <v>584</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30" t="s">
        <v>2565</v>
      </c>
      <c r="C67" s="2631" t="s">
        <v>2566</v>
      </c>
      <c r="D67" s="2631" t="s">
        <v>2567</v>
      </c>
      <c r="E67" s="2631" t="s">
        <v>2568</v>
      </c>
      <c r="F67" s="2631" t="s">
        <v>2569</v>
      </c>
      <c r="G67" s="2631" t="s">
        <v>2570</v>
      </c>
      <c r="H67" s="677"/>
      <c r="I67" s="677"/>
      <c r="J67" s="677"/>
      <c r="K67" s="677"/>
      <c r="L67" s="677"/>
      <c r="M67" s="2634"/>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747</v>
      </c>
      <c r="C69" s="711" t="s">
        <v>580</v>
      </c>
      <c r="D69" s="711" t="s">
        <v>581</v>
      </c>
      <c r="E69" s="711" t="s">
        <v>582</v>
      </c>
      <c r="F69" s="711" t="s">
        <v>583</v>
      </c>
      <c r="G69" s="711" t="s">
        <v>584</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748</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2"/>
      <c r="B73" s="676">
        <f>B23</f>
        <v>111</v>
      </c>
      <c r="C73" s="544"/>
      <c r="D73" s="544"/>
      <c r="E73" s="544"/>
      <c r="F73" s="544"/>
      <c r="G73" s="691"/>
      <c r="H73" s="691"/>
      <c r="I73" s="691"/>
      <c r="J73" s="691"/>
      <c r="K73" s="691"/>
      <c r="L73" s="893"/>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4"/>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1"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552</v>
      </c>
      <c r="B79" s="668" t="s">
        <v>817</v>
      </c>
      <c r="C79" s="707">
        <f>C26</f>
        <v>0</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818</v>
      </c>
      <c r="C81" s="939"/>
      <c r="D81" s="939"/>
      <c r="E81" s="939"/>
      <c r="F81" s="939"/>
      <c r="G81" s="939"/>
      <c r="H81" s="939"/>
      <c r="I81" s="939"/>
      <c r="J81" s="939"/>
      <c r="K81" s="940"/>
      <c r="L81" s="941"/>
      <c r="M81" s="942"/>
      <c r="N81" s="2170"/>
      <c r="O81" s="2170"/>
      <c r="P81" s="2173"/>
      <c r="Q81" s="2166"/>
      <c r="R81" s="2153"/>
      <c r="S81" s="2153"/>
      <c r="T81" s="2153"/>
      <c r="U81" s="2153"/>
      <c r="V81" s="2153"/>
      <c r="W81" s="2153"/>
      <c r="X81" s="2153"/>
      <c r="Y81" s="2153"/>
      <c r="Z81" s="2153"/>
      <c r="AA81" s="2153"/>
      <c r="AB81" s="2153"/>
      <c r="AC81" s="2153"/>
    </row>
    <row r="82" spans="1:29" s="1341"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15" thickTop="1">
      <c r="A83" s="738"/>
      <c r="B83" s="676" t="s">
        <v>754</v>
      </c>
      <c r="C83" s="691"/>
      <c r="D83" s="691"/>
      <c r="E83" s="721"/>
      <c r="F83" s="721"/>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7">
        <v>0.5</v>
      </c>
      <c r="D86" s="897">
        <v>0.6</v>
      </c>
      <c r="E86" s="897">
        <v>0.7</v>
      </c>
      <c r="F86" s="897">
        <v>0.8</v>
      </c>
      <c r="G86" s="897">
        <v>0.9</v>
      </c>
      <c r="H86" s="897">
        <v>1.0001</v>
      </c>
      <c r="I86" s="908"/>
      <c r="J86" s="908"/>
      <c r="K86" s="909"/>
      <c r="L86" s="910"/>
      <c r="M86" s="911"/>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820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4"/>
      <c r="O89" s="2174"/>
      <c r="P89" s="2173"/>
      <c r="Q89" s="2166"/>
      <c r="R89" s="2153"/>
      <c r="S89" s="2153"/>
      <c r="T89" s="2153"/>
      <c r="U89" s="2153"/>
      <c r="V89" s="2153"/>
      <c r="W89" s="2153"/>
      <c r="X89" s="2153"/>
      <c r="Y89" s="2153"/>
      <c r="Z89" s="2153"/>
      <c r="AA89" s="2153"/>
      <c r="AB89" s="2153"/>
      <c r="AC89" s="2153"/>
    </row>
    <row r="90" spans="1:29" s="1341"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1"/>
      <c r="B91" s="684"/>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822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823</v>
      </c>
      <c r="C95" s="601"/>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20">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1"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4"/>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C37</f>
        <v>#DIV/0!</v>
      </c>
      <c r="C3" s="855" t="s">
        <v>799</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64" t="s">
        <v>801</v>
      </c>
      <c r="D4" s="3365"/>
      <c r="E4" s="3399" t="s">
        <v>802</v>
      </c>
      <c r="F4" s="3400"/>
      <c r="G4" s="3364" t="s">
        <v>803</v>
      </c>
      <c r="H4" s="3365"/>
      <c r="I4" s="3364" t="s">
        <v>804</v>
      </c>
      <c r="J4" s="3365"/>
      <c r="K4" s="517" t="s">
        <v>805</v>
      </c>
      <c r="L4" s="2141"/>
      <c r="M4" s="2142"/>
      <c r="N4" s="2142"/>
      <c r="O4" s="2142"/>
      <c r="P4" s="3366" t="s">
        <v>806</v>
      </c>
      <c r="Q4" s="3367"/>
      <c r="R4" s="3372" t="s">
        <v>802</v>
      </c>
      <c r="S4" s="3373"/>
      <c r="T4" s="3372" t="s">
        <v>803</v>
      </c>
      <c r="U4" s="3373"/>
      <c r="V4" s="3359" t="s">
        <v>804</v>
      </c>
      <c r="W4" s="3359"/>
      <c r="X4" s="1570"/>
      <c r="Y4" s="3372" t="s">
        <v>806</v>
      </c>
      <c r="Z4" s="3373"/>
      <c r="AA4" s="3361" t="s">
        <v>802</v>
      </c>
      <c r="AB4" s="3362" t="s">
        <v>803</v>
      </c>
      <c r="AC4" s="3361" t="s">
        <v>804</v>
      </c>
    </row>
    <row r="5" spans="1:29" ht="15">
      <c r="A5" s="518"/>
      <c r="B5" s="519"/>
      <c r="C5" s="3382" t="s">
        <v>2930</v>
      </c>
      <c r="D5" s="3381"/>
      <c r="E5" s="3401" t="s">
        <v>2931</v>
      </c>
      <c r="F5" s="3402"/>
      <c r="G5" s="3382" t="s">
        <v>2932</v>
      </c>
      <c r="H5" s="3381"/>
      <c r="I5" s="3382" t="s">
        <v>2933</v>
      </c>
      <c r="J5" s="3381"/>
      <c r="K5" s="517"/>
      <c r="L5" s="2141"/>
      <c r="M5" s="2142"/>
      <c r="N5" s="2142"/>
      <c r="O5" s="2142"/>
      <c r="P5" s="3368"/>
      <c r="Q5" s="3369"/>
      <c r="R5" s="3374"/>
      <c r="S5" s="3375"/>
      <c r="T5" s="3374"/>
      <c r="U5" s="3375"/>
      <c r="V5" s="3359"/>
      <c r="W5" s="3359"/>
      <c r="X5" s="1570"/>
      <c r="Y5" s="3374"/>
      <c r="Z5" s="3375"/>
      <c r="AA5" s="3362"/>
      <c r="AB5" s="3362"/>
      <c r="AC5" s="3362"/>
    </row>
    <row r="6" spans="1:29" ht="15.75" thickBot="1">
      <c r="A6" s="520"/>
      <c r="B6" s="521"/>
      <c r="C6" s="3378" t="s">
        <v>2934</v>
      </c>
      <c r="D6" s="3379"/>
      <c r="E6" s="3397" t="s">
        <v>2934</v>
      </c>
      <c r="F6" s="3398"/>
      <c r="G6" s="3378" t="s">
        <v>2934</v>
      </c>
      <c r="H6" s="3379"/>
      <c r="I6" s="3378" t="s">
        <v>2934</v>
      </c>
      <c r="J6" s="3379"/>
      <c r="K6" s="517" t="s">
        <v>529</v>
      </c>
      <c r="L6" s="2141"/>
      <c r="M6" s="2142"/>
      <c r="N6" s="2142"/>
      <c r="O6" s="2142"/>
      <c r="P6" s="3370"/>
      <c r="Q6" s="3371"/>
      <c r="R6" s="3374"/>
      <c r="S6" s="3375"/>
      <c r="T6" s="3376"/>
      <c r="U6" s="3377"/>
      <c r="V6" s="3359"/>
      <c r="W6" s="3359"/>
      <c r="X6" s="1570"/>
      <c r="Y6" s="3376"/>
      <c r="Z6" s="3377"/>
      <c r="AA6" s="3363"/>
      <c r="AB6" s="3363"/>
      <c r="AC6" s="3363"/>
    </row>
    <row r="7" spans="1:29" s="1222" customFormat="1" ht="15.75" thickBot="1">
      <c r="A7" s="2949"/>
      <c r="B7" s="2956" t="s">
        <v>530</v>
      </c>
      <c r="C7" s="522">
        <f>'数据-取费表'!B2</f>
        <v>42997</v>
      </c>
      <c r="D7" s="523">
        <v>100</v>
      </c>
      <c r="E7" s="524"/>
      <c r="F7" s="525">
        <f>SUMIF(46:46,YEAR(E7)&amp;"-"&amp;MONTH(E7),47:47)</f>
        <v>0</v>
      </c>
      <c r="G7" s="526"/>
      <c r="H7" s="523">
        <f>SUMIF(46:46,YEAR(G7)&amp;"-"&amp;MONTH(G7),47:47)</f>
        <v>0</v>
      </c>
      <c r="I7" s="526"/>
      <c r="J7" s="523">
        <f>SUMIF(46:46,YEAR(I7)&amp;"-"&amp;MONTH(I7),47:47)</f>
        <v>0</v>
      </c>
      <c r="K7" s="527"/>
      <c r="L7" s="2143"/>
      <c r="M7" s="2144"/>
      <c r="N7" s="2144"/>
      <c r="O7" s="2144"/>
      <c r="P7" s="3390" t="s">
        <v>531</v>
      </c>
      <c r="Q7" s="3392"/>
      <c r="R7" s="1571" t="s">
        <v>8</v>
      </c>
      <c r="S7" s="1572">
        <f t="shared" ref="S7:S14" si="0">F7</f>
        <v>0</v>
      </c>
      <c r="T7" s="1571" t="s">
        <v>8</v>
      </c>
      <c r="U7" s="1572">
        <f t="shared" ref="U7:U14" si="1">H7</f>
        <v>0</v>
      </c>
      <c r="V7" s="1571" t="s">
        <v>8</v>
      </c>
      <c r="W7" s="1572">
        <f t="shared" ref="W7:W14" si="2">J7</f>
        <v>0</v>
      </c>
      <c r="X7" s="1573"/>
      <c r="Y7" s="3390" t="s">
        <v>531</v>
      </c>
      <c r="Z7" s="3391"/>
      <c r="AA7" s="1574" t="e">
        <f>D7/F7</f>
        <v>#DIV/0!</v>
      </c>
      <c r="AB7" s="1574" t="e">
        <f>D7/H7</f>
        <v>#DIV/0!</v>
      </c>
      <c r="AC7" s="1574" t="e">
        <f>D7/J7</f>
        <v>#DIV/0!</v>
      </c>
    </row>
    <row r="8" spans="1:29" s="1222" customFormat="1" ht="15.75" thickBot="1">
      <c r="A8" s="2950"/>
      <c r="B8" s="2957" t="s">
        <v>532</v>
      </c>
      <c r="C8" s="528" t="s">
        <v>577</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390" t="s">
        <v>534</v>
      </c>
      <c r="Q8" s="3391"/>
      <c r="R8" s="1571" t="s">
        <v>8</v>
      </c>
      <c r="S8" s="1572">
        <f t="shared" si="0"/>
        <v>0</v>
      </c>
      <c r="T8" s="1571" t="s">
        <v>8</v>
      </c>
      <c r="U8" s="1572">
        <f t="shared" si="1"/>
        <v>0</v>
      </c>
      <c r="V8" s="1571" t="s">
        <v>8</v>
      </c>
      <c r="W8" s="1572">
        <f t="shared" si="2"/>
        <v>0</v>
      </c>
      <c r="X8" s="1573"/>
      <c r="Y8" s="3390" t="s">
        <v>534</v>
      </c>
      <c r="Z8" s="3391"/>
      <c r="AA8" s="1574" t="e">
        <f t="shared" ref="AA8:AA34" si="3">D8/F8</f>
        <v>#DIV/0!</v>
      </c>
      <c r="AB8" s="1574" t="e">
        <f t="shared" ref="AB8:AB34" si="4">D8/H8</f>
        <v>#DIV/0!</v>
      </c>
      <c r="AC8" s="1574" t="e">
        <f t="shared" ref="AC8:AC34" si="5">D8/J8</f>
        <v>#DIV/0!</v>
      </c>
    </row>
    <row r="9" spans="1:29" s="1222" customFormat="1" ht="15">
      <c r="A9" s="2951"/>
      <c r="B9" s="2958" t="s">
        <v>2766</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58" t="s">
        <v>536</v>
      </c>
      <c r="Q9" s="1153" t="str">
        <f t="shared" ref="Q9:Q14" si="6">B9</f>
        <v>用途</v>
      </c>
      <c r="R9" s="1571" t="s">
        <v>8</v>
      </c>
      <c r="S9" s="1572">
        <f t="shared" si="0"/>
        <v>100</v>
      </c>
      <c r="T9" s="1571" t="s">
        <v>8</v>
      </c>
      <c r="U9" s="1572">
        <f t="shared" si="1"/>
        <v>100</v>
      </c>
      <c r="V9" s="1571" t="s">
        <v>8</v>
      </c>
      <c r="W9" s="1572">
        <f t="shared" si="2"/>
        <v>100</v>
      </c>
      <c r="X9" s="1573"/>
      <c r="Y9" s="3304" t="s">
        <v>537</v>
      </c>
      <c r="Z9" s="1152" t="str">
        <f t="shared" ref="Z9:Z14" si="7">Q9</f>
        <v>用途</v>
      </c>
      <c r="AA9" s="1574">
        <f t="shared" si="3"/>
        <v>1</v>
      </c>
      <c r="AB9" s="1574">
        <f t="shared" si="4"/>
        <v>1</v>
      </c>
      <c r="AC9" s="1574">
        <f t="shared" si="5"/>
        <v>1</v>
      </c>
    </row>
    <row r="10" spans="1:29" s="1340" customFormat="1" ht="27">
      <c r="A10" s="2952"/>
      <c r="B10" s="2957" t="s">
        <v>2767</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58"/>
      <c r="Q10" s="1153" t="str">
        <f t="shared" si="6"/>
        <v>土地使用年限（年）</v>
      </c>
      <c r="R10" s="1571" t="s">
        <v>8</v>
      </c>
      <c r="S10" s="1572">
        <f t="shared" si="0"/>
        <v>100</v>
      </c>
      <c r="T10" s="1571" t="s">
        <v>8</v>
      </c>
      <c r="U10" s="1572">
        <f t="shared" si="1"/>
        <v>100</v>
      </c>
      <c r="V10" s="1571" t="s">
        <v>8</v>
      </c>
      <c r="W10" s="1572">
        <f t="shared" si="2"/>
        <v>100</v>
      </c>
      <c r="X10" s="1573"/>
      <c r="Y10" s="3304"/>
      <c r="Z10" s="1152" t="str">
        <f t="shared" si="7"/>
        <v>土地使用年限（年）</v>
      </c>
      <c r="AA10" s="1574">
        <f t="shared" si="3"/>
        <v>1</v>
      </c>
      <c r="AB10" s="1574">
        <f t="shared" si="4"/>
        <v>1</v>
      </c>
      <c r="AC10" s="1574">
        <f t="shared" si="5"/>
        <v>1</v>
      </c>
    </row>
    <row r="11" spans="1:29" ht="15">
      <c r="A11" s="2954"/>
      <c r="B11" s="2960">
        <v>111</v>
      </c>
      <c r="C11" s="531"/>
      <c r="D11" s="255">
        <v>100</v>
      </c>
      <c r="E11" s="883"/>
      <c r="F11" s="255">
        <f>SUMIF(55:55,E11,56:56)-SUMIF(55:55,C11,56:56)+100</f>
        <v>100</v>
      </c>
      <c r="G11" s="883"/>
      <c r="H11" s="255">
        <f>SUMIF(55:55,G11,56:56)-SUMIF(55:55,C11,56:56)+100</f>
        <v>100</v>
      </c>
      <c r="I11" s="883"/>
      <c r="J11" s="255">
        <f>SUMIF(55:55,I11,56:56)-SUMIF(55:55,C11,56:56)+100</f>
        <v>100</v>
      </c>
      <c r="K11" s="584"/>
      <c r="L11" s="2148"/>
      <c r="M11" s="2142"/>
      <c r="N11" s="2142"/>
      <c r="O11" s="2149"/>
      <c r="P11" s="3358"/>
      <c r="Q11" s="1153">
        <f t="shared" si="6"/>
        <v>111</v>
      </c>
      <c r="R11" s="1571" t="s">
        <v>8</v>
      </c>
      <c r="S11" s="1572">
        <f t="shared" si="0"/>
        <v>100</v>
      </c>
      <c r="T11" s="1571" t="s">
        <v>8</v>
      </c>
      <c r="U11" s="1572">
        <f t="shared" si="1"/>
        <v>100</v>
      </c>
      <c r="V11" s="1571" t="s">
        <v>8</v>
      </c>
      <c r="W11" s="1572">
        <f t="shared" si="2"/>
        <v>100</v>
      </c>
      <c r="X11" s="1573"/>
      <c r="Y11" s="3304"/>
      <c r="Z11" s="1152">
        <f t="shared" si="7"/>
        <v>111</v>
      </c>
      <c r="AA11" s="1574">
        <f t="shared" si="3"/>
        <v>1</v>
      </c>
      <c r="AB11" s="1574">
        <f t="shared" si="4"/>
        <v>1</v>
      </c>
      <c r="AC11" s="1574">
        <f t="shared" si="5"/>
        <v>1</v>
      </c>
    </row>
    <row r="12" spans="1:29" s="1222" customFormat="1" ht="15">
      <c r="A12" s="2954"/>
      <c r="B12" s="2960">
        <v>111</v>
      </c>
      <c r="C12" s="531"/>
      <c r="D12" s="541">
        <v>100</v>
      </c>
      <c r="E12" s="883"/>
      <c r="F12" s="255">
        <f>SUMIF(57:57,E12,58:58)-SUMIF(57:57,C12,58:58)+100</f>
        <v>100</v>
      </c>
      <c r="G12" s="883"/>
      <c r="H12" s="255">
        <f>SUMIF(57:57,G12,58:58)-SUMIF(57:57,C12,58:58)+100</f>
        <v>100</v>
      </c>
      <c r="I12" s="883"/>
      <c r="J12" s="255">
        <f>SUMIF(57:57,I12,58:58)-SUMIF(57:57,C12,58:58)+100</f>
        <v>100</v>
      </c>
      <c r="K12" s="584"/>
      <c r="L12" s="2143"/>
      <c r="M12" s="2144"/>
      <c r="N12" s="2144"/>
      <c r="O12" s="2145"/>
      <c r="P12" s="3358"/>
      <c r="Q12" s="1153">
        <f t="shared" si="6"/>
        <v>111</v>
      </c>
      <c r="R12" s="1571" t="s">
        <v>8</v>
      </c>
      <c r="S12" s="1572">
        <f t="shared" si="0"/>
        <v>100</v>
      </c>
      <c r="T12" s="1571" t="s">
        <v>8</v>
      </c>
      <c r="U12" s="1572">
        <f t="shared" si="1"/>
        <v>100</v>
      </c>
      <c r="V12" s="1571" t="s">
        <v>8</v>
      </c>
      <c r="W12" s="1572">
        <f t="shared" si="2"/>
        <v>100</v>
      </c>
      <c r="X12" s="1573"/>
      <c r="Y12" s="3304"/>
      <c r="Z12" s="1152">
        <f t="shared" si="7"/>
        <v>111</v>
      </c>
      <c r="AA12" s="1574">
        <f>D12/F12</f>
        <v>1</v>
      </c>
      <c r="AB12" s="1574">
        <f>D12/H12</f>
        <v>1</v>
      </c>
      <c r="AC12" s="1574">
        <f>D12/J12</f>
        <v>1</v>
      </c>
    </row>
    <row r="13" spans="1:29" ht="15.75" thickBot="1">
      <c r="A13" s="2955"/>
      <c r="B13" s="2961">
        <v>111</v>
      </c>
      <c r="C13" s="542"/>
      <c r="D13" s="543">
        <v>100</v>
      </c>
      <c r="E13" s="883"/>
      <c r="F13" s="255">
        <f>SUMIF(59:59,E13,60:60)-SUMIF(59:59,C13,60:60)+100</f>
        <v>100</v>
      </c>
      <c r="G13" s="883"/>
      <c r="H13" s="543">
        <f>SUMIF(59:59,G13,60:60)-SUMIF(59:59,C13,60:60)+100</f>
        <v>100</v>
      </c>
      <c r="I13" s="883"/>
      <c r="J13" s="543">
        <f>SUMIF(59:59,I13,60:60)-SUMIF(59:59,C13,60:60)+100</f>
        <v>100</v>
      </c>
      <c r="K13" s="584"/>
      <c r="L13" s="2150"/>
      <c r="M13" s="2142"/>
      <c r="N13" s="2142"/>
      <c r="O13" s="2149"/>
      <c r="P13" s="3358"/>
      <c r="Q13" s="1153">
        <f t="shared" si="6"/>
        <v>111</v>
      </c>
      <c r="R13" s="1571" t="s">
        <v>8</v>
      </c>
      <c r="S13" s="1572">
        <f t="shared" si="0"/>
        <v>100</v>
      </c>
      <c r="T13" s="1571" t="s">
        <v>8</v>
      </c>
      <c r="U13" s="1572">
        <f t="shared" si="1"/>
        <v>100</v>
      </c>
      <c r="V13" s="1571" t="s">
        <v>8</v>
      </c>
      <c r="W13" s="1572">
        <f t="shared" si="2"/>
        <v>100</v>
      </c>
      <c r="X13" s="1573"/>
      <c r="Y13" s="3304"/>
      <c r="Z13" s="1152">
        <f t="shared" si="7"/>
        <v>111</v>
      </c>
      <c r="AA13" s="1574">
        <f t="shared" si="3"/>
        <v>1</v>
      </c>
      <c r="AB13" s="1574">
        <f t="shared" si="4"/>
        <v>1</v>
      </c>
      <c r="AC13" s="1574">
        <f t="shared" si="5"/>
        <v>1</v>
      </c>
    </row>
    <row r="14" spans="1:29" ht="15">
      <c r="A14" s="2947" t="s">
        <v>2764</v>
      </c>
      <c r="B14" s="166" t="s">
        <v>544</v>
      </c>
      <c r="C14" s="924" t="str">
        <f>IF(B1="工业",估价对象房地状况!G4,估价对象房地状况!C6)</f>
        <v>一般</v>
      </c>
      <c r="D14" s="552">
        <v>100</v>
      </c>
      <c r="E14" s="553"/>
      <c r="F14" s="554">
        <f>SUMIF(61:61,E15,62:62)-SUMIF(61:61,C15,62:62)+100</f>
        <v>100</v>
      </c>
      <c r="G14" s="555"/>
      <c r="H14" s="552">
        <f>SUMIF(61:61,G15,62:62)-SUMIF(61:61,C15,62:62)+100</f>
        <v>100</v>
      </c>
      <c r="I14" s="553"/>
      <c r="J14" s="552">
        <f>SUMIF(61:61,I15,62:62)-SUMIF(61:61,C15,62:62)+100</f>
        <v>100</v>
      </c>
      <c r="K14" s="901"/>
      <c r="L14" s="2150"/>
      <c r="M14" s="2142"/>
      <c r="N14" s="2142"/>
      <c r="O14" s="2149"/>
      <c r="P14" s="3393" t="s">
        <v>541</v>
      </c>
      <c r="Q14" s="1575" t="str">
        <f t="shared" si="6"/>
        <v>交通便捷度</v>
      </c>
      <c r="R14" s="1576" t="s">
        <v>8</v>
      </c>
      <c r="S14" s="1577">
        <f t="shared" si="0"/>
        <v>100</v>
      </c>
      <c r="T14" s="1576" t="s">
        <v>8</v>
      </c>
      <c r="U14" s="1577">
        <f t="shared" si="1"/>
        <v>100</v>
      </c>
      <c r="V14" s="1576" t="s">
        <v>8</v>
      </c>
      <c r="W14" s="1577">
        <f t="shared" si="2"/>
        <v>100</v>
      </c>
      <c r="X14" s="1570"/>
      <c r="Y14" s="3393"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50"/>
      <c r="M15" s="2142"/>
      <c r="N15" s="2142"/>
      <c r="O15" s="2149"/>
      <c r="P15" s="3394"/>
      <c r="Q15" s="1575"/>
      <c r="R15" s="1576"/>
      <c r="S15" s="1577"/>
      <c r="T15" s="1576"/>
      <c r="U15" s="1577"/>
      <c r="V15" s="1576"/>
      <c r="W15" s="1577"/>
      <c r="X15" s="1570"/>
      <c r="Y15" s="3394"/>
      <c r="Z15" s="1578"/>
      <c r="AA15" s="1579">
        <v>1</v>
      </c>
      <c r="AB15" s="1579">
        <v>1</v>
      </c>
      <c r="AC15" s="1579">
        <v>1</v>
      </c>
    </row>
    <row r="16" spans="1:29" ht="15">
      <c r="A16" s="535"/>
      <c r="B16" s="2636" t="s">
        <v>2553</v>
      </c>
      <c r="C16" s="875" t="str">
        <f>IF(B1="工业",估价对象房地状况!G5,估价对象房地状况!C7)</f>
        <v>一般</v>
      </c>
      <c r="D16" s="568">
        <v>100</v>
      </c>
      <c r="E16" s="573"/>
      <c r="F16" s="574">
        <f>SUMIF(63:63,E17,64:64)-SUMIF(63:63,C17,64:64)+100</f>
        <v>100</v>
      </c>
      <c r="G16" s="575"/>
      <c r="H16" s="568">
        <f>SUMIF(63:63,G17,64:64)-SUMIF(63:63,C17,64:64)+100</f>
        <v>100</v>
      </c>
      <c r="I16" s="573"/>
      <c r="J16" s="568">
        <f>SUMIF(63:63,I17,64:64)-SUMIF(63:63,C17,64:64)+100</f>
        <v>100</v>
      </c>
      <c r="K16" s="901"/>
      <c r="L16" s="2150"/>
      <c r="M16" s="2142"/>
      <c r="N16" s="2142"/>
      <c r="O16" s="2149"/>
      <c r="P16" s="3394"/>
      <c r="Q16" s="1575" t="str">
        <f>B16</f>
        <v>公共配套设施</v>
      </c>
      <c r="R16" s="1576" t="s">
        <v>8</v>
      </c>
      <c r="S16" s="1577">
        <f>F16</f>
        <v>100</v>
      </c>
      <c r="T16" s="1576" t="s">
        <v>8</v>
      </c>
      <c r="U16" s="1577">
        <f>H16</f>
        <v>100</v>
      </c>
      <c r="V16" s="1576" t="s">
        <v>8</v>
      </c>
      <c r="W16" s="1577">
        <f>J16</f>
        <v>100</v>
      </c>
      <c r="X16" s="1570"/>
      <c r="Y16" s="3394"/>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50"/>
      <c r="M17" s="2142"/>
      <c r="N17" s="2142"/>
      <c r="O17" s="2149"/>
      <c r="P17" s="3394"/>
      <c r="Q17" s="1575"/>
      <c r="R17" s="1576"/>
      <c r="S17" s="1577"/>
      <c r="T17" s="1576"/>
      <c r="U17" s="1577"/>
      <c r="V17" s="1576"/>
      <c r="W17" s="1577"/>
      <c r="X17" s="1570"/>
      <c r="Y17" s="3394"/>
      <c r="Z17" s="1578"/>
      <c r="AA17" s="1579">
        <v>1</v>
      </c>
      <c r="AB17" s="1579">
        <v>1</v>
      </c>
      <c r="AC17" s="1579">
        <v>1</v>
      </c>
    </row>
    <row r="18" spans="1:29" ht="15">
      <c r="A18" s="535"/>
      <c r="B18" s="2624" t="s">
        <v>2565</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1"/>
      <c r="L18" s="2150"/>
      <c r="M18" s="2142"/>
      <c r="N18" s="2142"/>
      <c r="O18" s="2149"/>
      <c r="P18" s="3394"/>
      <c r="Q18" s="2612" t="str">
        <f>B18</f>
        <v>基础设施水平</v>
      </c>
      <c r="R18" s="1576" t="s">
        <v>8</v>
      </c>
      <c r="S18" s="1577">
        <f>F18</f>
        <v>100</v>
      </c>
      <c r="T18" s="1576" t="s">
        <v>8</v>
      </c>
      <c r="U18" s="1577">
        <f>H18</f>
        <v>100</v>
      </c>
      <c r="V18" s="1576" t="s">
        <v>8</v>
      </c>
      <c r="W18" s="1577">
        <f>J18</f>
        <v>100</v>
      </c>
      <c r="X18" s="2614"/>
      <c r="Y18" s="3394"/>
      <c r="Z18" s="2613"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5"/>
      <c r="L19" s="2150"/>
      <c r="M19" s="2142"/>
      <c r="N19" s="2142"/>
      <c r="O19" s="2149"/>
      <c r="P19" s="3394"/>
      <c r="Q19" s="2612"/>
      <c r="R19" s="1576"/>
      <c r="S19" s="1577"/>
      <c r="T19" s="1576"/>
      <c r="U19" s="1577"/>
      <c r="V19" s="1576"/>
      <c r="W19" s="1577"/>
      <c r="X19" s="2614"/>
      <c r="Y19" s="3394"/>
      <c r="Z19" s="2613"/>
      <c r="AA19" s="1579">
        <v>1</v>
      </c>
      <c r="AB19" s="1579">
        <v>1</v>
      </c>
      <c r="AC19" s="1579">
        <v>1</v>
      </c>
    </row>
    <row r="20" spans="1:29" ht="15">
      <c r="A20" s="535"/>
      <c r="B20" s="874" t="s">
        <v>807</v>
      </c>
      <c r="C20" s="875" t="str">
        <f>IF(B1="工业",估价对象房地状况!G7,估价对象房地状况!C9)</f>
        <v>一般</v>
      </c>
      <c r="D20" s="568">
        <v>100</v>
      </c>
      <c r="E20" s="573"/>
      <c r="F20" s="574">
        <f>SUMIF(67:67,E21,68:68)-SUMIF(67:67,C21,68:68)+100</f>
        <v>100</v>
      </c>
      <c r="G20" s="575"/>
      <c r="H20" s="562">
        <f>SUMIF(67:67,G21,68:68)-SUMIF(67:67,C21,68:68)+100</f>
        <v>100</v>
      </c>
      <c r="I20" s="565"/>
      <c r="J20" s="562">
        <f>SUMIF(67:67,I21,68:68)-SUMIF(67:67,C21,68:68)+100</f>
        <v>100</v>
      </c>
      <c r="K20" s="901"/>
      <c r="L20" s="2150"/>
      <c r="M20" s="2142"/>
      <c r="N20" s="2142"/>
      <c r="O20" s="2149"/>
      <c r="P20" s="3394"/>
      <c r="Q20" s="1575" t="str">
        <f>B20</f>
        <v>自然及人文环境</v>
      </c>
      <c r="R20" s="1576" t="s">
        <v>8</v>
      </c>
      <c r="S20" s="1577">
        <f>F20</f>
        <v>100</v>
      </c>
      <c r="T20" s="1576" t="s">
        <v>8</v>
      </c>
      <c r="U20" s="1577">
        <f>H20</f>
        <v>100</v>
      </c>
      <c r="V20" s="1576" t="s">
        <v>8</v>
      </c>
      <c r="W20" s="1577">
        <f>J20</f>
        <v>100</v>
      </c>
      <c r="X20" s="1570"/>
      <c r="Y20" s="3394"/>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50"/>
      <c r="M21" s="2142"/>
      <c r="N21" s="2142"/>
      <c r="O21" s="2149"/>
      <c r="P21" s="3394"/>
      <c r="Q21" s="1575"/>
      <c r="R21" s="1576"/>
      <c r="S21" s="1577"/>
      <c r="T21" s="1576"/>
      <c r="U21" s="1577"/>
      <c r="V21" s="1576"/>
      <c r="W21" s="1577"/>
      <c r="X21" s="1570"/>
      <c r="Y21" s="3394"/>
      <c r="Z21" s="1578"/>
      <c r="AA21" s="1579">
        <v>1</v>
      </c>
      <c r="AB21" s="1579">
        <v>1</v>
      </c>
      <c r="AC21" s="1579">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394"/>
      <c r="Q22" s="1575" t="str">
        <f>B22</f>
        <v>楼层</v>
      </c>
      <c r="R22" s="1576" t="s">
        <v>8</v>
      </c>
      <c r="S22" s="1577">
        <f>F22</f>
        <v>100</v>
      </c>
      <c r="T22" s="1576" t="s">
        <v>8</v>
      </c>
      <c r="U22" s="1577">
        <f>H22</f>
        <v>100</v>
      </c>
      <c r="V22" s="1576" t="s">
        <v>8</v>
      </c>
      <c r="W22" s="1577">
        <f>J22</f>
        <v>100</v>
      </c>
      <c r="X22" s="1570"/>
      <c r="Y22" s="3394"/>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394"/>
      <c r="Q23" s="1575">
        <f>B23</f>
        <v>111</v>
      </c>
      <c r="R23" s="1576" t="s">
        <v>8</v>
      </c>
      <c r="S23" s="1577">
        <f>F23</f>
        <v>100</v>
      </c>
      <c r="T23" s="1576" t="s">
        <v>8</v>
      </c>
      <c r="U23" s="1577">
        <f>H23</f>
        <v>100</v>
      </c>
      <c r="V23" s="1576" t="s">
        <v>8</v>
      </c>
      <c r="W23" s="1577">
        <f>J23</f>
        <v>100</v>
      </c>
      <c r="X23" s="1570"/>
      <c r="Y23" s="3394"/>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394"/>
      <c r="Q24" s="1575">
        <f t="shared" ref="Q24:Q34" si="11">B24</f>
        <v>111</v>
      </c>
      <c r="R24" s="1576" t="s">
        <v>8</v>
      </c>
      <c r="S24" s="1577">
        <f>F24</f>
        <v>100</v>
      </c>
      <c r="T24" s="1576" t="s">
        <v>8</v>
      </c>
      <c r="U24" s="1577">
        <f>H24</f>
        <v>100</v>
      </c>
      <c r="V24" s="1576" t="s">
        <v>8</v>
      </c>
      <c r="W24" s="1577">
        <f>J24</f>
        <v>100</v>
      </c>
      <c r="X24" s="1570"/>
      <c r="Y24" s="3394"/>
      <c r="Z24" s="1578">
        <f>Q24</f>
        <v>111</v>
      </c>
      <c r="AA24" s="1579">
        <f t="shared" si="3"/>
        <v>1</v>
      </c>
      <c r="AB24" s="1579">
        <f t="shared" si="4"/>
        <v>1</v>
      </c>
      <c r="AC24" s="1579">
        <f t="shared" si="5"/>
        <v>1</v>
      </c>
    </row>
    <row r="25" spans="1:29" s="1222"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3"/>
      <c r="M25" s="2144"/>
      <c r="N25" s="2144"/>
      <c r="O25" s="2145"/>
      <c r="P25" s="3394"/>
      <c r="Q25" s="1153">
        <f t="shared" si="11"/>
        <v>111</v>
      </c>
      <c r="R25" s="1571" t="s">
        <v>8</v>
      </c>
      <c r="S25" s="1572">
        <f>F25</f>
        <v>100</v>
      </c>
      <c r="T25" s="1571" t="s">
        <v>8</v>
      </c>
      <c r="U25" s="1572">
        <f>H25</f>
        <v>100</v>
      </c>
      <c r="V25" s="1571" t="s">
        <v>8</v>
      </c>
      <c r="W25" s="1572">
        <f>J25</f>
        <v>100</v>
      </c>
      <c r="X25" s="1573"/>
      <c r="Y25" s="3394"/>
      <c r="Z25" s="1152">
        <f>Q25</f>
        <v>111</v>
      </c>
      <c r="AA25" s="1579">
        <f>D25/F25</f>
        <v>1</v>
      </c>
      <c r="AB25" s="1579">
        <f>D25/H25</f>
        <v>1</v>
      </c>
      <c r="AC25" s="1579">
        <f>D25/J25</f>
        <v>1</v>
      </c>
    </row>
    <row r="26" spans="1:29" ht="15">
      <c r="A26" s="2944"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0"/>
      <c r="M26" s="2142"/>
      <c r="N26" s="2142"/>
      <c r="O26" s="2149"/>
      <c r="P26" s="3395"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6" t="s">
        <v>824</v>
      </c>
      <c r="Z26" s="1578" t="str">
        <f t="shared" ref="Z26:Z34" si="15">Q26</f>
        <v>公共部分装修</v>
      </c>
      <c r="AA26" s="1579">
        <f t="shared" si="3"/>
        <v>1</v>
      </c>
      <c r="AB26" s="1579">
        <f t="shared" si="4"/>
        <v>1</v>
      </c>
      <c r="AC26" s="1579">
        <f t="shared" si="5"/>
        <v>1</v>
      </c>
    </row>
    <row r="27" spans="1:29" s="1341"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8"/>
      <c r="M27" s="2179"/>
      <c r="N27" s="2179"/>
      <c r="O27" s="2151"/>
      <c r="P27" s="3396"/>
      <c r="Q27" s="1608" t="str">
        <f t="shared" si="11"/>
        <v>成新率</v>
      </c>
      <c r="R27" s="1580" t="s">
        <v>8</v>
      </c>
      <c r="S27" s="1581" t="e">
        <f t="shared" si="12"/>
        <v>#N/A</v>
      </c>
      <c r="T27" s="1580" t="s">
        <v>8</v>
      </c>
      <c r="U27" s="1581" t="e">
        <f t="shared" si="13"/>
        <v>#N/A</v>
      </c>
      <c r="V27" s="1580" t="s">
        <v>8</v>
      </c>
      <c r="W27" s="1581" t="e">
        <f t="shared" si="14"/>
        <v>#N/A</v>
      </c>
      <c r="X27" s="1582"/>
      <c r="Y27" s="3396"/>
      <c r="Z27" s="1583" t="str">
        <f t="shared" si="15"/>
        <v>成新率</v>
      </c>
      <c r="AA27" s="1579" t="e">
        <f t="shared" si="3"/>
        <v>#N/A</v>
      </c>
      <c r="AB27" s="1579" t="e">
        <f t="shared" si="4"/>
        <v>#N/A</v>
      </c>
      <c r="AC27" s="1579"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396"/>
      <c r="Q28" s="1575" t="str">
        <f t="shared" si="11"/>
        <v>物业等级</v>
      </c>
      <c r="R28" s="1576" t="s">
        <v>8</v>
      </c>
      <c r="S28" s="1577">
        <f t="shared" si="12"/>
        <v>100</v>
      </c>
      <c r="T28" s="1576" t="s">
        <v>8</v>
      </c>
      <c r="U28" s="1577">
        <f t="shared" si="13"/>
        <v>100</v>
      </c>
      <c r="V28" s="1576" t="s">
        <v>8</v>
      </c>
      <c r="W28" s="1577">
        <f t="shared" si="14"/>
        <v>100</v>
      </c>
      <c r="X28" s="1570"/>
      <c r="Y28" s="3396"/>
      <c r="Z28" s="1578" t="str">
        <f t="shared" si="15"/>
        <v>物业等级</v>
      </c>
      <c r="AA28" s="1579">
        <f t="shared" si="3"/>
        <v>1</v>
      </c>
      <c r="AB28" s="1579">
        <f t="shared" si="4"/>
        <v>1</v>
      </c>
      <c r="AC28" s="1579">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0"/>
      <c r="M29" s="2142"/>
      <c r="N29" s="2142"/>
      <c r="O29" s="2149"/>
      <c r="P29" s="3396"/>
      <c r="Q29" s="1575" t="str">
        <f t="shared" si="11"/>
        <v>有无电梯</v>
      </c>
      <c r="R29" s="1576" t="s">
        <v>8</v>
      </c>
      <c r="S29" s="1577">
        <f t="shared" si="12"/>
        <v>100</v>
      </c>
      <c r="T29" s="1576" t="s">
        <v>8</v>
      </c>
      <c r="U29" s="1577">
        <f t="shared" si="13"/>
        <v>100</v>
      </c>
      <c r="V29" s="1576" t="s">
        <v>8</v>
      </c>
      <c r="W29" s="1577">
        <f t="shared" si="14"/>
        <v>100</v>
      </c>
      <c r="X29" s="1570"/>
      <c r="Y29" s="3396"/>
      <c r="Z29" s="1578" t="str">
        <f t="shared" si="15"/>
        <v>有无电梯</v>
      </c>
      <c r="AA29" s="1579">
        <f t="shared" si="3"/>
        <v>1</v>
      </c>
      <c r="AB29" s="1579">
        <f t="shared" si="4"/>
        <v>1</v>
      </c>
      <c r="AC29" s="1579">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0"/>
      <c r="M30" s="2142"/>
      <c r="N30" s="2142"/>
      <c r="O30" s="2149"/>
      <c r="P30" s="3396"/>
      <c r="Q30" s="1575" t="str">
        <f t="shared" si="11"/>
        <v>建筑面积</v>
      </c>
      <c r="R30" s="1576" t="s">
        <v>8</v>
      </c>
      <c r="S30" s="1577" t="e">
        <f t="shared" si="12"/>
        <v>#N/A</v>
      </c>
      <c r="T30" s="1576" t="s">
        <v>8</v>
      </c>
      <c r="U30" s="1577" t="e">
        <f t="shared" si="13"/>
        <v>#N/A</v>
      </c>
      <c r="V30" s="1576" t="s">
        <v>8</v>
      </c>
      <c r="W30" s="1577" t="e">
        <f t="shared" si="14"/>
        <v>#N/A</v>
      </c>
      <c r="X30" s="1570"/>
      <c r="Y30" s="3396"/>
      <c r="Z30" s="1578" t="str">
        <f t="shared" si="15"/>
        <v>建筑面积</v>
      </c>
      <c r="AA30" s="1579" t="e">
        <f t="shared" si="3"/>
        <v>#N/A</v>
      </c>
      <c r="AB30" s="1579" t="e">
        <f t="shared" si="4"/>
        <v>#N/A</v>
      </c>
      <c r="AC30" s="1579" t="e">
        <f t="shared" si="5"/>
        <v>#N/A</v>
      </c>
    </row>
    <row r="31" spans="1:29" s="1222"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3"/>
      <c r="M31" s="2144"/>
      <c r="N31" s="2144"/>
      <c r="O31" s="2145"/>
      <c r="P31" s="3396"/>
      <c r="Q31" s="1153" t="str">
        <f t="shared" si="11"/>
        <v>是否封闭</v>
      </c>
      <c r="R31" s="1571" t="s">
        <v>8</v>
      </c>
      <c r="S31" s="1572">
        <f t="shared" si="12"/>
        <v>100</v>
      </c>
      <c r="T31" s="1571" t="s">
        <v>8</v>
      </c>
      <c r="U31" s="1572">
        <f t="shared" si="13"/>
        <v>100</v>
      </c>
      <c r="V31" s="1571" t="s">
        <v>8</v>
      </c>
      <c r="W31" s="1572">
        <f t="shared" si="14"/>
        <v>100</v>
      </c>
      <c r="X31" s="1573"/>
      <c r="Y31" s="3396"/>
      <c r="Z31" s="1152"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0"/>
      <c r="M32" s="2142"/>
      <c r="N32" s="2142"/>
      <c r="O32" s="2149"/>
      <c r="P32" s="3396" t="s">
        <v>551</v>
      </c>
      <c r="Q32" s="1575">
        <f t="shared" si="11"/>
        <v>111</v>
      </c>
      <c r="R32" s="1576" t="s">
        <v>8</v>
      </c>
      <c r="S32" s="1577">
        <f t="shared" si="12"/>
        <v>100</v>
      </c>
      <c r="T32" s="1576" t="s">
        <v>8</v>
      </c>
      <c r="U32" s="1577">
        <f t="shared" si="13"/>
        <v>100</v>
      </c>
      <c r="V32" s="1576" t="s">
        <v>8</v>
      </c>
      <c r="W32" s="1577">
        <f t="shared" si="14"/>
        <v>100</v>
      </c>
      <c r="X32" s="1570"/>
      <c r="Y32" s="3396"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0"/>
      <c r="M33" s="2142"/>
      <c r="N33" s="2142"/>
      <c r="O33" s="2149"/>
      <c r="P33" s="3396"/>
      <c r="Q33" s="1575">
        <f t="shared" si="11"/>
        <v>111</v>
      </c>
      <c r="R33" s="1576" t="s">
        <v>8</v>
      </c>
      <c r="S33" s="1577">
        <f t="shared" si="12"/>
        <v>100</v>
      </c>
      <c r="T33" s="1576" t="s">
        <v>8</v>
      </c>
      <c r="U33" s="1577">
        <f t="shared" si="13"/>
        <v>100</v>
      </c>
      <c r="V33" s="1576" t="s">
        <v>8</v>
      </c>
      <c r="W33" s="1577">
        <f t="shared" si="14"/>
        <v>100</v>
      </c>
      <c r="X33" s="1570"/>
      <c r="Y33" s="3396"/>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0"/>
      <c r="M34" s="2142"/>
      <c r="N34" s="2142"/>
      <c r="O34" s="2149"/>
      <c r="P34" s="3396"/>
      <c r="Q34" s="1575">
        <f t="shared" si="11"/>
        <v>111</v>
      </c>
      <c r="R34" s="1576" t="s">
        <v>8</v>
      </c>
      <c r="S34" s="1577">
        <f t="shared" si="12"/>
        <v>100</v>
      </c>
      <c r="T34" s="1576" t="s">
        <v>8</v>
      </c>
      <c r="U34" s="1577">
        <f t="shared" si="13"/>
        <v>100</v>
      </c>
      <c r="V34" s="1576" t="s">
        <v>8</v>
      </c>
      <c r="W34" s="1577">
        <f t="shared" si="14"/>
        <v>100</v>
      </c>
      <c r="X34" s="1570"/>
      <c r="Y34" s="3396"/>
      <c r="Z34" s="1578">
        <f t="shared" si="15"/>
        <v>111</v>
      </c>
      <c r="AA34" s="1579">
        <f t="shared" si="3"/>
        <v>1</v>
      </c>
      <c r="AB34" s="1579">
        <f t="shared" si="4"/>
        <v>1</v>
      </c>
      <c r="AC34" s="1579">
        <f t="shared" si="5"/>
        <v>1</v>
      </c>
    </row>
    <row r="35" spans="1:29" ht="15">
      <c r="A35" s="610" t="s">
        <v>739</v>
      </c>
      <c r="B35" s="890"/>
      <c r="C35" s="2660" t="s">
        <v>1</v>
      </c>
      <c r="D35" s="2661"/>
      <c r="E35" s="2662"/>
      <c r="F35" s="2663"/>
      <c r="G35" s="2664"/>
      <c r="H35" s="2665"/>
      <c r="I35" s="2662"/>
      <c r="J35" s="2665"/>
      <c r="K35" s="1614"/>
      <c r="L35" s="2152"/>
      <c r="M35" s="2153"/>
      <c r="N35" s="2142"/>
      <c r="O35" s="2153"/>
      <c r="P35" s="3358" t="str">
        <f>A35</f>
        <v>成交单价（元/平方米）</v>
      </c>
      <c r="Q35" s="3358"/>
      <c r="R35" s="3470">
        <f>E35</f>
        <v>0</v>
      </c>
      <c r="S35" s="3470"/>
      <c r="T35" s="3470">
        <f>G35</f>
        <v>0</v>
      </c>
      <c r="U35" s="3470"/>
      <c r="V35" s="3470">
        <f>I35</f>
        <v>0</v>
      </c>
      <c r="W35" s="3470"/>
      <c r="X35" s="1562"/>
      <c r="Y35" s="1584"/>
      <c r="Z35" s="1562"/>
      <c r="AA35" s="1562"/>
      <c r="AB35" s="1562"/>
      <c r="AC35" s="1562"/>
    </row>
    <row r="36" spans="1:29" ht="15.75" thickBot="1">
      <c r="A36" s="618" t="s">
        <v>2770</v>
      </c>
      <c r="B36" s="891"/>
      <c r="C36" s="2666" t="e">
        <f>R37</f>
        <v>#DIV/0!</v>
      </c>
      <c r="D36" s="2667"/>
      <c r="E36" s="2668" t="e">
        <f>R36</f>
        <v>#DIV/0!</v>
      </c>
      <c r="F36" s="2668"/>
      <c r="G36" s="2666" t="e">
        <f>T36</f>
        <v>#DIV/0!</v>
      </c>
      <c r="H36" s="2667"/>
      <c r="I36" s="2668" t="e">
        <f>V36</f>
        <v>#DIV/0!</v>
      </c>
      <c r="J36" s="2667"/>
      <c r="K36" s="1615"/>
      <c r="L36" s="2152"/>
      <c r="M36" s="2153"/>
      <c r="N36" s="2142"/>
      <c r="O36" s="2153"/>
      <c r="P36" s="3358" t="str">
        <f>A36</f>
        <v>比较价格（元/平方米）</v>
      </c>
      <c r="Q36" s="3358"/>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2"/>
      <c r="Y36" s="1562"/>
      <c r="Z36" s="1562"/>
      <c r="AA36" s="1562"/>
      <c r="AB36" s="1562"/>
      <c r="AC36" s="1562"/>
    </row>
    <row r="37" spans="1:29" ht="15.75" thickBot="1">
      <c r="A37" s="624" t="s">
        <v>2936</v>
      </c>
      <c r="B37" s="625"/>
      <c r="C37" s="2669" t="e">
        <f>R37</f>
        <v>#DIV/0!</v>
      </c>
      <c r="D37" s="2669"/>
      <c r="E37" s="2669"/>
      <c r="F37" s="2669"/>
      <c r="G37" s="2669"/>
      <c r="H37" s="2669"/>
      <c r="I37" s="2669"/>
      <c r="J37" s="2669"/>
      <c r="K37" s="1616"/>
      <c r="L37" s="2152"/>
      <c r="M37" s="2153"/>
      <c r="N37" s="2153"/>
      <c r="O37" s="2153"/>
      <c r="P37" s="3355" t="str">
        <f>A37</f>
        <v>估价对象XX用房的比较价格（楼面单价，元/平方米）</v>
      </c>
      <c r="Q37" s="3356"/>
      <c r="R37" s="3469" t="e">
        <f>IF(F1="售价",ROUND(AVERAGE(R36:V36),0),ROUND(AVERAGE(R36:V36),1))</f>
        <v>#DIV/0!</v>
      </c>
      <c r="S37" s="3469"/>
      <c r="T37" s="3469"/>
      <c r="U37" s="3469"/>
      <c r="V37" s="3469"/>
      <c r="W37" s="3469"/>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9" customFormat="1" ht="15">
      <c r="A46" s="648" t="s">
        <v>530</v>
      </c>
      <c r="B46" s="649"/>
      <c r="C46" s="2839" t="str">
        <f>YEAR(C7)&amp;"-"&amp;MONTH(C7)</f>
        <v>2017-9</v>
      </c>
      <c r="D46" s="2841">
        <f>EDATE(C46,-1)</f>
        <v>42948</v>
      </c>
      <c r="E46" s="2841">
        <f t="shared" ref="E46:O46" si="16">EDATE(D46,-1)</f>
        <v>42917</v>
      </c>
      <c r="F46" s="2841">
        <f t="shared" si="16"/>
        <v>42887</v>
      </c>
      <c r="G46" s="2841">
        <f t="shared" si="16"/>
        <v>42856</v>
      </c>
      <c r="H46" s="2841">
        <f t="shared" si="16"/>
        <v>42826</v>
      </c>
      <c r="I46" s="2841">
        <f t="shared" si="16"/>
        <v>42795</v>
      </c>
      <c r="J46" s="2841">
        <f t="shared" si="16"/>
        <v>42767</v>
      </c>
      <c r="K46" s="2841">
        <f t="shared" si="16"/>
        <v>42736</v>
      </c>
      <c r="L46" s="2841">
        <f t="shared" si="16"/>
        <v>42705</v>
      </c>
      <c r="M46" s="2841">
        <f t="shared" si="16"/>
        <v>42675</v>
      </c>
      <c r="N46" s="2841">
        <f t="shared" si="16"/>
        <v>42644</v>
      </c>
      <c r="O46" s="2841">
        <f t="shared" si="16"/>
        <v>42614</v>
      </c>
      <c r="P46" s="2168"/>
      <c r="Q46" s="2169"/>
      <c r="R46" s="2169"/>
      <c r="S46" s="2169"/>
      <c r="T46" s="2169"/>
      <c r="U46" s="2169"/>
      <c r="V46" s="2169"/>
      <c r="W46" s="2169"/>
      <c r="X46" s="2169"/>
      <c r="Y46" s="2169"/>
      <c r="Z46" s="2169"/>
      <c r="AA46" s="2169"/>
      <c r="AB46" s="2169"/>
      <c r="AC46" s="2169"/>
    </row>
    <row r="47" spans="1:29" s="1222"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2" customFormat="1" ht="15.75" thickBot="1">
      <c r="A48" s="656" t="s">
        <v>576</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2" customFormat="1" ht="15">
      <c r="A49" s="662" t="s">
        <v>532</v>
      </c>
      <c r="B49" s="651"/>
      <c r="C49" s="663" t="s">
        <v>577</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8">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1"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1"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1"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1"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2564</v>
      </c>
      <c r="C63" s="711" t="s">
        <v>580</v>
      </c>
      <c r="D63" s="711" t="s">
        <v>581</v>
      </c>
      <c r="E63" s="711" t="s">
        <v>582</v>
      </c>
      <c r="F63" s="711" t="s">
        <v>583</v>
      </c>
      <c r="G63" s="711" t="s">
        <v>584</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30" t="s">
        <v>2565</v>
      </c>
      <c r="C65" s="2631" t="s">
        <v>2566</v>
      </c>
      <c r="D65" s="2631" t="s">
        <v>2567</v>
      </c>
      <c r="E65" s="2631" t="s">
        <v>2568</v>
      </c>
      <c r="F65" s="2631" t="s">
        <v>2569</v>
      </c>
      <c r="G65" s="2631" t="s">
        <v>2570</v>
      </c>
      <c r="H65" s="677"/>
      <c r="I65" s="677"/>
      <c r="J65" s="677"/>
      <c r="K65" s="677"/>
      <c r="L65" s="677"/>
      <c r="M65" s="2634"/>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747</v>
      </c>
      <c r="C67" s="711" t="s">
        <v>580</v>
      </c>
      <c r="D67" s="711" t="s">
        <v>581</v>
      </c>
      <c r="E67" s="711" t="s">
        <v>582</v>
      </c>
      <c r="F67" s="711" t="s">
        <v>583</v>
      </c>
      <c r="G67" s="711" t="s">
        <v>584</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748</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2"/>
      <c r="B71" s="676">
        <f>B23</f>
        <v>111</v>
      </c>
      <c r="C71" s="544"/>
      <c r="D71" s="544"/>
      <c r="E71" s="544"/>
      <c r="F71" s="544"/>
      <c r="G71" s="691"/>
      <c r="H71" s="691"/>
      <c r="I71" s="691"/>
      <c r="J71" s="691"/>
      <c r="K71" s="691"/>
      <c r="L71" s="893"/>
      <c r="M71" s="894"/>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1"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552</v>
      </c>
      <c r="B77" s="668" t="s">
        <v>754</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7">
        <v>0.5</v>
      </c>
      <c r="D80" s="897">
        <v>0.6</v>
      </c>
      <c r="E80" s="897">
        <v>0.7</v>
      </c>
      <c r="F80" s="897">
        <v>0.8</v>
      </c>
      <c r="G80" s="897">
        <v>0.9</v>
      </c>
      <c r="H80" s="897">
        <v>1.0001</v>
      </c>
      <c r="I80" s="938"/>
      <c r="J80" s="938"/>
      <c r="K80" s="948"/>
      <c r="L80" s="949"/>
      <c r="M80" s="950"/>
      <c r="N80" s="2170"/>
      <c r="O80" s="2170"/>
      <c r="P80" s="2173"/>
      <c r="Q80" s="2166"/>
      <c r="R80" s="2153"/>
      <c r="S80" s="2153"/>
      <c r="T80" s="2153"/>
      <c r="U80" s="2153"/>
      <c r="V80" s="2153"/>
      <c r="W80" s="2153"/>
      <c r="X80" s="2153"/>
      <c r="Y80" s="2153"/>
      <c r="Z80" s="2153"/>
      <c r="AA80" s="2153"/>
      <c r="AB80" s="2153"/>
      <c r="AC80" s="2153"/>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820</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828</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1" customFormat="1" ht="15" thickTop="1">
      <c r="A89" s="731"/>
      <c r="B89" s="676" t="s">
        <v>830</v>
      </c>
      <c r="C89" s="691"/>
      <c r="D89" s="691"/>
      <c r="E89" s="691"/>
      <c r="F89" s="691"/>
      <c r="G89" s="691"/>
      <c r="H89" s="691"/>
      <c r="I89" s="691"/>
      <c r="J89" s="691"/>
      <c r="K89" s="691"/>
      <c r="L89" s="691"/>
      <c r="M89" s="894"/>
      <c r="N89" s="2175"/>
      <c r="O89" s="2175"/>
      <c r="P89" s="2176"/>
      <c r="Q89" s="2177"/>
      <c r="R89" s="2178"/>
      <c r="S89" s="2178"/>
      <c r="T89" s="2178"/>
      <c r="U89" s="2178"/>
      <c r="V89" s="2178"/>
      <c r="W89" s="2178"/>
      <c r="X89" s="2178"/>
      <c r="Y89" s="2178"/>
      <c r="Z89" s="2178"/>
      <c r="AA89" s="2178"/>
      <c r="AB89" s="2178"/>
      <c r="AC89" s="2178"/>
    </row>
    <row r="90" spans="1:29" s="1341"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20">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117501平方米。根据《出让合同》[]，估价对象规划建筑面积为258502.2平方米。</v>
      </c>
    </row>
    <row r="7" spans="1:4" ht="93.75">
      <c r="A7" s="2910" t="s">
        <v>2758</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根据《不动产权利证书》，估价对象（分摊）出让国有建设用地使用权面积为117501平方米。根据《出让合同》[]，估价对象规划建筑面积为258502.2平方米。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12" t="s">
        <v>2759</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U682"/>
  <sheetViews>
    <sheetView tabSelected="1" zoomScale="90" zoomScaleNormal="90" workbookViewId="0">
      <pane ySplit="24" topLeftCell="A49" activePane="bottomLeft" state="frozen"/>
      <selection pane="bottomLeft" activeCell="V63" sqref="V63"/>
    </sheetView>
  </sheetViews>
  <sheetFormatPr defaultRowHeight="12.75"/>
  <cols>
    <col min="1" max="1" width="9" style="1252"/>
    <col min="2" max="2" width="0" style="1252" hidden="1" customWidth="1"/>
    <col min="3" max="3" width="11.5" style="1252" customWidth="1"/>
    <col min="4" max="4" width="9.25" style="1220" customWidth="1"/>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0" style="1220" hidden="1" customWidth="1"/>
    <col min="13" max="13" width="5" style="1220" hidden="1" customWidth="1"/>
    <col min="14" max="14" width="0" style="1220" hidden="1" customWidth="1"/>
    <col min="15" max="15" width="5" style="1220" hidden="1" customWidth="1"/>
    <col min="16" max="16" width="0" style="1220" hidden="1" customWidth="1"/>
    <col min="17" max="17" width="5" style="1220" hidden="1" customWidth="1"/>
    <col min="18" max="18" width="0" style="1220" hidden="1" customWidth="1"/>
    <col min="19" max="19" width="5" style="1220" hidden="1" customWidth="1"/>
    <col min="20" max="20" width="9" style="1619"/>
    <col min="21" max="21" width="9" style="1252"/>
    <col min="22" max="37" width="9" style="257"/>
    <col min="38" max="16384" width="9" style="1252"/>
  </cols>
  <sheetData>
    <row r="1" spans="3:47" s="257" customFormat="1" ht="14.25" customHeight="1" thickBot="1">
      <c r="C1" s="368"/>
      <c r="D1" s="2242" t="s">
        <v>2307</v>
      </c>
      <c r="E1" s="3479" t="s">
        <v>2308</v>
      </c>
      <c r="F1" s="3480"/>
      <c r="G1" s="3480"/>
      <c r="H1" s="3480"/>
      <c r="I1" s="3480"/>
      <c r="J1" s="3480"/>
      <c r="K1" s="3480"/>
      <c r="L1" s="3480"/>
      <c r="M1" s="3480"/>
      <c r="N1" s="3480"/>
      <c r="O1" s="3480"/>
      <c r="P1" s="3480"/>
      <c r="Q1" s="3480"/>
      <c r="R1" s="3480"/>
      <c r="S1" s="3480"/>
      <c r="T1" s="3480"/>
      <c r="U1" s="3481"/>
      <c r="V1" s="2242" t="s">
        <v>2309</v>
      </c>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row>
    <row r="2" spans="3:47" s="1974" customFormat="1" ht="20.25" customHeight="1">
      <c r="C2" s="2243"/>
      <c r="D2" s="952" t="s">
        <v>2310</v>
      </c>
      <c r="E2" s="953" t="str">
        <f t="shared" ref="E2:N2" si="0">E3&amp;"(含)"&amp;"-"&amp;F3</f>
        <v>0(含)-0</v>
      </c>
      <c r="F2" s="954" t="str">
        <f t="shared" si="0"/>
        <v>0(含)-0</v>
      </c>
      <c r="G2" s="954" t="str">
        <f t="shared" si="0"/>
        <v>0(含)-0</v>
      </c>
      <c r="H2" s="954" t="str">
        <f t="shared" si="0"/>
        <v>0(含)-0</v>
      </c>
      <c r="I2" s="954" t="str">
        <f t="shared" si="0"/>
        <v>0(含)-0</v>
      </c>
      <c r="J2" s="954" t="str">
        <f t="shared" si="0"/>
        <v>0(含)-0</v>
      </c>
      <c r="K2" s="954" t="str">
        <f t="shared" si="0"/>
        <v>0(含)-0</v>
      </c>
      <c r="L2" s="954" t="str">
        <f t="shared" si="0"/>
        <v>0(含)-0</v>
      </c>
      <c r="M2" s="954" t="str">
        <f t="shared" si="0"/>
        <v>0(含)-</v>
      </c>
      <c r="N2" s="954" t="str">
        <f t="shared" si="0"/>
        <v>(含)-</v>
      </c>
      <c r="O2" s="954" t="str">
        <f t="shared" ref="O2" si="1">O3&amp;"(含)"&amp;"-"&amp;P3</f>
        <v>(含)-</v>
      </c>
      <c r="P2" s="954" t="str">
        <f t="shared" ref="P2" si="2">P3&amp;"(含)"&amp;"-"&amp;Q3</f>
        <v>(含)-</v>
      </c>
      <c r="Q2" s="954" t="str">
        <f t="shared" ref="Q2" si="3">Q3&amp;"(含)"&amp;"-"&amp;R3</f>
        <v>(含)-</v>
      </c>
      <c r="R2" s="954" t="str">
        <f t="shared" ref="R2" si="4">R3&amp;"(含)"&amp;"-"&amp;S3</f>
        <v>(含)-</v>
      </c>
      <c r="S2" s="954" t="str">
        <f t="shared" ref="S2" si="5">S3&amp;"(含)"&amp;"-"&amp;T3</f>
        <v>(含)-</v>
      </c>
      <c r="T2" s="954" t="str">
        <f t="shared" ref="T2" si="6">T3&amp;"(含)"&amp;"-"&amp;U3</f>
        <v>(含)-</v>
      </c>
      <c r="U2" s="2244" t="str">
        <f>U3&amp;"(含)"&amp;"-"</f>
        <v>(含)-</v>
      </c>
      <c r="V2" s="95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c r="AT2" s="2245"/>
      <c r="AU2" s="2245"/>
    </row>
    <row r="3" spans="3:47" s="1975" customFormat="1">
      <c r="C3" s="2246"/>
      <c r="D3" s="956"/>
      <c r="E3" s="957">
        <v>0</v>
      </c>
      <c r="F3" s="957">
        <v>0</v>
      </c>
      <c r="G3" s="957">
        <v>0</v>
      </c>
      <c r="H3" s="957">
        <v>0</v>
      </c>
      <c r="I3" s="957">
        <v>0</v>
      </c>
      <c r="J3" s="957">
        <v>0</v>
      </c>
      <c r="K3" s="957">
        <v>0</v>
      </c>
      <c r="L3" s="957">
        <v>0</v>
      </c>
      <c r="M3" s="957">
        <f>'比较法-住宅、综合（楼面高）'!K119</f>
        <v>0</v>
      </c>
      <c r="N3" s="959"/>
      <c r="O3" s="2247"/>
      <c r="P3" s="2248"/>
      <c r="Q3" s="958"/>
      <c r="R3" s="958"/>
      <c r="S3" s="958"/>
      <c r="T3" s="958"/>
      <c r="U3" s="2249"/>
      <c r="V3" s="96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c r="AT3" s="2250"/>
      <c r="AU3" s="2250"/>
    </row>
    <row r="4" spans="3:47" s="1975" customFormat="1" ht="13.5" thickBot="1">
      <c r="C4" s="2251"/>
      <c r="D4" s="2252"/>
      <c r="E4" s="2253">
        <v>100</v>
      </c>
      <c r="F4" s="2253">
        <v>100</v>
      </c>
      <c r="G4" s="2253">
        <v>100</v>
      </c>
      <c r="H4" s="2253">
        <v>100</v>
      </c>
      <c r="I4" s="2253">
        <v>100</v>
      </c>
      <c r="J4" s="2253">
        <v>100</v>
      </c>
      <c r="K4" s="2253">
        <v>100</v>
      </c>
      <c r="L4" s="2254">
        <v>100</v>
      </c>
      <c r="M4" s="2254"/>
      <c r="N4" s="2254"/>
      <c r="O4" s="2255"/>
      <c r="P4" s="2256"/>
      <c r="Q4" s="2254"/>
      <c r="R4" s="2254"/>
      <c r="S4" s="2254"/>
      <c r="T4" s="2254"/>
      <c r="U4" s="2257"/>
      <c r="V4" s="2258"/>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row>
    <row r="5" spans="3:47" s="1976" customFormat="1">
      <c r="C5" s="2259"/>
      <c r="D5" s="3171" t="s">
        <v>3044</v>
      </c>
      <c r="E5" s="3173" t="s">
        <v>3049</v>
      </c>
      <c r="F5" s="3173" t="s">
        <v>3050</v>
      </c>
      <c r="G5" s="2261"/>
      <c r="H5" s="2261"/>
      <c r="I5" s="2261"/>
      <c r="J5" s="2261"/>
      <c r="K5" s="2261"/>
      <c r="L5" s="2261"/>
      <c r="M5" s="2261"/>
      <c r="N5" s="2262"/>
      <c r="O5" s="2263"/>
      <c r="P5" s="2263"/>
      <c r="Q5" s="2261"/>
      <c r="R5" s="2261"/>
      <c r="S5" s="2261"/>
      <c r="T5" s="2261"/>
      <c r="U5" s="2264"/>
      <c r="V5" s="2265">
        <v>1</v>
      </c>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c r="AT5" s="2266"/>
      <c r="AU5" s="2266"/>
    </row>
    <row r="6" spans="3:47" s="1976" customFormat="1" ht="13.5" thickBot="1">
      <c r="C6" s="2259"/>
      <c r="D6" s="1968"/>
      <c r="E6" s="1972">
        <v>100</v>
      </c>
      <c r="F6" s="1973">
        <f>E6-$V5</f>
        <v>99</v>
      </c>
      <c r="G6" s="1973">
        <f>F6-$V5</f>
        <v>98</v>
      </c>
      <c r="H6" s="1973">
        <f>G6-$V5</f>
        <v>97</v>
      </c>
      <c r="I6" s="1973">
        <f>H6-$V5</f>
        <v>96</v>
      </c>
      <c r="J6" s="1973">
        <f>I6-$V5</f>
        <v>95</v>
      </c>
      <c r="K6" s="1973">
        <f>J6-$V5</f>
        <v>94</v>
      </c>
      <c r="L6" s="1973">
        <f>K6-$V5</f>
        <v>93</v>
      </c>
      <c r="M6" s="1973">
        <f>L6-$V5</f>
        <v>92</v>
      </c>
      <c r="N6" s="1973">
        <f>M6-$V5</f>
        <v>91</v>
      </c>
      <c r="O6" s="1973">
        <f>N6-$V5</f>
        <v>90</v>
      </c>
      <c r="P6" s="1973">
        <f>O6-$V5</f>
        <v>89</v>
      </c>
      <c r="Q6" s="1973">
        <f>P6-$V5</f>
        <v>88</v>
      </c>
      <c r="R6" s="1973">
        <f>Q6-$V5</f>
        <v>87</v>
      </c>
      <c r="S6" s="1973">
        <f>R6-$V5</f>
        <v>86</v>
      </c>
      <c r="T6" s="1973">
        <f>S6-$V5</f>
        <v>85</v>
      </c>
      <c r="U6" s="1973">
        <f>T6-$V5</f>
        <v>84</v>
      </c>
      <c r="V6" s="1971"/>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2266"/>
    </row>
    <row r="7" spans="3:47" s="1976" customFormat="1">
      <c r="C7" s="2259"/>
      <c r="D7" s="3172" t="s">
        <v>3045</v>
      </c>
      <c r="E7" s="3173" t="s">
        <v>3051</v>
      </c>
      <c r="F7" s="3173" t="s">
        <v>3052</v>
      </c>
      <c r="G7" s="3173" t="s">
        <v>3054</v>
      </c>
      <c r="H7" s="3173" t="s">
        <v>3056</v>
      </c>
      <c r="I7" s="3173" t="s">
        <v>3058</v>
      </c>
      <c r="J7" s="3173" t="s">
        <v>3059</v>
      </c>
      <c r="K7" s="3173"/>
      <c r="L7" s="3173"/>
      <c r="M7" s="3173"/>
      <c r="N7" s="1966"/>
      <c r="O7" s="2267"/>
      <c r="P7" s="2268"/>
      <c r="Q7" s="2269"/>
      <c r="R7" s="2270"/>
      <c r="S7" s="2271"/>
      <c r="T7" s="2272"/>
      <c r="U7" s="2273"/>
      <c r="V7" s="961">
        <v>1</v>
      </c>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c r="AT7" s="2266"/>
      <c r="AU7" s="2266"/>
    </row>
    <row r="8" spans="3:47" s="1976" customFormat="1" ht="13.5" thickBot="1">
      <c r="C8" s="2259"/>
      <c r="D8" s="1968"/>
      <c r="E8" s="1972">
        <v>100</v>
      </c>
      <c r="F8" s="1973">
        <f>E8-$V7</f>
        <v>99</v>
      </c>
      <c r="G8" s="1973">
        <f>F8-$V7</f>
        <v>98</v>
      </c>
      <c r="H8" s="1973">
        <f>G8-$V7</f>
        <v>97</v>
      </c>
      <c r="I8" s="1973">
        <f>H8-$V7</f>
        <v>96</v>
      </c>
      <c r="J8" s="1973">
        <f>I8-$V7</f>
        <v>95</v>
      </c>
      <c r="K8" s="1973">
        <f>J8-$V7</f>
        <v>94</v>
      </c>
      <c r="L8" s="1973">
        <f>K8-$V7</f>
        <v>93</v>
      </c>
      <c r="M8" s="1973">
        <f>L8-$V7</f>
        <v>92</v>
      </c>
      <c r="N8" s="1973">
        <f>M8-$V7</f>
        <v>91</v>
      </c>
      <c r="O8" s="1973">
        <f>N8-$V7</f>
        <v>90</v>
      </c>
      <c r="P8" s="1973">
        <f>O8-$V7</f>
        <v>89</v>
      </c>
      <c r="Q8" s="1973">
        <f>P8-$V7</f>
        <v>88</v>
      </c>
      <c r="R8" s="1973">
        <f>Q8-$V7</f>
        <v>87</v>
      </c>
      <c r="S8" s="1973">
        <f>R8-$V7</f>
        <v>86</v>
      </c>
      <c r="T8" s="1973">
        <f>S8-$V7</f>
        <v>85</v>
      </c>
      <c r="U8" s="1973">
        <f>T8-$V7</f>
        <v>84</v>
      </c>
      <c r="V8" s="1971"/>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c r="AT8" s="2266"/>
      <c r="AU8" s="2266"/>
    </row>
    <row r="9" spans="3:47" s="1976" customFormat="1" ht="12" customHeight="1">
      <c r="C9" s="2259"/>
      <c r="D9" s="3172" t="s">
        <v>3046</v>
      </c>
      <c r="E9" s="1965" t="str">
        <f>'比较法-住宅、综合（楼面高）'!C121</f>
        <v>规则</v>
      </c>
      <c r="F9" s="1965" t="str">
        <f>'比较法-住宅、综合（楼面高）'!D121</f>
        <v>较规则</v>
      </c>
      <c r="G9" s="1965" t="str">
        <f>'比较法-住宅、综合（楼面高）'!E121</f>
        <v>一般</v>
      </c>
      <c r="H9" s="1965" t="str">
        <f>'比较法-住宅、综合（楼面高）'!F121</f>
        <v>较不规则</v>
      </c>
      <c r="I9" s="1965" t="str">
        <f>'比较法-住宅、综合（楼面高）'!G121</f>
        <v>不规则</v>
      </c>
      <c r="J9" s="1966"/>
      <c r="K9" s="1966"/>
      <c r="L9" s="1966"/>
      <c r="M9" s="1966"/>
      <c r="N9" s="1967"/>
      <c r="O9" s="2267"/>
      <c r="P9" s="2268"/>
      <c r="Q9" s="2269"/>
      <c r="R9" s="2270"/>
      <c r="S9" s="2271"/>
      <c r="T9" s="2272"/>
      <c r="U9" s="2273"/>
      <c r="V9" s="961">
        <f>'比较法-住宅、综合（楼面高）'!K41</f>
        <v>2</v>
      </c>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c r="AT9" s="2266"/>
      <c r="AU9" s="2266"/>
    </row>
    <row r="10" spans="3:47" s="1976" customFormat="1">
      <c r="C10" s="2259"/>
      <c r="D10" s="3125"/>
      <c r="E10" s="2274">
        <v>100</v>
      </c>
      <c r="F10" s="2275">
        <f>E10-$V9</f>
        <v>98</v>
      </c>
      <c r="G10" s="2275">
        <f>F10-$V9</f>
        <v>96</v>
      </c>
      <c r="H10" s="2275">
        <f>G10-$V9</f>
        <v>94</v>
      </c>
      <c r="I10" s="2275">
        <f>H10-$V9</f>
        <v>92</v>
      </c>
      <c r="J10" s="2275">
        <f>I10-$V9</f>
        <v>90</v>
      </c>
      <c r="K10" s="2275">
        <f>J10-$V9</f>
        <v>88</v>
      </c>
      <c r="L10" s="2275">
        <f>K10-$V9</f>
        <v>86</v>
      </c>
      <c r="M10" s="2275">
        <f>L10-$V9</f>
        <v>84</v>
      </c>
      <c r="N10" s="2275">
        <f>M10-$V9</f>
        <v>82</v>
      </c>
      <c r="O10" s="2275">
        <f>N10-$V9</f>
        <v>80</v>
      </c>
      <c r="P10" s="2275">
        <f>O10-$V9</f>
        <v>78</v>
      </c>
      <c r="Q10" s="2275">
        <f>P10-$V9</f>
        <v>76</v>
      </c>
      <c r="R10" s="2275">
        <f>Q10-$V9</f>
        <v>74</v>
      </c>
      <c r="S10" s="2275">
        <f>R10-$V9</f>
        <v>72</v>
      </c>
      <c r="T10" s="2275">
        <f>S10-$V9</f>
        <v>70</v>
      </c>
      <c r="U10" s="2275">
        <f>T10-$V9</f>
        <v>68</v>
      </c>
      <c r="V10" s="2258"/>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row>
    <row r="11" spans="3:47" s="1976" customFormat="1" hidden="1">
      <c r="C11" s="2259"/>
      <c r="D11" s="3124" t="s">
        <v>2942</v>
      </c>
      <c r="E11" s="2260"/>
      <c r="F11" s="2261"/>
      <c r="G11" s="2261"/>
      <c r="H11" s="2261"/>
      <c r="I11" s="2261"/>
      <c r="J11" s="2261"/>
      <c r="K11" s="2261"/>
      <c r="L11" s="2261"/>
      <c r="M11" s="2261"/>
      <c r="N11" s="2261"/>
      <c r="O11" s="2263"/>
      <c r="P11" s="2276"/>
      <c r="Q11" s="2277"/>
      <c r="R11" s="2278"/>
      <c r="S11" s="2279"/>
      <c r="T11" s="2280"/>
      <c r="U11" s="2281"/>
      <c r="V11" s="2265"/>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c r="AT11" s="2266"/>
      <c r="AU11" s="2266"/>
    </row>
    <row r="12" spans="3:47" s="1976" customFormat="1" ht="13.5" hidden="1" thickBot="1">
      <c r="C12" s="2259"/>
      <c r="D12" s="1968"/>
      <c r="E12" s="1972">
        <v>100</v>
      </c>
      <c r="F12" s="1973">
        <f>E12-$V11</f>
        <v>100</v>
      </c>
      <c r="G12" s="1973">
        <f>F12-$V11</f>
        <v>100</v>
      </c>
      <c r="H12" s="1973">
        <f>G12-$V11</f>
        <v>100</v>
      </c>
      <c r="I12" s="1973">
        <f>H12-$V11</f>
        <v>100</v>
      </c>
      <c r="J12" s="1973">
        <f>I12-$V11</f>
        <v>100</v>
      </c>
      <c r="K12" s="1973">
        <f>J12-$V11</f>
        <v>100</v>
      </c>
      <c r="L12" s="1973">
        <f>K12-$V11</f>
        <v>100</v>
      </c>
      <c r="M12" s="1973">
        <f>L12-$V11</f>
        <v>100</v>
      </c>
      <c r="N12" s="1973">
        <f>M12-$V11</f>
        <v>100</v>
      </c>
      <c r="O12" s="1973">
        <f>N12-$V11</f>
        <v>100</v>
      </c>
      <c r="P12" s="1973">
        <f>O12-$V11</f>
        <v>100</v>
      </c>
      <c r="Q12" s="1973">
        <f>P12-$V11</f>
        <v>100</v>
      </c>
      <c r="R12" s="1973">
        <f>Q12-$V11</f>
        <v>100</v>
      </c>
      <c r="S12" s="1973">
        <f>R12-$V11</f>
        <v>100</v>
      </c>
      <c r="T12" s="1973">
        <f>S12-$V11</f>
        <v>100</v>
      </c>
      <c r="U12" s="1973">
        <f>T12-$V11</f>
        <v>100</v>
      </c>
      <c r="V12" s="1971"/>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c r="AT12" s="2266"/>
      <c r="AU12" s="2266"/>
    </row>
    <row r="13" spans="3:47" s="1976" customFormat="1" hidden="1">
      <c r="C13" s="2259"/>
      <c r="D13" s="3124" t="s">
        <v>2929</v>
      </c>
      <c r="E13" s="2260"/>
      <c r="F13" s="2261"/>
      <c r="G13" s="2261"/>
      <c r="H13" s="2261"/>
      <c r="I13" s="2261"/>
      <c r="J13" s="2261"/>
      <c r="K13" s="2261"/>
      <c r="L13" s="2261"/>
      <c r="M13" s="2261"/>
      <c r="N13" s="2261"/>
      <c r="O13" s="2263"/>
      <c r="P13" s="2276"/>
      <c r="Q13" s="2277"/>
      <c r="R13" s="2278"/>
      <c r="S13" s="2279"/>
      <c r="T13" s="2280"/>
      <c r="U13" s="2281"/>
      <c r="V13" s="2282"/>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c r="AT13" s="2266"/>
      <c r="AU13" s="2266"/>
    </row>
    <row r="14" spans="3:47" s="1976" customFormat="1" ht="13.5" hidden="1" thickBot="1">
      <c r="C14" s="2259"/>
      <c r="D14" s="1968"/>
      <c r="E14" s="1969"/>
      <c r="F14" s="1970"/>
      <c r="G14" s="1970"/>
      <c r="H14" s="1970"/>
      <c r="I14" s="1970"/>
      <c r="J14" s="1970"/>
      <c r="K14" s="1970"/>
      <c r="L14" s="1970"/>
      <c r="M14" s="1970"/>
      <c r="N14" s="1970"/>
      <c r="O14" s="2283"/>
      <c r="P14" s="2283"/>
      <c r="Q14" s="1970"/>
      <c r="R14" s="1970"/>
      <c r="S14" s="1970"/>
      <c r="T14" s="1970"/>
      <c r="U14" s="2284"/>
      <c r="V14" s="1971"/>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c r="AT14" s="2266"/>
      <c r="AU14" s="2266"/>
    </row>
    <row r="15" spans="3:47" s="1976" customFormat="1" hidden="1">
      <c r="C15" s="2259"/>
      <c r="D15" s="3124" t="s">
        <v>2928</v>
      </c>
      <c r="E15" s="2260"/>
      <c r="F15" s="2261"/>
      <c r="G15" s="2261"/>
      <c r="H15" s="2261"/>
      <c r="I15" s="2261"/>
      <c r="J15" s="2261"/>
      <c r="K15" s="2261"/>
      <c r="L15" s="2261"/>
      <c r="M15" s="2261"/>
      <c r="N15" s="2261"/>
      <c r="O15" s="2263"/>
      <c r="P15" s="2276"/>
      <c r="Q15" s="2277"/>
      <c r="R15" s="2278"/>
      <c r="S15" s="2279"/>
      <c r="T15" s="2280"/>
      <c r="U15" s="2281"/>
      <c r="V15" s="2282"/>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c r="AT15" s="2266"/>
      <c r="AU15" s="2266"/>
    </row>
    <row r="16" spans="3:47" s="1976" customFormat="1" ht="13.5" hidden="1" thickBot="1">
      <c r="C16" s="2259"/>
      <c r="D16" s="2252"/>
      <c r="E16" s="2253"/>
      <c r="F16" s="2254"/>
      <c r="G16" s="2254"/>
      <c r="H16" s="2254"/>
      <c r="I16" s="2254"/>
      <c r="J16" s="2254"/>
      <c r="K16" s="2254"/>
      <c r="L16" s="2254"/>
      <c r="M16" s="2254"/>
      <c r="N16" s="2254"/>
      <c r="O16" s="2255"/>
      <c r="P16" s="2255"/>
      <c r="Q16" s="2254"/>
      <c r="R16" s="2254"/>
      <c r="S16" s="2254"/>
      <c r="T16" s="2254"/>
      <c r="U16" s="2257"/>
      <c r="V16" s="2258"/>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c r="AT16" s="2266"/>
      <c r="AU16" s="2266"/>
    </row>
    <row r="17" spans="1:47" s="1974" customFormat="1" hidden="1">
      <c r="C17" s="2285" t="s">
        <v>2311</v>
      </c>
      <c r="D17" s="2286" t="s">
        <v>2312</v>
      </c>
      <c r="E17" s="2287"/>
      <c r="F17" s="2288"/>
      <c r="G17" s="2288"/>
      <c r="H17" s="2288"/>
      <c r="I17" s="2288"/>
      <c r="J17" s="2288"/>
      <c r="K17" s="2288"/>
      <c r="L17" s="2288"/>
      <c r="M17" s="2288"/>
      <c r="N17" s="2289"/>
      <c r="O17" s="2290"/>
      <c r="P17" s="2291"/>
      <c r="Q17" s="2292"/>
      <c r="R17" s="2293"/>
      <c r="S17" s="2294"/>
      <c r="T17" s="2295"/>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45"/>
      <c r="AU17" s="2245"/>
    </row>
    <row r="18" spans="1:47" s="1974" customFormat="1" ht="13.5" hidden="1" thickBot="1">
      <c r="C18" s="2297"/>
      <c r="D18" s="2298"/>
      <c r="E18" s="2299"/>
      <c r="F18" s="2300"/>
      <c r="G18" s="2300"/>
      <c r="H18" s="2300"/>
      <c r="I18" s="2300"/>
      <c r="J18" s="2300"/>
      <c r="K18" s="2300"/>
      <c r="L18" s="2300"/>
      <c r="M18" s="2300"/>
      <c r="N18" s="2300"/>
      <c r="O18" s="2301"/>
      <c r="P18" s="2301"/>
      <c r="Q18" s="2300"/>
      <c r="R18" s="2300"/>
      <c r="S18" s="2300"/>
      <c r="T18" s="2300"/>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302"/>
      <c r="AS18" s="2302"/>
      <c r="AT18" s="2245"/>
      <c r="AU18" s="2245"/>
    </row>
    <row r="19" spans="1:47" hidden="1">
      <c r="C19" s="314"/>
      <c r="D19" s="951"/>
      <c r="E19" s="1994"/>
      <c r="F19" s="1994"/>
      <c r="G19" s="1994"/>
      <c r="H19" s="1994"/>
      <c r="I19" s="1994"/>
      <c r="J19" s="1994"/>
      <c r="K19" s="1994"/>
      <c r="L19" s="1994"/>
      <c r="M19" s="1994"/>
      <c r="N19" s="1994"/>
      <c r="O19" s="1994"/>
      <c r="P19" s="1994"/>
      <c r="Q19" s="1994"/>
      <c r="R19" s="1994"/>
      <c r="S19" s="1994"/>
      <c r="T19" s="2233"/>
      <c r="U19" s="2032"/>
    </row>
    <row r="20" spans="1:47" ht="15.75">
      <c r="C20" s="962" t="s">
        <v>831</v>
      </c>
      <c r="D20" s="778">
        <f ca="1">U22</f>
        <v>1163339</v>
      </c>
      <c r="E20" s="1994"/>
      <c r="F20" s="1994"/>
      <c r="G20" s="1994"/>
      <c r="H20" s="1994"/>
      <c r="I20" s="1994"/>
      <c r="J20" s="1994"/>
      <c r="K20" s="1994"/>
      <c r="L20" s="1994"/>
      <c r="M20" s="1994"/>
      <c r="N20" s="1994"/>
      <c r="O20" s="1994"/>
      <c r="P20" s="1994"/>
      <c r="Q20" s="1994"/>
      <c r="R20" s="1994"/>
      <c r="S20" s="1994"/>
      <c r="T20" s="2233"/>
      <c r="U20" s="2032"/>
    </row>
    <row r="21" spans="1:47" ht="15.75">
      <c r="C21" s="962" t="s">
        <v>832</v>
      </c>
      <c r="D21" s="778">
        <f ca="1">T22</f>
        <v>1808</v>
      </c>
      <c r="E21" s="1994"/>
      <c r="F21" s="1994"/>
      <c r="G21" s="1994"/>
      <c r="H21" s="1994"/>
      <c r="I21" s="1994"/>
      <c r="J21" s="1994"/>
      <c r="K21" s="1994"/>
      <c r="L21" s="1994"/>
      <c r="M21" s="1994"/>
      <c r="N21" s="1994"/>
      <c r="O21" s="1994"/>
      <c r="P21" s="1994"/>
      <c r="Q21" s="1994"/>
      <c r="R21" s="1994"/>
      <c r="S21" s="1994"/>
      <c r="T21" s="2233"/>
      <c r="U21" s="2032"/>
    </row>
    <row r="22" spans="1:47">
      <c r="C22" s="802" t="s">
        <v>833</v>
      </c>
      <c r="D22" s="53">
        <f>SUM(D24:D10000)</f>
        <v>6435943.2000000002</v>
      </c>
      <c r="E22" s="3476" t="s">
        <v>20</v>
      </c>
      <c r="F22" s="3477"/>
      <c r="G22" s="3477"/>
      <c r="H22" s="3477"/>
      <c r="I22" s="3477"/>
      <c r="J22" s="3477"/>
      <c r="K22" s="3477"/>
      <c r="L22" s="3477"/>
      <c r="M22" s="3477"/>
      <c r="N22" s="3477"/>
      <c r="O22" s="3477"/>
      <c r="P22" s="3477"/>
      <c r="Q22" s="3477"/>
      <c r="R22" s="3477"/>
      <c r="S22" s="3478"/>
      <c r="T22" s="493">
        <f ca="1">ROUND(U22*10000/D22,0)</f>
        <v>1808</v>
      </c>
      <c r="U22" s="53">
        <f ca="1">SUM(U24:U10000)</f>
        <v>1163339</v>
      </c>
    </row>
    <row r="23" spans="1:47" s="1617" customFormat="1" ht="24">
      <c r="A23" s="3177">
        <v>666.67</v>
      </c>
      <c r="B23" s="3177">
        <v>666.67</v>
      </c>
      <c r="C23" s="17" t="s">
        <v>834</v>
      </c>
      <c r="D23" s="17" t="s">
        <v>835</v>
      </c>
      <c r="E23" s="17" t="s">
        <v>836</v>
      </c>
      <c r="F23" s="17" t="str">
        <f>D5</f>
        <v>容积率</v>
      </c>
      <c r="G23" s="17" t="s">
        <v>836</v>
      </c>
      <c r="H23" s="17" t="str">
        <f>D7</f>
        <v>土地面积</v>
      </c>
      <c r="I23" s="17" t="s">
        <v>836</v>
      </c>
      <c r="J23" s="17" t="str">
        <f>D9</f>
        <v>宗地形状</v>
      </c>
      <c r="K23" s="17" t="s">
        <v>836</v>
      </c>
      <c r="L23" s="17" t="str">
        <f>D11</f>
        <v>修正项5</v>
      </c>
      <c r="M23" s="17" t="s">
        <v>836</v>
      </c>
      <c r="N23" s="17" t="str">
        <f>D13</f>
        <v>修正项6</v>
      </c>
      <c r="O23" s="17" t="s">
        <v>836</v>
      </c>
      <c r="P23" s="17" t="str">
        <f>D15</f>
        <v>修正项7</v>
      </c>
      <c r="Q23" s="17" t="s">
        <v>836</v>
      </c>
      <c r="R23" s="17" t="str">
        <f>D17</f>
        <v>楼层</v>
      </c>
      <c r="S23" s="17" t="s">
        <v>836</v>
      </c>
      <c r="T23" s="494" t="s">
        <v>837</v>
      </c>
      <c r="U23" s="17" t="s">
        <v>838</v>
      </c>
      <c r="V23" s="3185" t="s">
        <v>3061</v>
      </c>
      <c r="W23" s="3185" t="s">
        <v>3060</v>
      </c>
      <c r="X23" s="3185" t="s">
        <v>3062</v>
      </c>
      <c r="Y23" s="18"/>
      <c r="Z23" s="18"/>
      <c r="AA23" s="18"/>
      <c r="AB23" s="18"/>
      <c r="AC23" s="18"/>
      <c r="AD23" s="18"/>
      <c r="AE23" s="18"/>
      <c r="AF23" s="18"/>
      <c r="AG23" s="18"/>
      <c r="AH23" s="18"/>
      <c r="AI23" s="18"/>
      <c r="AJ23" s="18"/>
      <c r="AK23" s="18"/>
    </row>
    <row r="24" spans="1:47" s="1618" customFormat="1">
      <c r="A24" s="1618">
        <v>1</v>
      </c>
      <c r="B24" s="967">
        <v>177.06</v>
      </c>
      <c r="C24" s="963" t="s">
        <v>839</v>
      </c>
      <c r="D24" s="3174">
        <v>258502.2</v>
      </c>
      <c r="E24" s="964">
        <v>1</v>
      </c>
      <c r="F24" s="965" t="s">
        <v>3047</v>
      </c>
      <c r="G24" s="964">
        <v>1</v>
      </c>
      <c r="H24" s="965" t="s">
        <v>3057</v>
      </c>
      <c r="I24" s="964">
        <v>1</v>
      </c>
      <c r="J24" s="965" t="s">
        <v>3006</v>
      </c>
      <c r="K24" s="964">
        <v>1</v>
      </c>
      <c r="L24" s="965"/>
      <c r="M24" s="964">
        <v>1</v>
      </c>
      <c r="N24" s="965"/>
      <c r="O24" s="964">
        <v>1</v>
      </c>
      <c r="P24" s="965"/>
      <c r="Q24" s="964">
        <v>1</v>
      </c>
      <c r="R24" s="965"/>
      <c r="S24" s="964">
        <v>1</v>
      </c>
      <c r="T24" s="966">
        <f ca="1">结果表!C33</f>
        <v>1817</v>
      </c>
      <c r="U24" s="964">
        <f t="shared" ref="U24:U54" ca="1" si="7">ROUND(T24*D24/10000,0)</f>
        <v>46970</v>
      </c>
      <c r="V24" s="1977">
        <v>2.2000000000000002</v>
      </c>
      <c r="W24" s="1977">
        <v>117501</v>
      </c>
      <c r="X24" s="1977">
        <f ca="1">ROUND(U24/(W24/666.67),0)</f>
        <v>266</v>
      </c>
      <c r="Y24" s="1977"/>
      <c r="Z24" s="1977"/>
      <c r="AA24" s="1977"/>
      <c r="AB24" s="1977"/>
      <c r="AC24" s="1977"/>
      <c r="AD24" s="1977"/>
      <c r="AE24" s="1977"/>
      <c r="AF24" s="1977"/>
      <c r="AG24" s="1977"/>
      <c r="AH24" s="1977"/>
      <c r="AI24" s="1977"/>
      <c r="AJ24" s="1977"/>
      <c r="AK24" s="1977"/>
    </row>
    <row r="25" spans="1:47" ht="13.5" hidden="1">
      <c r="C25" s="967"/>
      <c r="D25" s="3176">
        <v>1</v>
      </c>
      <c r="E25" s="53">
        <f>IF(D25="",1,(LOOKUP(D25,$3:$3,$4:$4)-LOOKUP($D$24,$3:$3,$4:$4)+100)/100)</f>
        <v>1</v>
      </c>
      <c r="F25" s="965"/>
      <c r="G25" s="53">
        <f>(SUMIF($5:$5,F25,$6:$6)-SUMIF($5:$5,$F$24,$6:$6)+100)/100</f>
        <v>0.01</v>
      </c>
      <c r="H25" s="965"/>
      <c r="I25" s="53">
        <f>(SUMIF($7:$7,H25,$8:$8)-SUMIF($7:$7,$H$24,$8:$8)+100)/100</f>
        <v>0.04</v>
      </c>
      <c r="J25" s="965"/>
      <c r="K25" s="53">
        <f>(SUMIF($9:$9,J25,$10:$10)-SUMIF($9:$9,$J$24,$10:$10)+100)/100</f>
        <v>0.04</v>
      </c>
      <c r="L25" s="965"/>
      <c r="M25" s="53">
        <f>(SUMIF($11:$11,L25,$12:$12)-SUMIF($11:$11,$L$24,$12:$12)+100)/100</f>
        <v>1</v>
      </c>
      <c r="N25" s="965"/>
      <c r="O25" s="53">
        <f>(SUMIF($13:$13,N25,$14:$14)-SUMIF($13:$13,$N$24,$14:$14)+100)/100</f>
        <v>1</v>
      </c>
      <c r="P25" s="965"/>
      <c r="Q25" s="53">
        <f>(SUMIF($15:$15,P25,$16:$16)-SUMIF($15:$15,$P$24,$16:$16)+100)/100</f>
        <v>1</v>
      </c>
      <c r="R25" s="965"/>
      <c r="S25" s="53">
        <f>(SUMIF($17:$17,R25,$18:$18)-SUMIF($17:$17,$R$24,$18:$18)+100)/100</f>
        <v>1</v>
      </c>
      <c r="T25" s="493">
        <f ca="1">IF(D25="",0,ROUND($T$24*E25*G25*I25*K25*M25*O25*Q25*S25,0))</f>
        <v>0</v>
      </c>
      <c r="U25" s="802">
        <f t="shared" ca="1" si="7"/>
        <v>0</v>
      </c>
      <c r="W25" s="257">
        <v>1</v>
      </c>
      <c r="X25" s="1977">
        <f t="shared" ref="X25:X58" ca="1" si="8">ROUND(U25/(W25/666.67),0)</f>
        <v>0</v>
      </c>
    </row>
    <row r="26" spans="1:47" ht="13.5" hidden="1">
      <c r="C26" s="967"/>
      <c r="D26" s="3176">
        <v>1</v>
      </c>
      <c r="E26" s="53">
        <f>IF(D26="",1,(LOOKUP(D26,$3:$3,$4:$4)-LOOKUP($D$24,$3:$3,$4:$4)+100)/100)</f>
        <v>1</v>
      </c>
      <c r="F26" s="965"/>
      <c r="G26" s="53">
        <f>(SUMIF($5:$5,F26,$6:$6)-SUMIF($5:$5,$F$24,$6:$6)+100)/100</f>
        <v>0.01</v>
      </c>
      <c r="H26" s="965"/>
      <c r="I26" s="53">
        <f>(SUMIF($7:$7,H26,$8:$8)-SUMIF($7:$7,$H$24,$8:$8)+100)/100</f>
        <v>0.04</v>
      </c>
      <c r="J26" s="965"/>
      <c r="K26" s="53">
        <f>(SUMIF($9:$9,J26,$10:$10)-SUMIF($9:$9,$J$24,$10:$10)+100)/100</f>
        <v>0.04</v>
      </c>
      <c r="L26" s="965"/>
      <c r="M26" s="53">
        <f>(SUMIF($11:$11,L26,$12:$12)-SUMIF($11:$11,$L$24,$12:$12)+100)/100</f>
        <v>1</v>
      </c>
      <c r="N26" s="965"/>
      <c r="O26" s="53">
        <f>(SUMIF($13:$13,N26,$14:$14)-SUMIF($13:$13,$N$24,$14:$14)+100)/100</f>
        <v>1</v>
      </c>
      <c r="P26" s="965"/>
      <c r="Q26" s="53">
        <f>(SUMIF($15:$15,P26,$16:$16)-SUMIF($15:$15,$P$24,$16:$16)+100)/100</f>
        <v>1</v>
      </c>
      <c r="R26" s="965"/>
      <c r="S26" s="53">
        <f>(SUMIF($17:$17,R26,$18:$18)-SUMIF($17:$17,$R$24,$18:$18)+100)/100</f>
        <v>1</v>
      </c>
      <c r="T26" s="493">
        <f ca="1">IF(D26="",0,ROUND($T$24*E26*G26*I26*K26*M26*O26*Q26*S26,0))</f>
        <v>0</v>
      </c>
      <c r="U26" s="802">
        <f t="shared" ca="1" si="7"/>
        <v>0</v>
      </c>
      <c r="W26" s="257">
        <v>1</v>
      </c>
      <c r="X26" s="1977">
        <f t="shared" ca="1" si="8"/>
        <v>0</v>
      </c>
    </row>
    <row r="27" spans="1:47" ht="13.5" hidden="1">
      <c r="C27" s="967"/>
      <c r="D27" s="3176">
        <v>1</v>
      </c>
      <c r="E27" s="53">
        <f>IF(D27="",1,(LOOKUP(D27,$3:$3,$4:$4)-LOOKUP($D$24,$3:$3,$4:$4)+100)/100)</f>
        <v>1</v>
      </c>
      <c r="F27" s="965"/>
      <c r="G27" s="53">
        <f>(SUMIF($5:$5,F27,$6:$6)-SUMIF($5:$5,$F$24,$6:$6)+100)/100</f>
        <v>0.01</v>
      </c>
      <c r="H27" s="965"/>
      <c r="I27" s="53">
        <f>(SUMIF($7:$7,H27,$8:$8)-SUMIF($7:$7,$H$24,$8:$8)+100)/100</f>
        <v>0.04</v>
      </c>
      <c r="J27" s="965"/>
      <c r="K27" s="53">
        <f>(SUMIF($9:$9,J27,$10:$10)-SUMIF($9:$9,$J$24,$10:$10)+100)/100</f>
        <v>0.04</v>
      </c>
      <c r="L27" s="965"/>
      <c r="M27" s="53">
        <f>(SUMIF($11:$11,L27,$12:$12)-SUMIF($11:$11,$L$24,$12:$12)+100)/100</f>
        <v>1</v>
      </c>
      <c r="N27" s="965"/>
      <c r="O27" s="53">
        <f>(SUMIF($13:$13,N27,$14:$14)-SUMIF($13:$13,$N$24,$14:$14)+100)/100</f>
        <v>1</v>
      </c>
      <c r="P27" s="965"/>
      <c r="Q27" s="53">
        <f>(SUMIF($15:$15,P27,$16:$16)-SUMIF($15:$15,$P$24,$16:$16)+100)/100</f>
        <v>1</v>
      </c>
      <c r="R27" s="965"/>
      <c r="S27" s="53">
        <f>(SUMIF($17:$17,R27,$18:$18)-SUMIF($17:$17,$R$24,$18:$18)+100)/100</f>
        <v>1</v>
      </c>
      <c r="T27" s="493">
        <f ca="1">IF(D27="",0,ROUND($T$24*E27*G27*I27*K27*M27*O27*Q27*S27,0))</f>
        <v>0</v>
      </c>
      <c r="U27" s="802">
        <f t="shared" ca="1" si="7"/>
        <v>0</v>
      </c>
      <c r="W27" s="257">
        <v>1</v>
      </c>
      <c r="X27" s="1977">
        <f t="shared" ca="1" si="8"/>
        <v>0</v>
      </c>
    </row>
    <row r="28" spans="1:47" ht="13.5" hidden="1">
      <c r="C28" s="967"/>
      <c r="D28" s="3176">
        <v>1</v>
      </c>
      <c r="E28" s="53">
        <f>IF(D28="",1,(LOOKUP(D28,$3:$3,$4:$4)-LOOKUP($D$24,$3:$3,$4:$4)+100)/100)</f>
        <v>1</v>
      </c>
      <c r="F28" s="965"/>
      <c r="G28" s="53">
        <f>(SUMIF($5:$5,F28,$6:$6)-SUMIF($5:$5,$F$24,$6:$6)+100)/100</f>
        <v>0.01</v>
      </c>
      <c r="H28" s="965"/>
      <c r="I28" s="53">
        <f>(SUMIF($7:$7,H28,$8:$8)-SUMIF($7:$7,$H$24,$8:$8)+100)/100</f>
        <v>0.04</v>
      </c>
      <c r="J28" s="965"/>
      <c r="K28" s="53">
        <f>(SUMIF($9:$9,J28,$10:$10)-SUMIF($9:$9,$J$24,$10:$10)+100)/100</f>
        <v>0.04</v>
      </c>
      <c r="L28" s="965"/>
      <c r="M28" s="53">
        <f>(SUMIF($11:$11,L28,$12:$12)-SUMIF($11:$11,$L$24,$12:$12)+100)/100</f>
        <v>1</v>
      </c>
      <c r="N28" s="965"/>
      <c r="O28" s="53">
        <f>(SUMIF($13:$13,N28,$14:$14)-SUMIF($13:$13,$N$24,$14:$14)+100)/100</f>
        <v>1</v>
      </c>
      <c r="P28" s="965"/>
      <c r="Q28" s="53">
        <f>(SUMIF($15:$15,P28,$16:$16)-SUMIF($15:$15,$P$24,$16:$16)+100)/100</f>
        <v>1</v>
      </c>
      <c r="R28" s="965"/>
      <c r="S28" s="53">
        <f>(SUMIF($17:$17,R28,$18:$18)-SUMIF($17:$17,$R$24,$18:$18)+100)/100</f>
        <v>1</v>
      </c>
      <c r="T28" s="493">
        <f ca="1">IF(D28="",0,ROUND($T$24*E28*G28*I28*K28*M28*O28*Q28*S28,0))</f>
        <v>0</v>
      </c>
      <c r="U28" s="802">
        <f t="shared" ca="1" si="7"/>
        <v>0</v>
      </c>
      <c r="W28" s="257">
        <v>1</v>
      </c>
      <c r="X28" s="1977">
        <f t="shared" ca="1" si="8"/>
        <v>0</v>
      </c>
    </row>
    <row r="29" spans="1:47" ht="13.5" hidden="1">
      <c r="C29" s="967"/>
      <c r="D29" s="3176">
        <v>1</v>
      </c>
      <c r="E29" s="53">
        <f>IF(D29="",1,(LOOKUP(D29,$3:$3,$4:$4)-LOOKUP($D$24,$3:$3,$4:$4)+100)/100)</f>
        <v>1</v>
      </c>
      <c r="F29" s="965"/>
      <c r="G29" s="53">
        <f>(SUMIF($5:$5,F29,$6:$6)-SUMIF($5:$5,$F$24,$6:$6)+100)/100</f>
        <v>0.01</v>
      </c>
      <c r="H29" s="965"/>
      <c r="I29" s="53">
        <f>(SUMIF($7:$7,H29,$8:$8)-SUMIF($7:$7,$H$24,$8:$8)+100)/100</f>
        <v>0.04</v>
      </c>
      <c r="J29" s="965"/>
      <c r="K29" s="53">
        <f>(SUMIF($9:$9,J29,$10:$10)-SUMIF($9:$9,$J$24,$10:$10)+100)/100</f>
        <v>0.04</v>
      </c>
      <c r="L29" s="965"/>
      <c r="M29" s="53">
        <f>(SUMIF($11:$11,L29,$12:$12)-SUMIF($11:$11,$L$24,$12:$12)+100)/100</f>
        <v>1</v>
      </c>
      <c r="N29" s="965"/>
      <c r="O29" s="53">
        <f>(SUMIF($13:$13,N29,$14:$14)-SUMIF($13:$13,$N$24,$14:$14)+100)/100</f>
        <v>1</v>
      </c>
      <c r="P29" s="965"/>
      <c r="Q29" s="53">
        <f>(SUMIF($15:$15,P29,$16:$16)-SUMIF($15:$15,$P$24,$16:$16)+100)/100</f>
        <v>1</v>
      </c>
      <c r="R29" s="965"/>
      <c r="S29" s="53">
        <f>(SUMIF($17:$17,R29,$18:$18)-SUMIF($17:$17,$R$24,$18:$18)+100)/100</f>
        <v>1</v>
      </c>
      <c r="T29" s="493">
        <f ca="1">IF(D29="",0,ROUND($T$24*E29*G29*I29*K29*M29*O29*Q29*S29,0))</f>
        <v>0</v>
      </c>
      <c r="U29" s="802">
        <f t="shared" ca="1" si="7"/>
        <v>0</v>
      </c>
      <c r="W29" s="257">
        <v>1</v>
      </c>
      <c r="X29" s="1977">
        <f t="shared" ca="1" si="8"/>
        <v>0</v>
      </c>
    </row>
    <row r="30" spans="1:47" ht="13.5" hidden="1">
      <c r="C30" s="3177">
        <v>666.67</v>
      </c>
      <c r="D30" s="3176">
        <v>1</v>
      </c>
      <c r="E30" s="53">
        <f>IF(D30="",1,(LOOKUP(D30,$3:$3,$4:$4)-LOOKUP($D$24,$3:$3,$4:$4)+100)/100)</f>
        <v>1</v>
      </c>
      <c r="F30" s="965"/>
      <c r="G30" s="53">
        <f>(SUMIF($5:$5,F30,$6:$6)-SUMIF($5:$5,$F$24,$6:$6)+100)/100</f>
        <v>0.01</v>
      </c>
      <c r="H30" s="965"/>
      <c r="I30" s="53">
        <f>(SUMIF($7:$7,H30,$8:$8)-SUMIF($7:$7,$H$24,$8:$8)+100)/100</f>
        <v>0.04</v>
      </c>
      <c r="J30" s="965"/>
      <c r="K30" s="53">
        <f>(SUMIF($9:$9,J30,$10:$10)-SUMIF($9:$9,$J$24,$10:$10)+100)/100</f>
        <v>0.04</v>
      </c>
      <c r="L30" s="965"/>
      <c r="M30" s="53">
        <f>(SUMIF($11:$11,L30,$12:$12)-SUMIF($11:$11,$L$24,$12:$12)+100)/100</f>
        <v>1</v>
      </c>
      <c r="N30" s="965"/>
      <c r="O30" s="53">
        <f>(SUMIF($13:$13,N30,$14:$14)-SUMIF($13:$13,$N$24,$14:$14)+100)/100</f>
        <v>1</v>
      </c>
      <c r="P30" s="965"/>
      <c r="Q30" s="53">
        <f>(SUMIF($15:$15,P30,$16:$16)-SUMIF($15:$15,$P$24,$16:$16)+100)/100</f>
        <v>1</v>
      </c>
      <c r="R30" s="965"/>
      <c r="S30" s="53">
        <f>(SUMIF($17:$17,R30,$18:$18)-SUMIF($17:$17,$R$24,$18:$18)+100)/100</f>
        <v>1</v>
      </c>
      <c r="T30" s="493">
        <f ca="1">IF(D30="",0,ROUND($T$24*E30*G30*I30*K30*M30*O30*Q30*S30,0))</f>
        <v>0</v>
      </c>
      <c r="U30" s="802">
        <f t="shared" ca="1" si="7"/>
        <v>0</v>
      </c>
      <c r="W30" s="257">
        <v>1</v>
      </c>
      <c r="X30" s="1977">
        <f t="shared" ca="1" si="8"/>
        <v>0</v>
      </c>
    </row>
    <row r="31" spans="1:47" ht="13.5">
      <c r="A31" s="1252">
        <v>2</v>
      </c>
      <c r="B31" s="967">
        <v>85.93</v>
      </c>
      <c r="C31" s="967">
        <v>85.93</v>
      </c>
      <c r="D31" s="3176">
        <f>ROUND(C31*$A$23*V31,0)</f>
        <v>114574</v>
      </c>
      <c r="E31" s="53">
        <f>IF(D31="",1,(LOOKUP(D31,$3:$3,$4:$4)-LOOKUP($D$24,$3:$3,$4:$4)+100)/100)</f>
        <v>1</v>
      </c>
      <c r="F31" s="965" t="s">
        <v>3047</v>
      </c>
      <c r="G31" s="53">
        <f>(SUMIF($5:$5,F31,$6:$6)-SUMIF($5:$5,$F$24,$6:$6)+100)/100</f>
        <v>1</v>
      </c>
      <c r="H31" s="965" t="s">
        <v>3055</v>
      </c>
      <c r="I31" s="53">
        <f>(SUMIF($7:$7,H31,$8:$8)-SUMIF($7:$7,$H$24,$8:$8)+100)/100</f>
        <v>1.01</v>
      </c>
      <c r="J31" s="965" t="s">
        <v>3018</v>
      </c>
      <c r="K31" s="53">
        <f>(SUMIF($9:$9,J31,$10:$10)-SUMIF($9:$9,$J$24,$10:$10)+100)/100</f>
        <v>1.02</v>
      </c>
      <c r="L31" s="965"/>
      <c r="M31" s="53">
        <f>(SUMIF($11:$11,L31,$12:$12)-SUMIF($11:$11,$L$24,$12:$12)+100)/100</f>
        <v>1</v>
      </c>
      <c r="N31" s="965"/>
      <c r="O31" s="53">
        <f>(SUMIF($13:$13,N31,$14:$14)-SUMIF($13:$13,$N$24,$14:$14)+100)/100</f>
        <v>1</v>
      </c>
      <c r="P31" s="965"/>
      <c r="Q31" s="53">
        <f>(SUMIF($15:$15,P31,$16:$16)-SUMIF($15:$15,$P$24,$16:$16)+100)/100</f>
        <v>1</v>
      </c>
      <c r="R31" s="965"/>
      <c r="S31" s="53">
        <f>(SUMIF($17:$17,R31,$18:$18)-SUMIF($17:$17,$R$24,$18:$18)+100)/100</f>
        <v>1</v>
      </c>
      <c r="T31" s="493">
        <f ca="1">IF(D31="",0,ROUND($T$24*E31*G31*I31*K31*M31*O31*Q31*S31,0))</f>
        <v>1872</v>
      </c>
      <c r="U31" s="802">
        <f t="shared" ca="1" si="7"/>
        <v>21448</v>
      </c>
      <c r="V31" s="257">
        <v>2</v>
      </c>
      <c r="W31" s="257">
        <f>ROUND(C31*$A$23,0)</f>
        <v>57287</v>
      </c>
      <c r="X31" s="1977">
        <f t="shared" ca="1" si="8"/>
        <v>250</v>
      </c>
    </row>
    <row r="32" spans="1:47" ht="13.5">
      <c r="A32" s="1618">
        <v>3</v>
      </c>
      <c r="B32" s="967">
        <v>38.61</v>
      </c>
      <c r="C32" s="967">
        <v>38.61</v>
      </c>
      <c r="D32" s="3176">
        <f t="shared" ref="D32:D54" si="9">ROUND(C32*$A$23*V32,0)</f>
        <v>51480</v>
      </c>
      <c r="E32" s="53">
        <f>IF(D32="",1,(LOOKUP(D32,$3:$3,$4:$4)-LOOKUP($D$24,$3:$3,$4:$4)+100)/100)</f>
        <v>1</v>
      </c>
      <c r="F32" s="965" t="s">
        <v>3047</v>
      </c>
      <c r="G32" s="53">
        <f>(SUMIF($5:$5,F32,$6:$6)-SUMIF($5:$5,$F$24,$6:$6)+100)/100</f>
        <v>1</v>
      </c>
      <c r="H32" s="965" t="s">
        <v>3053</v>
      </c>
      <c r="I32" s="53">
        <f>(SUMIF($7:$7,H32,$8:$8)-SUMIF($7:$7,$H$24,$8:$8)+100)/100</f>
        <v>1.02</v>
      </c>
      <c r="J32" s="965" t="s">
        <v>3006</v>
      </c>
      <c r="K32" s="53">
        <f>(SUMIF($9:$9,J32,$10:$10)-SUMIF($9:$9,$J$24,$10:$10)+100)/100</f>
        <v>1</v>
      </c>
      <c r="L32" s="965"/>
      <c r="M32" s="53">
        <f>(SUMIF($11:$11,L32,$12:$12)-SUMIF($11:$11,$L$24,$12:$12)+100)/100</f>
        <v>1</v>
      </c>
      <c r="N32" s="965"/>
      <c r="O32" s="53">
        <f>(SUMIF($13:$13,N32,$14:$14)-SUMIF($13:$13,$N$24,$14:$14)+100)/100</f>
        <v>1</v>
      </c>
      <c r="P32" s="965"/>
      <c r="Q32" s="53">
        <f>(SUMIF($15:$15,P32,$16:$16)-SUMIF($15:$15,$P$24,$16:$16)+100)/100</f>
        <v>1</v>
      </c>
      <c r="R32" s="965"/>
      <c r="S32" s="53">
        <f>(SUMIF($17:$17,R32,$18:$18)-SUMIF($17:$17,$R$24,$18:$18)+100)/100</f>
        <v>1</v>
      </c>
      <c r="T32" s="493">
        <f ca="1">IF(D32="",0,ROUND($T$24*E32*G32*I32*K32*M32*O32*Q32*S32,0))</f>
        <v>1853</v>
      </c>
      <c r="U32" s="802">
        <f t="shared" ca="1" si="7"/>
        <v>9539</v>
      </c>
      <c r="V32" s="257">
        <v>2</v>
      </c>
      <c r="W32" s="257">
        <f t="shared" ref="W32:W54" si="10">ROUND(C32*$A$23,0)</f>
        <v>25740</v>
      </c>
      <c r="X32" s="1977">
        <f t="shared" ca="1" si="8"/>
        <v>247</v>
      </c>
    </row>
    <row r="33" spans="1:24" ht="13.5">
      <c r="A33" s="1252">
        <v>4</v>
      </c>
      <c r="B33" s="967">
        <v>200.31</v>
      </c>
      <c r="C33" s="967">
        <v>200.31</v>
      </c>
      <c r="D33" s="3176">
        <f t="shared" si="9"/>
        <v>293789</v>
      </c>
      <c r="E33" s="53">
        <f>IF(D33="",1,(LOOKUP(D33,$3:$3,$4:$4)-LOOKUP($D$24,$3:$3,$4:$4)+100)/100)</f>
        <v>1</v>
      </c>
      <c r="F33" s="965" t="s">
        <v>3047</v>
      </c>
      <c r="G33" s="53">
        <f>(SUMIF($5:$5,F33,$6:$6)-SUMIF($5:$5,$F$24,$6:$6)+100)/100</f>
        <v>1</v>
      </c>
      <c r="H33" s="965" t="s">
        <v>3057</v>
      </c>
      <c r="I33" s="53">
        <f>(SUMIF($7:$7,H33,$8:$8)-SUMIF($7:$7,$H$24,$8:$8)+100)/100</f>
        <v>1</v>
      </c>
      <c r="J33" s="965" t="s">
        <v>3018</v>
      </c>
      <c r="K33" s="53">
        <f>(SUMIF($9:$9,J33,$10:$10)-SUMIF($9:$9,$J$24,$10:$10)+100)/100</f>
        <v>1.02</v>
      </c>
      <c r="L33" s="965"/>
      <c r="M33" s="53">
        <f>(SUMIF($11:$11,L33,$12:$12)-SUMIF($11:$11,$L$24,$12:$12)+100)/100</f>
        <v>1</v>
      </c>
      <c r="N33" s="965"/>
      <c r="O33" s="53">
        <f>(SUMIF($13:$13,N33,$14:$14)-SUMIF($13:$13,$N$24,$14:$14)+100)/100</f>
        <v>1</v>
      </c>
      <c r="P33" s="965"/>
      <c r="Q33" s="53">
        <f>(SUMIF($15:$15,P33,$16:$16)-SUMIF($15:$15,$P$24,$16:$16)+100)/100</f>
        <v>1</v>
      </c>
      <c r="R33" s="965"/>
      <c r="S33" s="53">
        <f>(SUMIF($17:$17,R33,$18:$18)-SUMIF($17:$17,$R$24,$18:$18)+100)/100</f>
        <v>1</v>
      </c>
      <c r="T33" s="493">
        <f ca="1">IF(D33="",0,ROUND($T$24*E33*G33*I33*K33*M33*O33*Q33*S33,0))</f>
        <v>1853</v>
      </c>
      <c r="U33" s="802">
        <f t="shared" ca="1" si="7"/>
        <v>54439</v>
      </c>
      <c r="V33" s="257">
        <v>2.2000000000000002</v>
      </c>
      <c r="W33" s="257">
        <f t="shared" si="10"/>
        <v>133541</v>
      </c>
      <c r="X33" s="1977">
        <f t="shared" ca="1" si="8"/>
        <v>272</v>
      </c>
    </row>
    <row r="34" spans="1:24" ht="13.5">
      <c r="A34" s="3482">
        <v>1</v>
      </c>
      <c r="B34" s="3483">
        <v>177.06</v>
      </c>
      <c r="C34" s="3483">
        <v>177.06</v>
      </c>
      <c r="D34" s="3484">
        <v>0</v>
      </c>
      <c r="E34" s="53">
        <f>IF(D34="",1,(LOOKUP(D34,$3:$3,$4:$4)-LOOKUP($D$24,$3:$3,$4:$4)+100)/100)</f>
        <v>1</v>
      </c>
      <c r="F34" s="965" t="s">
        <v>3047</v>
      </c>
      <c r="G34" s="53">
        <f>(SUMIF($5:$5,F34,$6:$6)-SUMIF($5:$5,$F$24,$6:$6)+100)/100</f>
        <v>1</v>
      </c>
      <c r="H34" s="965"/>
      <c r="I34" s="53">
        <f>(SUMIF($7:$7,H34,$8:$8)-SUMIF($7:$7,$H$24,$8:$8)+100)/100</f>
        <v>0.04</v>
      </c>
      <c r="J34" s="965" t="s">
        <v>3018</v>
      </c>
      <c r="K34" s="53">
        <f>(SUMIF($9:$9,J34,$10:$10)-SUMIF($9:$9,$J$24,$10:$10)+100)/100</f>
        <v>1.02</v>
      </c>
      <c r="L34" s="965"/>
      <c r="M34" s="53">
        <f>(SUMIF($11:$11,L34,$12:$12)-SUMIF($11:$11,$L$24,$12:$12)+100)/100</f>
        <v>1</v>
      </c>
      <c r="N34" s="965"/>
      <c r="O34" s="53">
        <f>(SUMIF($13:$13,N34,$14:$14)-SUMIF($13:$13,$N$24,$14:$14)+100)/100</f>
        <v>1</v>
      </c>
      <c r="P34" s="965"/>
      <c r="Q34" s="53">
        <f>(SUMIF($15:$15,P34,$16:$16)-SUMIF($15:$15,$P$24,$16:$16)+100)/100</f>
        <v>1</v>
      </c>
      <c r="R34" s="965"/>
      <c r="S34" s="53">
        <f>(SUMIF($17:$17,R34,$18:$18)-SUMIF($17:$17,$R$24,$18:$18)+100)/100</f>
        <v>1</v>
      </c>
      <c r="T34" s="493">
        <f ca="1">IF(D34="",0,ROUND($T$24*E34*G34*I34*K34*M34*O34*Q34*S34,0))</f>
        <v>74</v>
      </c>
      <c r="U34" s="3485">
        <f t="shared" ca="1" si="7"/>
        <v>0</v>
      </c>
      <c r="V34" s="257">
        <v>2.2000000000000002</v>
      </c>
      <c r="W34" s="2903">
        <v>0</v>
      </c>
      <c r="X34" s="1977" t="e">
        <f t="shared" ca="1" si="8"/>
        <v>#DIV/0!</v>
      </c>
    </row>
    <row r="35" spans="1:24" ht="13.5">
      <c r="A35" s="1252">
        <v>5</v>
      </c>
      <c r="B35" s="967">
        <v>55.72</v>
      </c>
      <c r="C35" s="967">
        <v>55.72</v>
      </c>
      <c r="D35" s="3176">
        <f t="shared" si="9"/>
        <v>81723</v>
      </c>
      <c r="E35" s="53">
        <f>IF(D35="",1,(LOOKUP(D35,$3:$3,$4:$4)-LOOKUP($D$24,$3:$3,$4:$4)+100)/100)</f>
        <v>1</v>
      </c>
      <c r="F35" s="965" t="s">
        <v>3047</v>
      </c>
      <c r="G35" s="53">
        <f>(SUMIF($5:$5,F35,$6:$6)-SUMIF($5:$5,$F$24,$6:$6)+100)/100</f>
        <v>1</v>
      </c>
      <c r="H35" s="965" t="s">
        <v>3053</v>
      </c>
      <c r="I35" s="53">
        <f>(SUMIF($7:$7,H35,$8:$8)-SUMIF($7:$7,$H$24,$8:$8)+100)/100</f>
        <v>1.02</v>
      </c>
      <c r="J35" s="965" t="s">
        <v>3024</v>
      </c>
      <c r="K35" s="53">
        <f>(SUMIF($9:$9,J35,$10:$10)-SUMIF($9:$9,$J$24,$10:$10)+100)/100</f>
        <v>0.96</v>
      </c>
      <c r="L35" s="965"/>
      <c r="M35" s="53">
        <f>(SUMIF($11:$11,L35,$12:$12)-SUMIF($11:$11,$L$24,$12:$12)+100)/100</f>
        <v>1</v>
      </c>
      <c r="N35" s="965"/>
      <c r="O35" s="53">
        <f>(SUMIF($13:$13,N35,$14:$14)-SUMIF($13:$13,$N$24,$14:$14)+100)/100</f>
        <v>1</v>
      </c>
      <c r="P35" s="965"/>
      <c r="Q35" s="53">
        <f>(SUMIF($15:$15,P35,$16:$16)-SUMIF($15:$15,$P$24,$16:$16)+100)/100</f>
        <v>1</v>
      </c>
      <c r="R35" s="965"/>
      <c r="S35" s="53">
        <f>(SUMIF($17:$17,R35,$18:$18)-SUMIF($17:$17,$R$24,$18:$18)+100)/100</f>
        <v>1</v>
      </c>
      <c r="T35" s="493">
        <f ca="1">IF(D35="",0,ROUND($T$24*E35*G35*I35*K35*M35*O35*Q35*S35,0))</f>
        <v>1779</v>
      </c>
      <c r="U35" s="802">
        <f t="shared" ca="1" si="7"/>
        <v>14539</v>
      </c>
      <c r="V35" s="257">
        <v>2.2000000000000002</v>
      </c>
      <c r="W35" s="257">
        <f t="shared" si="10"/>
        <v>37147</v>
      </c>
      <c r="X35" s="1977">
        <f t="shared" ca="1" si="8"/>
        <v>261</v>
      </c>
    </row>
    <row r="36" spans="1:24" ht="13.5">
      <c r="A36" s="1252">
        <v>6</v>
      </c>
      <c r="B36" s="967">
        <v>48.08</v>
      </c>
      <c r="C36" s="967">
        <v>48.08</v>
      </c>
      <c r="D36" s="3176">
        <f t="shared" si="9"/>
        <v>70518</v>
      </c>
      <c r="E36" s="53">
        <f>IF(D36="",1,(LOOKUP(D36,$3:$3,$4:$4)-LOOKUP($D$24,$3:$3,$4:$4)+100)/100)</f>
        <v>1</v>
      </c>
      <c r="F36" s="965" t="s">
        <v>3047</v>
      </c>
      <c r="G36" s="53">
        <f>(SUMIF($5:$5,F36,$6:$6)-SUMIF($5:$5,$F$24,$6:$6)+100)/100</f>
        <v>1</v>
      </c>
      <c r="H36" s="965" t="s">
        <v>3053</v>
      </c>
      <c r="I36" s="53">
        <f>(SUMIF($7:$7,H36,$8:$8)-SUMIF($7:$7,$H$24,$8:$8)+100)/100</f>
        <v>1.02</v>
      </c>
      <c r="J36" s="965" t="s">
        <v>3018</v>
      </c>
      <c r="K36" s="53">
        <f>(SUMIF($9:$9,J36,$10:$10)-SUMIF($9:$9,$J$24,$10:$10)+100)/100</f>
        <v>1.02</v>
      </c>
      <c r="L36" s="965"/>
      <c r="M36" s="53">
        <f>(SUMIF($11:$11,L36,$12:$12)-SUMIF($11:$11,$L$24,$12:$12)+100)/100</f>
        <v>1</v>
      </c>
      <c r="N36" s="965"/>
      <c r="O36" s="53">
        <f>(SUMIF($13:$13,N36,$14:$14)-SUMIF($13:$13,$N$24,$14:$14)+100)/100</f>
        <v>1</v>
      </c>
      <c r="P36" s="965"/>
      <c r="Q36" s="53">
        <f>(SUMIF($15:$15,P36,$16:$16)-SUMIF($15:$15,$P$24,$16:$16)+100)/100</f>
        <v>1</v>
      </c>
      <c r="R36" s="965"/>
      <c r="S36" s="53">
        <f>(SUMIF($17:$17,R36,$18:$18)-SUMIF($17:$17,$R$24,$18:$18)+100)/100</f>
        <v>1</v>
      </c>
      <c r="T36" s="493">
        <f ca="1">IF(D36="",0,ROUND($T$24*E36*G36*I36*K36*M36*O36*Q36*S36,0))</f>
        <v>1890</v>
      </c>
      <c r="U36" s="802">
        <f t="shared" ca="1" si="7"/>
        <v>13328</v>
      </c>
      <c r="V36" s="257">
        <v>2.2000000000000002</v>
      </c>
      <c r="W36" s="257">
        <f t="shared" si="10"/>
        <v>32053</v>
      </c>
      <c r="X36" s="1977">
        <f t="shared" ca="1" si="8"/>
        <v>277</v>
      </c>
    </row>
    <row r="37" spans="1:24" ht="13.5">
      <c r="A37" s="1252">
        <v>7</v>
      </c>
      <c r="B37" s="967">
        <v>93.82</v>
      </c>
      <c r="C37" s="967">
        <v>93.82</v>
      </c>
      <c r="D37" s="3176">
        <f t="shared" si="9"/>
        <v>156367</v>
      </c>
      <c r="E37" s="53">
        <f>IF(D37="",1,(LOOKUP(D37,$3:$3,$4:$4)-LOOKUP($D$24,$3:$3,$4:$4)+100)/100)</f>
        <v>1</v>
      </c>
      <c r="F37" s="965" t="s">
        <v>3047</v>
      </c>
      <c r="G37" s="53">
        <f>(SUMIF($5:$5,F37,$6:$6)-SUMIF($5:$5,$F$24,$6:$6)+100)/100</f>
        <v>1</v>
      </c>
      <c r="H37" s="965" t="s">
        <v>3055</v>
      </c>
      <c r="I37" s="53">
        <f>(SUMIF($7:$7,H37,$8:$8)-SUMIF($7:$7,$H$24,$8:$8)+100)/100</f>
        <v>1.01</v>
      </c>
      <c r="J37" s="965" t="s">
        <v>3022</v>
      </c>
      <c r="K37" s="53">
        <f>(SUMIF($9:$9,J37,$10:$10)-SUMIF($9:$9,$J$24,$10:$10)+100)/100</f>
        <v>0.98</v>
      </c>
      <c r="L37" s="965"/>
      <c r="M37" s="53">
        <f>(SUMIF($11:$11,L37,$12:$12)-SUMIF($11:$11,$L$24,$12:$12)+100)/100</f>
        <v>1</v>
      </c>
      <c r="N37" s="965"/>
      <c r="O37" s="53">
        <f>(SUMIF($13:$13,N37,$14:$14)-SUMIF($13:$13,$N$24,$14:$14)+100)/100</f>
        <v>1</v>
      </c>
      <c r="P37" s="965"/>
      <c r="Q37" s="53">
        <f>(SUMIF($15:$15,P37,$16:$16)-SUMIF($15:$15,$P$24,$16:$16)+100)/100</f>
        <v>1</v>
      </c>
      <c r="R37" s="965"/>
      <c r="S37" s="53">
        <f>(SUMIF($17:$17,R37,$18:$18)-SUMIF($17:$17,$R$24,$18:$18)+100)/100</f>
        <v>1</v>
      </c>
      <c r="T37" s="493">
        <f ca="1">IF(D37="",0,ROUND($T$24*E37*G37*I37*K37*M37*O37*Q37*S37,0))</f>
        <v>1798</v>
      </c>
      <c r="U37" s="802">
        <f t="shared" ca="1" si="7"/>
        <v>28115</v>
      </c>
      <c r="V37" s="257">
        <v>2.5</v>
      </c>
      <c r="W37" s="257">
        <f t="shared" si="10"/>
        <v>62547</v>
      </c>
      <c r="X37" s="1977">
        <f t="shared" ca="1" si="8"/>
        <v>300</v>
      </c>
    </row>
    <row r="38" spans="1:24" ht="13.5">
      <c r="A38" s="1252">
        <v>8</v>
      </c>
      <c r="B38" s="967">
        <v>144.08000000000001</v>
      </c>
      <c r="C38" s="967">
        <v>144.08000000000001</v>
      </c>
      <c r="D38" s="3176">
        <f t="shared" si="9"/>
        <v>211318</v>
      </c>
      <c r="E38" s="53">
        <f>IF(D38="",1,(LOOKUP(D38,$3:$3,$4:$4)-LOOKUP($D$24,$3:$3,$4:$4)+100)/100)</f>
        <v>1</v>
      </c>
      <c r="F38" s="965" t="s">
        <v>3047</v>
      </c>
      <c r="G38" s="53">
        <f>(SUMIF($5:$5,F38,$6:$6)-SUMIF($5:$5,$F$24,$6:$6)+100)/100</f>
        <v>1</v>
      </c>
      <c r="H38" s="965" t="s">
        <v>3055</v>
      </c>
      <c r="I38" s="53">
        <f>(SUMIF($7:$7,H38,$8:$8)-SUMIF($7:$7,$H$24,$8:$8)+100)/100</f>
        <v>1.01</v>
      </c>
      <c r="J38" s="965" t="s">
        <v>3024</v>
      </c>
      <c r="K38" s="53">
        <f>(SUMIF($9:$9,J38,$10:$10)-SUMIF($9:$9,$J$24,$10:$10)+100)/100</f>
        <v>0.96</v>
      </c>
      <c r="L38" s="965"/>
      <c r="M38" s="53">
        <f>(SUMIF($11:$11,L38,$12:$12)-SUMIF($11:$11,$L$24,$12:$12)+100)/100</f>
        <v>1</v>
      </c>
      <c r="N38" s="965"/>
      <c r="O38" s="53">
        <f>(SUMIF($13:$13,N38,$14:$14)-SUMIF($13:$13,$N$24,$14:$14)+100)/100</f>
        <v>1</v>
      </c>
      <c r="P38" s="965"/>
      <c r="Q38" s="53">
        <f>(SUMIF($15:$15,P38,$16:$16)-SUMIF($15:$15,$P$24,$16:$16)+100)/100</f>
        <v>1</v>
      </c>
      <c r="R38" s="965"/>
      <c r="S38" s="53">
        <f>(SUMIF($17:$17,R38,$18:$18)-SUMIF($17:$17,$R$24,$18:$18)+100)/100</f>
        <v>1</v>
      </c>
      <c r="T38" s="493">
        <f ca="1">IF(D38="",0,ROUND($T$24*E38*G38*I38*K38*M38*O38*Q38*S38,0))</f>
        <v>1762</v>
      </c>
      <c r="U38" s="802">
        <f t="shared" ca="1" si="7"/>
        <v>37234</v>
      </c>
      <c r="V38" s="257">
        <v>2.2000000000000002</v>
      </c>
      <c r="W38" s="257">
        <f t="shared" si="10"/>
        <v>96054</v>
      </c>
      <c r="X38" s="1977">
        <f t="shared" ca="1" si="8"/>
        <v>258</v>
      </c>
    </row>
    <row r="39" spans="1:24" ht="13.5">
      <c r="A39" s="1252">
        <v>9</v>
      </c>
      <c r="B39" s="967">
        <v>169.73</v>
      </c>
      <c r="C39" s="967">
        <v>169.73</v>
      </c>
      <c r="D39" s="3176">
        <f t="shared" si="9"/>
        <v>248939</v>
      </c>
      <c r="E39" s="53">
        <f>IF(D39="",1,(LOOKUP(D39,$3:$3,$4:$4)-LOOKUP($D$24,$3:$3,$4:$4)+100)/100)</f>
        <v>1</v>
      </c>
      <c r="F39" s="965" t="s">
        <v>3047</v>
      </c>
      <c r="G39" s="53">
        <f>(SUMIF($5:$5,F39,$6:$6)-SUMIF($5:$5,$F$24,$6:$6)+100)/100</f>
        <v>1</v>
      </c>
      <c r="H39" s="965" t="s">
        <v>3057</v>
      </c>
      <c r="I39" s="53">
        <f>(SUMIF($7:$7,H39,$8:$8)-SUMIF($7:$7,$H$24,$8:$8)+100)/100</f>
        <v>1</v>
      </c>
      <c r="J39" s="965" t="s">
        <v>3024</v>
      </c>
      <c r="K39" s="53">
        <f>(SUMIF($9:$9,J39,$10:$10)-SUMIF($9:$9,$J$24,$10:$10)+100)/100</f>
        <v>0.96</v>
      </c>
      <c r="L39" s="965"/>
      <c r="M39" s="53">
        <f>(SUMIF($11:$11,L39,$12:$12)-SUMIF($11:$11,$L$24,$12:$12)+100)/100</f>
        <v>1</v>
      </c>
      <c r="N39" s="965"/>
      <c r="O39" s="53">
        <f>(SUMIF($13:$13,N39,$14:$14)-SUMIF($13:$13,$N$24,$14:$14)+100)/100</f>
        <v>1</v>
      </c>
      <c r="P39" s="965"/>
      <c r="Q39" s="53">
        <f>(SUMIF($15:$15,P39,$16:$16)-SUMIF($15:$15,$P$24,$16:$16)+100)/100</f>
        <v>1</v>
      </c>
      <c r="R39" s="965"/>
      <c r="S39" s="53">
        <f>(SUMIF($17:$17,R39,$18:$18)-SUMIF($17:$17,$R$24,$18:$18)+100)/100</f>
        <v>1</v>
      </c>
      <c r="T39" s="493">
        <f ca="1">IF(D39="",0,ROUND($T$24*E39*G39*I39*K39*M39*O39*Q39*S39,0))</f>
        <v>1744</v>
      </c>
      <c r="U39" s="802">
        <f t="shared" ca="1" si="7"/>
        <v>43415</v>
      </c>
      <c r="V39" s="257">
        <v>2.2000000000000002</v>
      </c>
      <c r="W39" s="257">
        <f t="shared" si="10"/>
        <v>113154</v>
      </c>
      <c r="X39" s="1977">
        <f t="shared" ca="1" si="8"/>
        <v>256</v>
      </c>
    </row>
    <row r="40" spans="1:24" ht="13.5">
      <c r="A40" s="1618">
        <v>10</v>
      </c>
      <c r="B40" s="967">
        <v>264.52</v>
      </c>
      <c r="C40" s="967">
        <v>264.52</v>
      </c>
      <c r="D40" s="3176">
        <f t="shared" si="9"/>
        <v>387965</v>
      </c>
      <c r="E40" s="53">
        <f>IF(D40="",1,(LOOKUP(D40,$3:$3,$4:$4)-LOOKUP($D$24,$3:$3,$4:$4)+100)/100)</f>
        <v>1</v>
      </c>
      <c r="F40" s="965" t="s">
        <v>3047</v>
      </c>
      <c r="G40" s="53">
        <f>(SUMIF($5:$5,F40,$6:$6)-SUMIF($5:$5,$F$24,$6:$6)+100)/100</f>
        <v>1</v>
      </c>
      <c r="H40" s="965" t="s">
        <v>3057</v>
      </c>
      <c r="I40" s="53">
        <f>(SUMIF($7:$7,H40,$8:$8)-SUMIF($7:$7,$H$24,$8:$8)+100)/100</f>
        <v>1</v>
      </c>
      <c r="J40" s="965" t="s">
        <v>3022</v>
      </c>
      <c r="K40" s="53">
        <f>(SUMIF($9:$9,J40,$10:$10)-SUMIF($9:$9,$J$24,$10:$10)+100)/100</f>
        <v>0.98</v>
      </c>
      <c r="L40" s="965"/>
      <c r="M40" s="53">
        <f>(SUMIF($11:$11,L40,$12:$12)-SUMIF($11:$11,$L$24,$12:$12)+100)/100</f>
        <v>1</v>
      </c>
      <c r="N40" s="965"/>
      <c r="O40" s="53">
        <f>(SUMIF($13:$13,N40,$14:$14)-SUMIF($13:$13,$N$24,$14:$14)+100)/100</f>
        <v>1</v>
      </c>
      <c r="P40" s="965"/>
      <c r="Q40" s="53">
        <f>(SUMIF($15:$15,P40,$16:$16)-SUMIF($15:$15,$P$24,$16:$16)+100)/100</f>
        <v>1</v>
      </c>
      <c r="R40" s="965"/>
      <c r="S40" s="53">
        <f>(SUMIF($17:$17,R40,$18:$18)-SUMIF($17:$17,$R$24,$18:$18)+100)/100</f>
        <v>1</v>
      </c>
      <c r="T40" s="493">
        <f ca="1">IF(D40="",0,ROUND($T$24*E40*G40*I40*K40*M40*O40*Q40*S40,0))</f>
        <v>1781</v>
      </c>
      <c r="U40" s="802">
        <f t="shared" ca="1" si="7"/>
        <v>69097</v>
      </c>
      <c r="V40" s="257">
        <v>2.2000000000000002</v>
      </c>
      <c r="W40" s="257">
        <f t="shared" si="10"/>
        <v>176348</v>
      </c>
      <c r="X40" s="1977">
        <f t="shared" ca="1" si="8"/>
        <v>261</v>
      </c>
    </row>
    <row r="41" spans="1:24" ht="13.5">
      <c r="A41" s="1252">
        <v>11</v>
      </c>
      <c r="B41" s="967">
        <v>291.99</v>
      </c>
      <c r="C41" s="967">
        <v>291.99</v>
      </c>
      <c r="D41" s="3176">
        <f t="shared" si="9"/>
        <v>389322</v>
      </c>
      <c r="E41" s="53">
        <f>IF(D41="",1,(LOOKUP(D41,$3:$3,$4:$4)-LOOKUP($D$24,$3:$3,$4:$4)+100)/100)</f>
        <v>1</v>
      </c>
      <c r="F41" s="965" t="s">
        <v>3047</v>
      </c>
      <c r="G41" s="53">
        <f>(SUMIF($5:$5,F41,$6:$6)-SUMIF($5:$5,$F$24,$6:$6)+100)/100</f>
        <v>1</v>
      </c>
      <c r="H41" s="965" t="s">
        <v>3057</v>
      </c>
      <c r="I41" s="53">
        <f>(SUMIF($7:$7,H41,$8:$8)-SUMIF($7:$7,$H$24,$8:$8)+100)/100</f>
        <v>1</v>
      </c>
      <c r="J41" s="965" t="s">
        <v>3022</v>
      </c>
      <c r="K41" s="53">
        <f>(SUMIF($9:$9,J41,$10:$10)-SUMIF($9:$9,$J$24,$10:$10)+100)/100</f>
        <v>0.98</v>
      </c>
      <c r="L41" s="965"/>
      <c r="M41" s="53">
        <f>(SUMIF($11:$11,L41,$12:$12)-SUMIF($11:$11,$L$24,$12:$12)+100)/100</f>
        <v>1</v>
      </c>
      <c r="N41" s="965"/>
      <c r="O41" s="53">
        <f>(SUMIF($13:$13,N41,$14:$14)-SUMIF($13:$13,$N$24,$14:$14)+100)/100</f>
        <v>1</v>
      </c>
      <c r="P41" s="965"/>
      <c r="Q41" s="53">
        <f>(SUMIF($15:$15,P41,$16:$16)-SUMIF($15:$15,$P$24,$16:$16)+100)/100</f>
        <v>1</v>
      </c>
      <c r="R41" s="965"/>
      <c r="S41" s="53">
        <f>(SUMIF($17:$17,R41,$18:$18)-SUMIF($17:$17,$R$24,$18:$18)+100)/100</f>
        <v>1</v>
      </c>
      <c r="T41" s="493">
        <f ca="1">IF(D41="",0,ROUND($T$24*E41*G41*I41*K41*M41*O41*Q41*S41,0))</f>
        <v>1781</v>
      </c>
      <c r="U41" s="802">
        <f t="shared" ca="1" si="7"/>
        <v>69338</v>
      </c>
      <c r="V41" s="257">
        <v>2</v>
      </c>
      <c r="W41" s="257">
        <f t="shared" si="10"/>
        <v>194661</v>
      </c>
      <c r="X41" s="1977">
        <f t="shared" ca="1" si="8"/>
        <v>237</v>
      </c>
    </row>
    <row r="42" spans="1:24" ht="13.5">
      <c r="A42" s="1252">
        <v>12</v>
      </c>
      <c r="B42" s="967">
        <v>283.44</v>
      </c>
      <c r="C42" s="967">
        <v>283.44</v>
      </c>
      <c r="D42" s="3176">
        <f t="shared" si="9"/>
        <v>340130</v>
      </c>
      <c r="E42" s="53">
        <f>IF(D42="",1,(LOOKUP(D42,$3:$3,$4:$4)-LOOKUP($D$24,$3:$3,$4:$4)+100)/100)</f>
        <v>1</v>
      </c>
      <c r="F42" s="965" t="s">
        <v>3048</v>
      </c>
      <c r="G42" s="53">
        <f>(SUMIF($5:$5,F42,$6:$6)-SUMIF($5:$5,$F$24,$6:$6)+100)/100</f>
        <v>1.01</v>
      </c>
      <c r="H42" s="965" t="s">
        <v>3057</v>
      </c>
      <c r="I42" s="53">
        <f>(SUMIF($7:$7,H42,$8:$8)-SUMIF($7:$7,$H$24,$8:$8)+100)/100</f>
        <v>1</v>
      </c>
      <c r="J42" s="965" t="s">
        <v>3006</v>
      </c>
      <c r="K42" s="53">
        <f>(SUMIF($9:$9,J42,$10:$10)-SUMIF($9:$9,$J$24,$10:$10)+100)/100</f>
        <v>1</v>
      </c>
      <c r="L42" s="965"/>
      <c r="M42" s="53">
        <f>(SUMIF($11:$11,L42,$12:$12)-SUMIF($11:$11,$L$24,$12:$12)+100)/100</f>
        <v>1</v>
      </c>
      <c r="N42" s="965"/>
      <c r="O42" s="53">
        <f>(SUMIF($13:$13,N42,$14:$14)-SUMIF($13:$13,$N$24,$14:$14)+100)/100</f>
        <v>1</v>
      </c>
      <c r="P42" s="965"/>
      <c r="Q42" s="53">
        <f>(SUMIF($15:$15,P42,$16:$16)-SUMIF($15:$15,$P$24,$16:$16)+100)/100</f>
        <v>1</v>
      </c>
      <c r="R42" s="965"/>
      <c r="S42" s="53">
        <f>(SUMIF($17:$17,R42,$18:$18)-SUMIF($17:$17,$R$24,$18:$18)+100)/100</f>
        <v>1</v>
      </c>
      <c r="T42" s="493">
        <f ca="1">IF(D42="",0,ROUND($T$24*E42*G42*I42*K42*M42*O42*Q42*S42,0))</f>
        <v>1835</v>
      </c>
      <c r="U42" s="802">
        <f t="shared" ca="1" si="7"/>
        <v>62414</v>
      </c>
      <c r="V42" s="257">
        <v>1.8</v>
      </c>
      <c r="W42" s="257">
        <f t="shared" si="10"/>
        <v>188961</v>
      </c>
      <c r="X42" s="1977">
        <f t="shared" ca="1" si="8"/>
        <v>220</v>
      </c>
    </row>
    <row r="43" spans="1:24" ht="13.5">
      <c r="A43" s="1252">
        <v>13</v>
      </c>
      <c r="B43" s="967">
        <v>299.69</v>
      </c>
      <c r="C43" s="967">
        <v>299.69</v>
      </c>
      <c r="D43" s="3176">
        <f t="shared" si="9"/>
        <v>399589</v>
      </c>
      <c r="E43" s="53">
        <f>IF(D43="",1,(LOOKUP(D43,$3:$3,$4:$4)-LOOKUP($D$24,$3:$3,$4:$4)+100)/100)</f>
        <v>1</v>
      </c>
      <c r="F43" s="965" t="s">
        <v>3047</v>
      </c>
      <c r="G43" s="53">
        <f>(SUMIF($5:$5,F43,$6:$6)-SUMIF($5:$5,$F$24,$6:$6)+100)/100</f>
        <v>1</v>
      </c>
      <c r="H43" s="965" t="s">
        <v>3057</v>
      </c>
      <c r="I43" s="53">
        <f>(SUMIF($7:$7,H43,$8:$8)-SUMIF($7:$7,$H$24,$8:$8)+100)/100</f>
        <v>1</v>
      </c>
      <c r="J43" s="965" t="s">
        <v>3022</v>
      </c>
      <c r="K43" s="53">
        <f>(SUMIF($9:$9,J43,$10:$10)-SUMIF($9:$9,$J$24,$10:$10)+100)/100</f>
        <v>0.98</v>
      </c>
      <c r="L43" s="965"/>
      <c r="M43" s="53">
        <f>(SUMIF($11:$11,L43,$12:$12)-SUMIF($11:$11,$L$24,$12:$12)+100)/100</f>
        <v>1</v>
      </c>
      <c r="N43" s="965"/>
      <c r="O43" s="53">
        <f>(SUMIF($13:$13,N43,$14:$14)-SUMIF($13:$13,$N$24,$14:$14)+100)/100</f>
        <v>1</v>
      </c>
      <c r="P43" s="965"/>
      <c r="Q43" s="53">
        <f>(SUMIF($15:$15,P43,$16:$16)-SUMIF($15:$15,$P$24,$16:$16)+100)/100</f>
        <v>1</v>
      </c>
      <c r="R43" s="965"/>
      <c r="S43" s="53">
        <f>(SUMIF($17:$17,R43,$18:$18)-SUMIF($17:$17,$R$24,$18:$18)+100)/100</f>
        <v>1</v>
      </c>
      <c r="T43" s="493">
        <f ca="1">IF(D43="",0,ROUND($T$24*E43*G43*I43*K43*M43*O43*Q43*S43,0))</f>
        <v>1781</v>
      </c>
      <c r="U43" s="802">
        <f t="shared" ca="1" si="7"/>
        <v>71167</v>
      </c>
      <c r="V43" s="257">
        <v>2</v>
      </c>
      <c r="W43" s="257">
        <f t="shared" si="10"/>
        <v>199794</v>
      </c>
      <c r="X43" s="1977">
        <f t="shared" ca="1" si="8"/>
        <v>237</v>
      </c>
    </row>
    <row r="44" spans="1:24" ht="13.5">
      <c r="A44" s="1252">
        <v>14</v>
      </c>
      <c r="B44" s="967">
        <v>126.32</v>
      </c>
      <c r="C44" s="967">
        <v>126.32</v>
      </c>
      <c r="D44" s="3176">
        <f t="shared" si="9"/>
        <v>151585</v>
      </c>
      <c r="E44" s="53">
        <f>IF(D44="",1,(LOOKUP(D44,$3:$3,$4:$4)-LOOKUP($D$24,$3:$3,$4:$4)+100)/100)</f>
        <v>1</v>
      </c>
      <c r="F44" s="965" t="s">
        <v>3048</v>
      </c>
      <c r="G44" s="53">
        <f>(SUMIF($5:$5,F44,$6:$6)-SUMIF($5:$5,$F$24,$6:$6)+100)/100</f>
        <v>1.01</v>
      </c>
      <c r="H44" s="965" t="s">
        <v>3055</v>
      </c>
      <c r="I44" s="53">
        <f>(SUMIF($7:$7,H44,$8:$8)-SUMIF($7:$7,$H$24,$8:$8)+100)/100</f>
        <v>1.01</v>
      </c>
      <c r="J44" s="965" t="s">
        <v>3022</v>
      </c>
      <c r="K44" s="53">
        <f>(SUMIF($9:$9,J44,$10:$10)-SUMIF($9:$9,$J$24,$10:$10)+100)/100</f>
        <v>0.98</v>
      </c>
      <c r="L44" s="965"/>
      <c r="M44" s="53">
        <f>(SUMIF($11:$11,L44,$12:$12)-SUMIF($11:$11,$L$24,$12:$12)+100)/100</f>
        <v>1</v>
      </c>
      <c r="N44" s="965"/>
      <c r="O44" s="53">
        <f>(SUMIF($13:$13,N44,$14:$14)-SUMIF($13:$13,$N$24,$14:$14)+100)/100</f>
        <v>1</v>
      </c>
      <c r="P44" s="965"/>
      <c r="Q44" s="53">
        <f>(SUMIF($15:$15,P44,$16:$16)-SUMIF($15:$15,$P$24,$16:$16)+100)/100</f>
        <v>1</v>
      </c>
      <c r="R44" s="965"/>
      <c r="S44" s="53">
        <f>(SUMIF($17:$17,R44,$18:$18)-SUMIF($17:$17,$R$24,$18:$18)+100)/100</f>
        <v>1</v>
      </c>
      <c r="T44" s="493">
        <f ca="1">IF(D44="",0,ROUND($T$24*E44*G44*I44*K44*M44*O44*Q44*S44,0))</f>
        <v>1816</v>
      </c>
      <c r="U44" s="802">
        <f t="shared" ca="1" si="7"/>
        <v>27528</v>
      </c>
      <c r="V44" s="257">
        <v>1.8</v>
      </c>
      <c r="W44" s="257">
        <f t="shared" si="10"/>
        <v>84214</v>
      </c>
      <c r="X44" s="1977">
        <f t="shared" ca="1" si="8"/>
        <v>218</v>
      </c>
    </row>
    <row r="45" spans="1:24" ht="13.5">
      <c r="A45" s="1252">
        <v>15</v>
      </c>
      <c r="B45" s="967">
        <v>159.35</v>
      </c>
      <c r="C45" s="967">
        <v>159.35</v>
      </c>
      <c r="D45" s="3176">
        <f t="shared" si="9"/>
        <v>265585</v>
      </c>
      <c r="E45" s="53">
        <f>IF(D45="",1,(LOOKUP(D45,$3:$3,$4:$4)-LOOKUP($D$24,$3:$3,$4:$4)+100)/100)</f>
        <v>1</v>
      </c>
      <c r="F45" s="965" t="s">
        <v>3047</v>
      </c>
      <c r="G45" s="53">
        <f>(SUMIF($5:$5,F45,$6:$6)-SUMIF($5:$5,$F$24,$6:$6)+100)/100</f>
        <v>1</v>
      </c>
      <c r="H45" s="965" t="s">
        <v>3057</v>
      </c>
      <c r="I45" s="53">
        <f>(SUMIF($7:$7,H45,$8:$8)-SUMIF($7:$7,$H$24,$8:$8)+100)/100</f>
        <v>1</v>
      </c>
      <c r="J45" s="965" t="s">
        <v>3018</v>
      </c>
      <c r="K45" s="53">
        <f>(SUMIF($9:$9,J45,$10:$10)-SUMIF($9:$9,$J$24,$10:$10)+100)/100</f>
        <v>1.02</v>
      </c>
      <c r="L45" s="965"/>
      <c r="M45" s="53">
        <f>(SUMIF($11:$11,L45,$12:$12)-SUMIF($11:$11,$L$24,$12:$12)+100)/100</f>
        <v>1</v>
      </c>
      <c r="N45" s="965"/>
      <c r="O45" s="53">
        <f>(SUMIF($13:$13,N45,$14:$14)-SUMIF($13:$13,$N$24,$14:$14)+100)/100</f>
        <v>1</v>
      </c>
      <c r="P45" s="965"/>
      <c r="Q45" s="53">
        <f>(SUMIF($15:$15,P45,$16:$16)-SUMIF($15:$15,$P$24,$16:$16)+100)/100</f>
        <v>1</v>
      </c>
      <c r="R45" s="965"/>
      <c r="S45" s="53">
        <f>(SUMIF($17:$17,R45,$18:$18)-SUMIF($17:$17,$R$24,$18:$18)+100)/100</f>
        <v>1</v>
      </c>
      <c r="T45" s="493">
        <f ca="1">IF(D45="",0,ROUND($T$24*E45*G45*I45*K45*M45*O45*Q45*S45,0))</f>
        <v>1853</v>
      </c>
      <c r="U45" s="802">
        <f t="shared" ca="1" si="7"/>
        <v>49213</v>
      </c>
      <c r="V45" s="257">
        <v>2.5</v>
      </c>
      <c r="W45" s="257">
        <f t="shared" si="10"/>
        <v>106234</v>
      </c>
      <c r="X45" s="1977">
        <f t="shared" ca="1" si="8"/>
        <v>309</v>
      </c>
    </row>
    <row r="46" spans="1:24" ht="13.5">
      <c r="A46" s="1252">
        <v>16</v>
      </c>
      <c r="B46" s="967">
        <v>60.91</v>
      </c>
      <c r="C46" s="967">
        <v>60.91</v>
      </c>
      <c r="D46" s="3176">
        <f t="shared" si="9"/>
        <v>101517</v>
      </c>
      <c r="E46" s="53">
        <f>IF(D46="",1,(LOOKUP(D46,$3:$3,$4:$4)-LOOKUP($D$24,$3:$3,$4:$4)+100)/100)</f>
        <v>1</v>
      </c>
      <c r="F46" s="965" t="s">
        <v>3047</v>
      </c>
      <c r="G46" s="53">
        <f>(SUMIF($5:$5,F46,$6:$6)-SUMIF($5:$5,$F$24,$6:$6)+100)/100</f>
        <v>1</v>
      </c>
      <c r="H46" s="965" t="s">
        <v>3053</v>
      </c>
      <c r="I46" s="53">
        <f>(SUMIF($7:$7,H46,$8:$8)-SUMIF($7:$7,$H$24,$8:$8)+100)/100</f>
        <v>1.02</v>
      </c>
      <c r="J46" s="965" t="s">
        <v>3024</v>
      </c>
      <c r="K46" s="53">
        <f>(SUMIF($9:$9,J46,$10:$10)-SUMIF($9:$9,$J$24,$10:$10)+100)/100</f>
        <v>0.96</v>
      </c>
      <c r="L46" s="965"/>
      <c r="M46" s="53">
        <f>(SUMIF($11:$11,L46,$12:$12)-SUMIF($11:$11,$L$24,$12:$12)+100)/100</f>
        <v>1</v>
      </c>
      <c r="N46" s="965"/>
      <c r="O46" s="53">
        <f>(SUMIF($13:$13,N46,$14:$14)-SUMIF($13:$13,$N$24,$14:$14)+100)/100</f>
        <v>1</v>
      </c>
      <c r="P46" s="965"/>
      <c r="Q46" s="53">
        <f>(SUMIF($15:$15,P46,$16:$16)-SUMIF($15:$15,$P$24,$16:$16)+100)/100</f>
        <v>1</v>
      </c>
      <c r="R46" s="965"/>
      <c r="S46" s="53">
        <f>(SUMIF($17:$17,R46,$18:$18)-SUMIF($17:$17,$R$24,$18:$18)+100)/100</f>
        <v>1</v>
      </c>
      <c r="T46" s="493">
        <f ca="1">IF(D46="",0,ROUND($T$24*E46*G46*I46*K46*M46*O46*Q46*S46,0))</f>
        <v>1779</v>
      </c>
      <c r="U46" s="802">
        <f t="shared" ca="1" si="7"/>
        <v>18060</v>
      </c>
      <c r="V46" s="257">
        <v>2.5</v>
      </c>
      <c r="W46" s="257">
        <f t="shared" si="10"/>
        <v>40607</v>
      </c>
      <c r="X46" s="1977">
        <f t="shared" ca="1" si="8"/>
        <v>297</v>
      </c>
    </row>
    <row r="47" spans="1:24" ht="13.5">
      <c r="A47" s="1252">
        <v>17</v>
      </c>
      <c r="B47" s="967">
        <v>297.64</v>
      </c>
      <c r="C47" s="967">
        <v>297.64</v>
      </c>
      <c r="D47" s="3176">
        <f t="shared" si="9"/>
        <v>496069</v>
      </c>
      <c r="E47" s="53">
        <f>IF(D47="",1,(LOOKUP(D47,$3:$3,$4:$4)-LOOKUP($D$24,$3:$3,$4:$4)+100)/100)</f>
        <v>1</v>
      </c>
      <c r="F47" s="965" t="s">
        <v>3047</v>
      </c>
      <c r="G47" s="53">
        <f>(SUMIF($5:$5,F47,$6:$6)-SUMIF($5:$5,$F$24,$6:$6)+100)/100</f>
        <v>1</v>
      </c>
      <c r="H47" s="965" t="s">
        <v>3057</v>
      </c>
      <c r="I47" s="53">
        <f>(SUMIF($7:$7,H47,$8:$8)-SUMIF($7:$7,$H$24,$8:$8)+100)/100</f>
        <v>1</v>
      </c>
      <c r="J47" s="965" t="s">
        <v>3018</v>
      </c>
      <c r="K47" s="53">
        <f>(SUMIF($9:$9,J47,$10:$10)-SUMIF($9:$9,$J$24,$10:$10)+100)/100</f>
        <v>1.02</v>
      </c>
      <c r="L47" s="965"/>
      <c r="M47" s="53">
        <f>(SUMIF($11:$11,L47,$12:$12)-SUMIF($11:$11,$L$24,$12:$12)+100)/100</f>
        <v>1</v>
      </c>
      <c r="N47" s="965"/>
      <c r="O47" s="53">
        <f>(SUMIF($13:$13,N47,$14:$14)-SUMIF($13:$13,$N$24,$14:$14)+100)/100</f>
        <v>1</v>
      </c>
      <c r="P47" s="965"/>
      <c r="Q47" s="53">
        <f>(SUMIF($15:$15,P47,$16:$16)-SUMIF($15:$15,$P$24,$16:$16)+100)/100</f>
        <v>1</v>
      </c>
      <c r="R47" s="965"/>
      <c r="S47" s="53">
        <f>(SUMIF($17:$17,R47,$18:$18)-SUMIF($17:$17,$R$24,$18:$18)+100)/100</f>
        <v>1</v>
      </c>
      <c r="T47" s="493">
        <f ca="1">IF(D47="",0,ROUND($T$24*E47*G47*I47*K47*M47*O47*Q47*S47,0))</f>
        <v>1853</v>
      </c>
      <c r="U47" s="802">
        <f t="shared" ca="1" si="7"/>
        <v>91922</v>
      </c>
      <c r="V47" s="257">
        <v>2.5</v>
      </c>
      <c r="W47" s="257">
        <f t="shared" si="10"/>
        <v>198428</v>
      </c>
      <c r="X47" s="1977">
        <f t="shared" ca="1" si="8"/>
        <v>309</v>
      </c>
    </row>
    <row r="48" spans="1:24" ht="13.5">
      <c r="A48" s="1618">
        <v>18</v>
      </c>
      <c r="B48" s="967">
        <v>248.88</v>
      </c>
      <c r="C48" s="967">
        <v>248.88</v>
      </c>
      <c r="D48" s="3176">
        <f t="shared" si="9"/>
        <v>414802</v>
      </c>
      <c r="E48" s="53">
        <f>IF(D48="",1,(LOOKUP(D48,$3:$3,$4:$4)-LOOKUP($D$24,$3:$3,$4:$4)+100)/100)</f>
        <v>1</v>
      </c>
      <c r="F48" s="965" t="s">
        <v>3047</v>
      </c>
      <c r="G48" s="53">
        <f>(SUMIF($5:$5,F48,$6:$6)-SUMIF($5:$5,$F$24,$6:$6)+100)/100</f>
        <v>1</v>
      </c>
      <c r="H48" s="965" t="s">
        <v>3057</v>
      </c>
      <c r="I48" s="53">
        <f>(SUMIF($7:$7,H48,$8:$8)-SUMIF($7:$7,$H$24,$8:$8)+100)/100</f>
        <v>1</v>
      </c>
      <c r="J48" s="965" t="s">
        <v>3018</v>
      </c>
      <c r="K48" s="53">
        <f>(SUMIF($9:$9,J48,$10:$10)-SUMIF($9:$9,$J$24,$10:$10)+100)/100</f>
        <v>1.02</v>
      </c>
      <c r="L48" s="965"/>
      <c r="M48" s="53">
        <f>(SUMIF($11:$11,L48,$12:$12)-SUMIF($11:$11,$L$24,$12:$12)+100)/100</f>
        <v>1</v>
      </c>
      <c r="N48" s="965"/>
      <c r="O48" s="53">
        <f>(SUMIF($13:$13,N48,$14:$14)-SUMIF($13:$13,$N$24,$14:$14)+100)/100</f>
        <v>1</v>
      </c>
      <c r="P48" s="965"/>
      <c r="Q48" s="53">
        <f>(SUMIF($15:$15,P48,$16:$16)-SUMIF($15:$15,$P$24,$16:$16)+100)/100</f>
        <v>1</v>
      </c>
      <c r="R48" s="965"/>
      <c r="S48" s="53">
        <f>(SUMIF($17:$17,R48,$18:$18)-SUMIF($17:$17,$R$24,$18:$18)+100)/100</f>
        <v>1</v>
      </c>
      <c r="T48" s="493">
        <f ca="1">IF(D48="",0,ROUND($T$24*E48*G48*I48*K48*M48*O48*Q48*S48,0))</f>
        <v>1853</v>
      </c>
      <c r="U48" s="802">
        <f t="shared" ca="1" si="7"/>
        <v>76863</v>
      </c>
      <c r="V48" s="257">
        <v>2.5</v>
      </c>
      <c r="W48" s="257">
        <f t="shared" si="10"/>
        <v>165921</v>
      </c>
      <c r="X48" s="1977">
        <f t="shared" ca="1" si="8"/>
        <v>309</v>
      </c>
    </row>
    <row r="49" spans="1:24" ht="13.5">
      <c r="A49" s="1252">
        <v>19</v>
      </c>
      <c r="B49" s="967">
        <v>60.38</v>
      </c>
      <c r="C49" s="967">
        <v>60.38</v>
      </c>
      <c r="D49" s="3176">
        <f t="shared" si="9"/>
        <v>88558</v>
      </c>
      <c r="E49" s="53">
        <f>IF(D49="",1,(LOOKUP(D49,$3:$3,$4:$4)-LOOKUP($D$24,$3:$3,$4:$4)+100)/100)</f>
        <v>1</v>
      </c>
      <c r="F49" s="965" t="s">
        <v>3047</v>
      </c>
      <c r="G49" s="53">
        <f>(SUMIF($5:$5,F49,$6:$6)-SUMIF($5:$5,$F$24,$6:$6)+100)/100</f>
        <v>1</v>
      </c>
      <c r="H49" s="965" t="s">
        <v>3053</v>
      </c>
      <c r="I49" s="53">
        <f>(SUMIF($7:$7,H49,$8:$8)-SUMIF($7:$7,$H$24,$8:$8)+100)/100</f>
        <v>1.02</v>
      </c>
      <c r="J49" s="965" t="s">
        <v>3018</v>
      </c>
      <c r="K49" s="53">
        <f>(SUMIF($9:$9,J49,$10:$10)-SUMIF($9:$9,$J$24,$10:$10)+100)/100</f>
        <v>1.02</v>
      </c>
      <c r="L49" s="965"/>
      <c r="M49" s="53">
        <f>(SUMIF($11:$11,L49,$12:$12)-SUMIF($11:$11,$L$24,$12:$12)+100)/100</f>
        <v>1</v>
      </c>
      <c r="N49" s="965"/>
      <c r="O49" s="53">
        <f>(SUMIF($13:$13,N49,$14:$14)-SUMIF($13:$13,$N$24,$14:$14)+100)/100</f>
        <v>1</v>
      </c>
      <c r="P49" s="965"/>
      <c r="Q49" s="53">
        <f>(SUMIF($15:$15,P49,$16:$16)-SUMIF($15:$15,$P$24,$16:$16)+100)/100</f>
        <v>1</v>
      </c>
      <c r="R49" s="965"/>
      <c r="S49" s="53">
        <f>(SUMIF($17:$17,R49,$18:$18)-SUMIF($17:$17,$R$24,$18:$18)+100)/100</f>
        <v>1</v>
      </c>
      <c r="T49" s="493">
        <f ca="1">IF(D49="",0,ROUND($T$24*E49*G49*I49*K49*M49*O49*Q49*S49,0))</f>
        <v>1890</v>
      </c>
      <c r="U49" s="802">
        <f t="shared" ca="1" si="7"/>
        <v>16737</v>
      </c>
      <c r="V49" s="257">
        <v>2.2000000000000002</v>
      </c>
      <c r="W49" s="257">
        <f t="shared" si="10"/>
        <v>40254</v>
      </c>
      <c r="X49" s="1977">
        <f t="shared" ca="1" si="8"/>
        <v>277</v>
      </c>
    </row>
    <row r="50" spans="1:24" ht="13.5">
      <c r="A50" s="1252">
        <v>20</v>
      </c>
      <c r="B50" s="967">
        <v>169.56</v>
      </c>
      <c r="C50" s="967">
        <v>169.56</v>
      </c>
      <c r="D50" s="3176">
        <f t="shared" si="9"/>
        <v>237385</v>
      </c>
      <c r="E50" s="53">
        <f>IF(D50="",1,(LOOKUP(D50,$3:$3,$4:$4)-LOOKUP($D$24,$3:$3,$4:$4)+100)/100)</f>
        <v>1</v>
      </c>
      <c r="F50" s="965" t="s">
        <v>3047</v>
      </c>
      <c r="G50" s="53">
        <f>(SUMIF($5:$5,F50,$6:$6)-SUMIF($5:$5,$F$24,$6:$6)+100)/100</f>
        <v>1</v>
      </c>
      <c r="H50" s="965" t="s">
        <v>3057</v>
      </c>
      <c r="I50" s="53">
        <f>(SUMIF($7:$7,H50,$8:$8)-SUMIF($7:$7,$H$24,$8:$8)+100)/100</f>
        <v>1</v>
      </c>
      <c r="J50" s="965" t="s">
        <v>3024</v>
      </c>
      <c r="K50" s="53">
        <f>(SUMIF($9:$9,J50,$10:$10)-SUMIF($9:$9,$J$24,$10:$10)+100)/100</f>
        <v>0.96</v>
      </c>
      <c r="L50" s="965"/>
      <c r="M50" s="53">
        <f>(SUMIF($11:$11,L50,$12:$12)-SUMIF($11:$11,$L$24,$12:$12)+100)/100</f>
        <v>1</v>
      </c>
      <c r="N50" s="965"/>
      <c r="O50" s="53">
        <f>(SUMIF($13:$13,N50,$14:$14)-SUMIF($13:$13,$N$24,$14:$14)+100)/100</f>
        <v>1</v>
      </c>
      <c r="P50" s="965"/>
      <c r="Q50" s="53">
        <f>(SUMIF($15:$15,P50,$16:$16)-SUMIF($15:$15,$P$24,$16:$16)+100)/100</f>
        <v>1</v>
      </c>
      <c r="R50" s="965"/>
      <c r="S50" s="53">
        <f>(SUMIF($17:$17,R50,$18:$18)-SUMIF($17:$17,$R$24,$18:$18)+100)/100</f>
        <v>1</v>
      </c>
      <c r="T50" s="493">
        <f ca="1">IF(D50="",0,ROUND($T$24*E50*G50*I50*K50*M50*O50*Q50*S50,0))</f>
        <v>1744</v>
      </c>
      <c r="U50" s="802">
        <f t="shared" ca="1" si="7"/>
        <v>41400</v>
      </c>
      <c r="V50" s="257">
        <v>2.1</v>
      </c>
      <c r="W50" s="257">
        <f t="shared" si="10"/>
        <v>113041</v>
      </c>
      <c r="X50" s="1977">
        <f t="shared" ca="1" si="8"/>
        <v>244</v>
      </c>
    </row>
    <row r="51" spans="1:24" ht="13.5">
      <c r="A51" s="1252">
        <v>21</v>
      </c>
      <c r="B51" s="967">
        <v>231.88</v>
      </c>
      <c r="C51" s="967">
        <v>231.88</v>
      </c>
      <c r="D51" s="3176">
        <f t="shared" si="9"/>
        <v>386469</v>
      </c>
      <c r="E51" s="53">
        <f>IF(D51="",1,(LOOKUP(D51,$3:$3,$4:$4)-LOOKUP($D$24,$3:$3,$4:$4)+100)/100)</f>
        <v>1</v>
      </c>
      <c r="F51" s="965" t="s">
        <v>3047</v>
      </c>
      <c r="G51" s="53">
        <f>(SUMIF($5:$5,F51,$6:$6)-SUMIF($5:$5,$F$24,$6:$6)+100)/100</f>
        <v>1</v>
      </c>
      <c r="H51" s="965" t="s">
        <v>3057</v>
      </c>
      <c r="I51" s="53">
        <f>(SUMIF($7:$7,H51,$8:$8)-SUMIF($7:$7,$H$24,$8:$8)+100)/100</f>
        <v>1</v>
      </c>
      <c r="J51" s="965" t="s">
        <v>3024</v>
      </c>
      <c r="K51" s="53">
        <f>(SUMIF($9:$9,J51,$10:$10)-SUMIF($9:$9,$J$24,$10:$10)+100)/100</f>
        <v>0.96</v>
      </c>
      <c r="L51" s="965"/>
      <c r="M51" s="53">
        <f>(SUMIF($11:$11,L51,$12:$12)-SUMIF($11:$11,$L$24,$12:$12)+100)/100</f>
        <v>1</v>
      </c>
      <c r="N51" s="965"/>
      <c r="O51" s="53">
        <f>(SUMIF($13:$13,N51,$14:$14)-SUMIF($13:$13,$N$24,$14:$14)+100)/100</f>
        <v>1</v>
      </c>
      <c r="P51" s="965"/>
      <c r="Q51" s="53">
        <f>(SUMIF($15:$15,P51,$16:$16)-SUMIF($15:$15,$P$24,$16:$16)+100)/100</f>
        <v>1</v>
      </c>
      <c r="R51" s="965"/>
      <c r="S51" s="53">
        <f>(SUMIF($17:$17,R51,$18:$18)-SUMIF($17:$17,$R$24,$18:$18)+100)/100</f>
        <v>1</v>
      </c>
      <c r="T51" s="493">
        <f ca="1">IF(D51="",0,ROUND($T$24*E51*G51*I51*K51*M51*O51*Q51*S51,0))</f>
        <v>1744</v>
      </c>
      <c r="U51" s="802">
        <f t="shared" ca="1" si="7"/>
        <v>67400</v>
      </c>
      <c r="V51" s="257">
        <v>2.5</v>
      </c>
      <c r="W51" s="257">
        <f t="shared" si="10"/>
        <v>154587</v>
      </c>
      <c r="X51" s="1977">
        <f t="shared" ca="1" si="8"/>
        <v>291</v>
      </c>
    </row>
    <row r="52" spans="1:24" ht="13.5">
      <c r="A52" s="1252">
        <v>22</v>
      </c>
      <c r="B52" s="967">
        <v>81.89</v>
      </c>
      <c r="C52" s="967">
        <v>81.89</v>
      </c>
      <c r="D52" s="3176">
        <f t="shared" si="9"/>
        <v>120106</v>
      </c>
      <c r="E52" s="53">
        <f>IF(D52="",1,(LOOKUP(D52,$3:$3,$4:$4)-LOOKUP($D$24,$3:$3,$4:$4)+100)/100)</f>
        <v>1</v>
      </c>
      <c r="F52" s="965" t="s">
        <v>3047</v>
      </c>
      <c r="G52" s="53">
        <f>(SUMIF($5:$5,F52,$6:$6)-SUMIF($5:$5,$F$24,$6:$6)+100)/100</f>
        <v>1</v>
      </c>
      <c r="H52" s="965" t="s">
        <v>3055</v>
      </c>
      <c r="I52" s="53">
        <f>(SUMIF($7:$7,H52,$8:$8)-SUMIF($7:$7,$H$24,$8:$8)+100)/100</f>
        <v>1.01</v>
      </c>
      <c r="J52" s="965" t="s">
        <v>3018</v>
      </c>
      <c r="K52" s="53">
        <f>(SUMIF($9:$9,J52,$10:$10)-SUMIF($9:$9,$J$24,$10:$10)+100)/100</f>
        <v>1.02</v>
      </c>
      <c r="L52" s="965"/>
      <c r="M52" s="53">
        <f>(SUMIF($11:$11,L52,$12:$12)-SUMIF($11:$11,$L$24,$12:$12)+100)/100</f>
        <v>1</v>
      </c>
      <c r="N52" s="965"/>
      <c r="O52" s="53">
        <f>(SUMIF($13:$13,N52,$14:$14)-SUMIF($13:$13,$N$24,$14:$14)+100)/100</f>
        <v>1</v>
      </c>
      <c r="P52" s="965"/>
      <c r="Q52" s="53">
        <f>(SUMIF($15:$15,P52,$16:$16)-SUMIF($15:$15,$P$24,$16:$16)+100)/100</f>
        <v>1</v>
      </c>
      <c r="R52" s="965"/>
      <c r="S52" s="53">
        <f>(SUMIF($17:$17,R52,$18:$18)-SUMIF($17:$17,$R$24,$18:$18)+100)/100</f>
        <v>1</v>
      </c>
      <c r="T52" s="493">
        <f ca="1">IF(D52="",0,ROUND($T$24*E52*G52*I52*K52*M52*O52*Q52*S52,0))</f>
        <v>1872</v>
      </c>
      <c r="U52" s="802">
        <f t="shared" ca="1" si="7"/>
        <v>22484</v>
      </c>
      <c r="V52" s="257">
        <v>2.2000000000000002</v>
      </c>
      <c r="W52" s="257">
        <f t="shared" si="10"/>
        <v>54594</v>
      </c>
      <c r="X52" s="1977">
        <f t="shared" ca="1" si="8"/>
        <v>275</v>
      </c>
    </row>
    <row r="53" spans="1:24" ht="13.5">
      <c r="A53" s="1252">
        <v>23</v>
      </c>
      <c r="B53" s="967">
        <v>95.29</v>
      </c>
      <c r="C53" s="967">
        <v>95.29</v>
      </c>
      <c r="D53" s="3176">
        <f t="shared" si="9"/>
        <v>139759</v>
      </c>
      <c r="E53" s="53">
        <f>IF(D53="",1,(LOOKUP(D53,$3:$3,$4:$4)-LOOKUP($D$24,$3:$3,$4:$4)+100)/100)</f>
        <v>1</v>
      </c>
      <c r="F53" s="965" t="s">
        <v>3047</v>
      </c>
      <c r="G53" s="53">
        <f>(SUMIF($5:$5,F53,$6:$6)-SUMIF($5:$5,$F$24,$6:$6)+100)/100</f>
        <v>1</v>
      </c>
      <c r="H53" s="965" t="s">
        <v>3055</v>
      </c>
      <c r="I53" s="53">
        <f>(SUMIF($7:$7,H53,$8:$8)-SUMIF($7:$7,$H$24,$8:$8)+100)/100</f>
        <v>1.01</v>
      </c>
      <c r="J53" s="965" t="s">
        <v>3018</v>
      </c>
      <c r="K53" s="53">
        <f>(SUMIF($9:$9,J53,$10:$10)-SUMIF($9:$9,$J$24,$10:$10)+100)/100</f>
        <v>1.02</v>
      </c>
      <c r="L53" s="965"/>
      <c r="M53" s="53">
        <f>(SUMIF($11:$11,L53,$12:$12)-SUMIF($11:$11,$L$24,$12:$12)+100)/100</f>
        <v>1</v>
      </c>
      <c r="N53" s="965"/>
      <c r="O53" s="53">
        <f>(SUMIF($13:$13,N53,$14:$14)-SUMIF($13:$13,$N$24,$14:$14)+100)/100</f>
        <v>1</v>
      </c>
      <c r="P53" s="965"/>
      <c r="Q53" s="53">
        <f>(SUMIF($15:$15,P53,$16:$16)-SUMIF($15:$15,$P$24,$16:$16)+100)/100</f>
        <v>1</v>
      </c>
      <c r="R53" s="965"/>
      <c r="S53" s="53">
        <f>(SUMIF($17:$17,R53,$18:$18)-SUMIF($17:$17,$R$24,$18:$18)+100)/100</f>
        <v>1</v>
      </c>
      <c r="T53" s="493">
        <f ca="1">IF(D53="",0,ROUND($T$24*E53*G53*I53*K53*M53*O53*Q53*S53,0))</f>
        <v>1872</v>
      </c>
      <c r="U53" s="802">
        <f t="shared" ca="1" si="7"/>
        <v>26163</v>
      </c>
      <c r="V53" s="257">
        <v>2.2000000000000002</v>
      </c>
      <c r="W53" s="257">
        <f t="shared" si="10"/>
        <v>63527</v>
      </c>
      <c r="X53" s="1977">
        <f t="shared" ca="1" si="8"/>
        <v>275</v>
      </c>
    </row>
    <row r="54" spans="1:24" ht="13.5">
      <c r="A54" s="1252">
        <v>24</v>
      </c>
      <c r="B54" s="967">
        <v>27.91</v>
      </c>
      <c r="C54" s="967">
        <v>27.91</v>
      </c>
      <c r="D54" s="3176">
        <f t="shared" si="9"/>
        <v>40935</v>
      </c>
      <c r="E54" s="53">
        <f>IF(D54="",1,(LOOKUP(D54,$3:$3,$4:$4)-LOOKUP($D$24,$3:$3,$4:$4)+100)/100)</f>
        <v>1</v>
      </c>
      <c r="F54" s="965" t="s">
        <v>3047</v>
      </c>
      <c r="G54" s="53">
        <f>(SUMIF($5:$5,F54,$6:$6)-SUMIF($5:$5,$F$24,$6:$6)+100)/100</f>
        <v>1</v>
      </c>
      <c r="H54" s="965" t="s">
        <v>3048</v>
      </c>
      <c r="I54" s="53">
        <f>(SUMIF($7:$7,H54,$8:$8)-SUMIF($7:$7,$H$24,$8:$8)+100)/100</f>
        <v>1.03</v>
      </c>
      <c r="J54" s="965" t="s">
        <v>3024</v>
      </c>
      <c r="K54" s="53">
        <f>(SUMIF($9:$9,J54,$10:$10)-SUMIF($9:$9,$J$24,$10:$10)+100)/100</f>
        <v>0.96</v>
      </c>
      <c r="L54" s="965"/>
      <c r="M54" s="53">
        <f>(SUMIF($11:$11,L54,$12:$12)-SUMIF($11:$11,$L$24,$12:$12)+100)/100</f>
        <v>1</v>
      </c>
      <c r="N54" s="965"/>
      <c r="O54" s="53">
        <f>(SUMIF($13:$13,N54,$14:$14)-SUMIF($13:$13,$N$24,$14:$14)+100)/100</f>
        <v>1</v>
      </c>
      <c r="P54" s="965"/>
      <c r="Q54" s="53">
        <f>(SUMIF($15:$15,P54,$16:$16)-SUMIF($15:$15,$P$24,$16:$16)+100)/100</f>
        <v>1</v>
      </c>
      <c r="R54" s="965"/>
      <c r="S54" s="53">
        <f>(SUMIF($17:$17,R54,$18:$18)-SUMIF($17:$17,$R$24,$18:$18)+100)/100</f>
        <v>1</v>
      </c>
      <c r="T54" s="493">
        <f ca="1">IF(D54="",0,ROUND($T$24*E54*G54*I54*K54*M54*O54*Q54*S54,0))</f>
        <v>1797</v>
      </c>
      <c r="U54" s="802">
        <f t="shared" ca="1" si="7"/>
        <v>7356</v>
      </c>
      <c r="V54" s="257">
        <v>2.2000000000000002</v>
      </c>
      <c r="W54" s="257">
        <f t="shared" si="10"/>
        <v>18607</v>
      </c>
      <c r="X54" s="1977">
        <f t="shared" ca="1" si="8"/>
        <v>264</v>
      </c>
    </row>
    <row r="55" spans="1:24">
      <c r="A55" s="1252">
        <v>25</v>
      </c>
      <c r="B55" s="257">
        <v>166529.57999999999</v>
      </c>
      <c r="C55" s="257">
        <v>166529.57999999999</v>
      </c>
      <c r="D55" s="137">
        <f>ROUND(C55*V55,0)</f>
        <v>366365</v>
      </c>
      <c r="E55" s="53">
        <f>IF(D55="",1,(LOOKUP(D55,$3:$3,$4:$4)-LOOKUP($D$24,$3:$3,$4:$4)+100)/100)</f>
        <v>1</v>
      </c>
      <c r="F55" s="965" t="s">
        <v>3047</v>
      </c>
      <c r="G55" s="53">
        <f>(SUMIF($5:$5,F55,$6:$6)-SUMIF($5:$5,$F$24,$6:$6)+100)/100</f>
        <v>1</v>
      </c>
      <c r="H55" s="965" t="s">
        <v>3057</v>
      </c>
      <c r="I55" s="53">
        <f>(SUMIF($7:$7,H55,$8:$8)-SUMIF($7:$7,$H$24,$8:$8)+100)/100</f>
        <v>1</v>
      </c>
      <c r="J55" s="965" t="s">
        <v>3018</v>
      </c>
      <c r="K55" s="53">
        <f>(SUMIF($9:$9,J55,$10:$10)-SUMIF($9:$9,$J$24,$10:$10)+100)/100</f>
        <v>1.02</v>
      </c>
      <c r="L55" s="965"/>
      <c r="M55" s="53">
        <f>(SUMIF($11:$11,L55,$12:$12)-SUMIF($11:$11,$L$24,$12:$12)+100)/100</f>
        <v>1</v>
      </c>
      <c r="N55" s="965"/>
      <c r="O55" s="53">
        <f>(SUMIF($13:$13,N55,$14:$14)-SUMIF($13:$13,$N$24,$14:$14)+100)/100</f>
        <v>1</v>
      </c>
      <c r="P55" s="965"/>
      <c r="Q55" s="53">
        <f>(SUMIF($15:$15,P55,$16:$16)-SUMIF($15:$15,$P$24,$16:$16)+100)/100</f>
        <v>1</v>
      </c>
      <c r="R55" s="965"/>
      <c r="S55" s="53">
        <f>(SUMIF($17:$17,R55,$18:$18)-SUMIF($17:$17,$R$24,$18:$18)+100)/100</f>
        <v>1</v>
      </c>
      <c r="T55" s="493">
        <f ca="1">IF(D55="",0,ROUND($T$24*E55*G55*I55*K55*M55*O55*Q55*S55,0))</f>
        <v>1853</v>
      </c>
      <c r="U55" s="802">
        <f t="shared" ref="U55:U77" ca="1" si="11">ROUND(T55*D55/10000,0)</f>
        <v>67887</v>
      </c>
      <c r="V55" s="257">
        <v>2.2000000000000002</v>
      </c>
      <c r="W55" s="257">
        <v>166529.57999999999</v>
      </c>
      <c r="X55" s="1977">
        <f t="shared" ca="1" si="8"/>
        <v>272</v>
      </c>
    </row>
    <row r="56" spans="1:24">
      <c r="A56" s="1618">
        <v>26</v>
      </c>
      <c r="B56" s="257">
        <v>149271.76</v>
      </c>
      <c r="C56" s="257">
        <v>149271.76</v>
      </c>
      <c r="D56" s="137">
        <f t="shared" ref="D56:D58" si="12">ROUND(C56*V56,0)</f>
        <v>328398</v>
      </c>
      <c r="E56" s="53">
        <f>IF(D56="",1,(LOOKUP(D56,$3:$3,$4:$4)-LOOKUP($D$24,$3:$3,$4:$4)+100)/100)</f>
        <v>1</v>
      </c>
      <c r="F56" s="965" t="s">
        <v>3047</v>
      </c>
      <c r="G56" s="53">
        <f>(SUMIF($5:$5,F56,$6:$6)-SUMIF($5:$5,$F$24,$6:$6)+100)/100</f>
        <v>1</v>
      </c>
      <c r="H56" s="965" t="s">
        <v>3057</v>
      </c>
      <c r="I56" s="53">
        <f>(SUMIF($7:$7,H56,$8:$8)-SUMIF($7:$7,$H$24,$8:$8)+100)/100</f>
        <v>1</v>
      </c>
      <c r="J56" s="965" t="s">
        <v>3024</v>
      </c>
      <c r="K56" s="53">
        <f>(SUMIF($9:$9,J56,$10:$10)-SUMIF($9:$9,$J$24,$10:$10)+100)/100</f>
        <v>0.96</v>
      </c>
      <c r="L56" s="965"/>
      <c r="M56" s="53">
        <f>(SUMIF($11:$11,L56,$12:$12)-SUMIF($11:$11,$L$24,$12:$12)+100)/100</f>
        <v>1</v>
      </c>
      <c r="N56" s="965"/>
      <c r="O56" s="53">
        <f>(SUMIF($13:$13,N56,$14:$14)-SUMIF($13:$13,$N$24,$14:$14)+100)/100</f>
        <v>1</v>
      </c>
      <c r="P56" s="965"/>
      <c r="Q56" s="53">
        <f>(SUMIF($15:$15,P56,$16:$16)-SUMIF($15:$15,$P$24,$16:$16)+100)/100</f>
        <v>1</v>
      </c>
      <c r="R56" s="965"/>
      <c r="S56" s="53">
        <f>(SUMIF($17:$17,R56,$18:$18)-SUMIF($17:$17,$R$24,$18:$18)+100)/100</f>
        <v>1</v>
      </c>
      <c r="T56" s="493">
        <f ca="1">IF(D56="",0,ROUND($T$24*E56*G56*I56*K56*M56*O56*Q56*S56,0))</f>
        <v>1744</v>
      </c>
      <c r="U56" s="802">
        <f t="shared" ca="1" si="11"/>
        <v>57273</v>
      </c>
      <c r="V56" s="257">
        <v>2.2000000000000002</v>
      </c>
      <c r="W56" s="257">
        <v>149271.76</v>
      </c>
      <c r="X56" s="1977">
        <f t="shared" ca="1" si="8"/>
        <v>256</v>
      </c>
    </row>
    <row r="57" spans="1:24">
      <c r="A57" s="1252">
        <v>27</v>
      </c>
      <c r="B57" s="257">
        <v>46518.1</v>
      </c>
      <c r="C57" s="257">
        <v>46518.1</v>
      </c>
      <c r="D57" s="137">
        <f t="shared" si="12"/>
        <v>102340</v>
      </c>
      <c r="E57" s="53">
        <f>IF(D57="",1,(LOOKUP(D57,$3:$3,$4:$4)-LOOKUP($D$24,$3:$3,$4:$4)+100)/100)</f>
        <v>1</v>
      </c>
      <c r="F57" s="965" t="s">
        <v>3047</v>
      </c>
      <c r="G57" s="53">
        <f>(SUMIF($5:$5,F57,$6:$6)-SUMIF($5:$5,$F$24,$6:$6)+100)/100</f>
        <v>1</v>
      </c>
      <c r="H57" s="965" t="s">
        <v>3053</v>
      </c>
      <c r="I57" s="53">
        <f>(SUMIF($7:$7,H57,$8:$8)-SUMIF($7:$7,$H$24,$8:$8)+100)/100</f>
        <v>1.02</v>
      </c>
      <c r="J57" s="965" t="s">
        <v>3024</v>
      </c>
      <c r="K57" s="53">
        <f>(SUMIF($9:$9,J57,$10:$10)-SUMIF($9:$9,$J$24,$10:$10)+100)/100</f>
        <v>0.96</v>
      </c>
      <c r="L57" s="965"/>
      <c r="M57" s="53">
        <f>(SUMIF($11:$11,L57,$12:$12)-SUMIF($11:$11,$L$24,$12:$12)+100)/100</f>
        <v>1</v>
      </c>
      <c r="N57" s="965"/>
      <c r="O57" s="53">
        <f>(SUMIF($13:$13,N57,$14:$14)-SUMIF($13:$13,$N$24,$14:$14)+100)/100</f>
        <v>1</v>
      </c>
      <c r="P57" s="965"/>
      <c r="Q57" s="53">
        <f>(SUMIF($15:$15,P57,$16:$16)-SUMIF($15:$15,$P$24,$16:$16)+100)/100</f>
        <v>1</v>
      </c>
      <c r="R57" s="965"/>
      <c r="S57" s="53">
        <f>(SUMIF($17:$17,R57,$18:$18)-SUMIF($17:$17,$R$24,$18:$18)+100)/100</f>
        <v>1</v>
      </c>
      <c r="T57" s="493">
        <f ca="1">IF(D57="",0,ROUND($T$24*E57*G57*I57*K57*M57*O57*Q57*S57,0))</f>
        <v>1779</v>
      </c>
      <c r="U57" s="802">
        <f t="shared" ca="1" si="11"/>
        <v>18206</v>
      </c>
      <c r="V57" s="257">
        <v>2.2000000000000002</v>
      </c>
      <c r="W57" s="257">
        <v>46518.1</v>
      </c>
      <c r="X57" s="1977">
        <f t="shared" ca="1" si="8"/>
        <v>261</v>
      </c>
    </row>
    <row r="58" spans="1:24">
      <c r="A58" s="1252">
        <v>28</v>
      </c>
      <c r="B58" s="257">
        <v>87203.83</v>
      </c>
      <c r="C58" s="257">
        <v>87203.83</v>
      </c>
      <c r="D58" s="137">
        <f t="shared" si="12"/>
        <v>191848</v>
      </c>
      <c r="E58" s="53">
        <f>IF(D58="",1,(LOOKUP(D58,$3:$3,$4:$4)-LOOKUP($D$24,$3:$3,$4:$4)+100)/100)</f>
        <v>1</v>
      </c>
      <c r="F58" s="965" t="s">
        <v>3047</v>
      </c>
      <c r="G58" s="53">
        <f>(SUMIF($5:$5,F58,$6:$6)-SUMIF($5:$5,$F$24,$6:$6)+100)/100</f>
        <v>1</v>
      </c>
      <c r="H58" s="965" t="s">
        <v>3055</v>
      </c>
      <c r="I58" s="53">
        <f>(SUMIF($7:$7,H58,$8:$8)-SUMIF($7:$7,$H$24,$8:$8)+100)/100</f>
        <v>1.01</v>
      </c>
      <c r="J58" s="965" t="s">
        <v>3024</v>
      </c>
      <c r="K58" s="53">
        <f>(SUMIF($9:$9,J58,$10:$10)-SUMIF($9:$9,$J$24,$10:$10)+100)/100</f>
        <v>0.96</v>
      </c>
      <c r="L58" s="965"/>
      <c r="M58" s="53">
        <f>(SUMIF($11:$11,L58,$12:$12)-SUMIF($11:$11,$L$24,$12:$12)+100)/100</f>
        <v>1</v>
      </c>
      <c r="N58" s="965"/>
      <c r="O58" s="53">
        <f>(SUMIF($13:$13,N58,$14:$14)-SUMIF($13:$13,$N$24,$14:$14)+100)/100</f>
        <v>1</v>
      </c>
      <c r="P58" s="965"/>
      <c r="Q58" s="53">
        <f>(SUMIF($15:$15,P58,$16:$16)-SUMIF($15:$15,$P$24,$16:$16)+100)/100</f>
        <v>1</v>
      </c>
      <c r="R58" s="965"/>
      <c r="S58" s="53">
        <f>(SUMIF($17:$17,R58,$18:$18)-SUMIF($17:$17,$R$24,$18:$18)+100)/100</f>
        <v>1</v>
      </c>
      <c r="T58" s="493">
        <f ca="1">IF(D58="",0,ROUND($T$24*E58*G58*I58*K58*M58*O58*Q58*S58,0))</f>
        <v>1762</v>
      </c>
      <c r="U58" s="802">
        <f t="shared" ca="1" si="11"/>
        <v>33804</v>
      </c>
      <c r="V58" s="257">
        <v>2.2000000000000002</v>
      </c>
      <c r="W58" s="257">
        <v>87203.83</v>
      </c>
      <c r="X58" s="1977">
        <f t="shared" ca="1" si="8"/>
        <v>258</v>
      </c>
    </row>
    <row r="59" spans="1:24">
      <c r="C59" s="967"/>
      <c r="D59" s="137"/>
      <c r="E59" s="53">
        <f>IF(D59="",1,(LOOKUP(D59,$3:$3,$4:$4)-LOOKUP($D$24,$3:$3,$4:$4)+100)/100)</f>
        <v>1</v>
      </c>
      <c r="F59" s="965"/>
      <c r="G59" s="53">
        <f>(SUMIF($5:$5,F59,$6:$6)-SUMIF($5:$5,$F$24,$6:$6)+100)/100</f>
        <v>0.01</v>
      </c>
      <c r="H59" s="965"/>
      <c r="I59" s="53">
        <f>(SUMIF($7:$7,H59,$8:$8)-SUMIF($7:$7,$H$24,$8:$8)+100)/100</f>
        <v>0.04</v>
      </c>
      <c r="J59" s="965"/>
      <c r="K59" s="53">
        <f>(SUMIF($9:$9,J59,$10:$10)-SUMIF($9:$9,$J$24,$10:$10)+100)/100</f>
        <v>0.04</v>
      </c>
      <c r="L59" s="965"/>
      <c r="M59" s="53">
        <f>(SUMIF($11:$11,L59,$12:$12)-SUMIF($11:$11,$L$24,$12:$12)+100)/100</f>
        <v>1</v>
      </c>
      <c r="N59" s="965"/>
      <c r="O59" s="53">
        <f>(SUMIF($13:$13,N59,$14:$14)-SUMIF($13:$13,$N$24,$14:$14)+100)/100</f>
        <v>1</v>
      </c>
      <c r="P59" s="965"/>
      <c r="Q59" s="53">
        <f>(SUMIF($15:$15,P59,$16:$16)-SUMIF($15:$15,$P$24,$16:$16)+100)/100</f>
        <v>1</v>
      </c>
      <c r="R59" s="965"/>
      <c r="S59" s="53">
        <f>(SUMIF($17:$17,R59,$18:$18)-SUMIF($17:$17,$R$24,$18:$18)+100)/100</f>
        <v>1</v>
      </c>
      <c r="T59" s="493">
        <f>IF(D59="",0,ROUND($T$24*E59*G59*I59*K59*M59*O59*Q59*S59,0))</f>
        <v>0</v>
      </c>
      <c r="U59" s="802">
        <f t="shared" si="11"/>
        <v>0</v>
      </c>
      <c r="W59" s="3486">
        <f>SUM(W24:W58)</f>
        <v>2924331.27</v>
      </c>
    </row>
    <row r="60" spans="1:24">
      <c r="C60" s="967"/>
      <c r="D60" s="137"/>
      <c r="E60" s="53">
        <f>IF(D60="",1,(LOOKUP(D60,$3:$3,$4:$4)-LOOKUP($D$24,$3:$3,$4:$4)+100)/100)</f>
        <v>1</v>
      </c>
      <c r="F60" s="965"/>
      <c r="G60" s="53">
        <f>(SUMIF($5:$5,F60,$6:$6)-SUMIF($5:$5,$F$24,$6:$6)+100)/100</f>
        <v>0.01</v>
      </c>
      <c r="H60" s="965"/>
      <c r="I60" s="53">
        <f>(SUMIF($7:$7,H60,$8:$8)-SUMIF($7:$7,$H$24,$8:$8)+100)/100</f>
        <v>0.04</v>
      </c>
      <c r="J60" s="965"/>
      <c r="K60" s="53">
        <f>(SUMIF($9:$9,J60,$10:$10)-SUMIF($9:$9,$J$24,$10:$10)+100)/100</f>
        <v>0.04</v>
      </c>
      <c r="L60" s="965"/>
      <c r="M60" s="53">
        <f>(SUMIF($11:$11,L60,$12:$12)-SUMIF($11:$11,$L$24,$12:$12)+100)/100</f>
        <v>1</v>
      </c>
      <c r="N60" s="965"/>
      <c r="O60" s="53">
        <f>(SUMIF($13:$13,N60,$14:$14)-SUMIF($13:$13,$N$24,$14:$14)+100)/100</f>
        <v>1</v>
      </c>
      <c r="P60" s="965"/>
      <c r="Q60" s="53">
        <f>(SUMIF($15:$15,P60,$16:$16)-SUMIF($15:$15,$P$24,$16:$16)+100)/100</f>
        <v>1</v>
      </c>
      <c r="R60" s="965"/>
      <c r="S60" s="53">
        <f>(SUMIF($17:$17,R60,$18:$18)-SUMIF($17:$17,$R$24,$18:$18)+100)/100</f>
        <v>1</v>
      </c>
      <c r="T60" s="493">
        <f>IF(D60="",0,ROUND($T$24*E60*G60*I60*K60*M60*O60*Q60*S60,0))</f>
        <v>0</v>
      </c>
      <c r="U60" s="802">
        <f t="shared" si="11"/>
        <v>0</v>
      </c>
      <c r="W60" s="3486">
        <f>W59+[1]典型户型修正!$V$44</f>
        <v>4170014.27</v>
      </c>
    </row>
    <row r="61" spans="1:24">
      <c r="C61" s="967"/>
      <c r="D61" s="137"/>
      <c r="E61" s="53">
        <f>IF(D61="",1,(LOOKUP(D61,$3:$3,$4:$4)-LOOKUP($D$24,$3:$3,$4:$4)+100)/100)</f>
        <v>1</v>
      </c>
      <c r="F61" s="965"/>
      <c r="G61" s="53">
        <f>(SUMIF($5:$5,F61,$6:$6)-SUMIF($5:$5,$F$24,$6:$6)+100)/100</f>
        <v>0.01</v>
      </c>
      <c r="H61" s="965"/>
      <c r="I61" s="53">
        <f>(SUMIF($7:$7,H61,$8:$8)-SUMIF($7:$7,$H$24,$8:$8)+100)/100</f>
        <v>0.04</v>
      </c>
      <c r="J61" s="965"/>
      <c r="K61" s="53">
        <f>(SUMIF($9:$9,J61,$10:$10)-SUMIF($9:$9,$J$24,$10:$10)+100)/100</f>
        <v>0.04</v>
      </c>
      <c r="L61" s="965"/>
      <c r="M61" s="53">
        <f>(SUMIF($11:$11,L61,$12:$12)-SUMIF($11:$11,$L$24,$12:$12)+100)/100</f>
        <v>1</v>
      </c>
      <c r="N61" s="965"/>
      <c r="O61" s="53">
        <f>(SUMIF($13:$13,N61,$14:$14)-SUMIF($13:$13,$N$24,$14:$14)+100)/100</f>
        <v>1</v>
      </c>
      <c r="P61" s="965"/>
      <c r="Q61" s="53">
        <f>(SUMIF($15:$15,P61,$16:$16)-SUMIF($15:$15,$P$24,$16:$16)+100)/100</f>
        <v>1</v>
      </c>
      <c r="R61" s="965"/>
      <c r="S61" s="53">
        <f>(SUMIF($17:$17,R61,$18:$18)-SUMIF($17:$17,$R$24,$18:$18)+100)/100</f>
        <v>1</v>
      </c>
      <c r="T61" s="493">
        <f>IF(D61="",0,ROUND($T$24*E61*G61*I61*K61*M61*O61*Q61*S61,0))</f>
        <v>0</v>
      </c>
      <c r="U61" s="802">
        <f t="shared" si="11"/>
        <v>0</v>
      </c>
      <c r="V61" s="3487" t="s">
        <v>3094</v>
      </c>
      <c r="W61" s="257">
        <f>ROUND(W60/A23,2)</f>
        <v>6254.99</v>
      </c>
    </row>
    <row r="62" spans="1:24">
      <c r="C62" s="967"/>
      <c r="D62" s="137"/>
      <c r="E62" s="53">
        <f>IF(D62="",1,(LOOKUP(D62,$3:$3,$4:$4)-LOOKUP($D$24,$3:$3,$4:$4)+100)/100)</f>
        <v>1</v>
      </c>
      <c r="F62" s="965"/>
      <c r="G62" s="53">
        <f>(SUMIF($5:$5,F62,$6:$6)-SUMIF($5:$5,$F$24,$6:$6)+100)/100</f>
        <v>0.01</v>
      </c>
      <c r="H62" s="965"/>
      <c r="I62" s="53">
        <f>(SUMIF($7:$7,H62,$8:$8)-SUMIF($7:$7,$H$24,$8:$8)+100)/100</f>
        <v>0.04</v>
      </c>
      <c r="J62" s="965"/>
      <c r="K62" s="53">
        <f>(SUMIF($9:$9,J62,$10:$10)-SUMIF($9:$9,$J$24,$10:$10)+100)/100</f>
        <v>0.04</v>
      </c>
      <c r="L62" s="965"/>
      <c r="M62" s="53">
        <f>(SUMIF($11:$11,L62,$12:$12)-SUMIF($11:$11,$L$24,$12:$12)+100)/100</f>
        <v>1</v>
      </c>
      <c r="N62" s="965"/>
      <c r="O62" s="53">
        <f>(SUMIF($13:$13,N62,$14:$14)-SUMIF($13:$13,$N$24,$14:$14)+100)/100</f>
        <v>1</v>
      </c>
      <c r="P62" s="965"/>
      <c r="Q62" s="53">
        <f>(SUMIF($15:$15,P62,$16:$16)-SUMIF($15:$15,$P$24,$16:$16)+100)/100</f>
        <v>1</v>
      </c>
      <c r="R62" s="965"/>
      <c r="S62" s="53">
        <f>(SUMIF($17:$17,R62,$18:$18)-SUMIF($17:$17,$R$24,$18:$18)+100)/100</f>
        <v>1</v>
      </c>
      <c r="T62" s="493">
        <f>IF(D62="",0,ROUND($T$24*E62*G62*I62*K62*M62*O62*Q62*S62,0))</f>
        <v>0</v>
      </c>
      <c r="U62" s="802">
        <f t="shared" si="11"/>
        <v>0</v>
      </c>
      <c r="V62" s="3487" t="s">
        <v>3095</v>
      </c>
      <c r="W62" s="257">
        <f>W61+X70</f>
        <v>6377.53</v>
      </c>
    </row>
    <row r="63" spans="1:24">
      <c r="C63" s="967"/>
      <c r="D63" s="137"/>
      <c r="E63" s="53">
        <f>IF(D63="",1,(LOOKUP(D63,$3:$3,$4:$4)-LOOKUP($D$24,$3:$3,$4:$4)+100)/100)</f>
        <v>1</v>
      </c>
      <c r="F63" s="965"/>
      <c r="G63" s="53">
        <f>(SUMIF($5:$5,F63,$6:$6)-SUMIF($5:$5,$F$24,$6:$6)+100)/100</f>
        <v>0.01</v>
      </c>
      <c r="H63" s="965"/>
      <c r="I63" s="53">
        <f>(SUMIF($7:$7,H63,$8:$8)-SUMIF($7:$7,$H$24,$8:$8)+100)/100</f>
        <v>0.04</v>
      </c>
      <c r="J63" s="965"/>
      <c r="K63" s="53">
        <f>(SUMIF($9:$9,J63,$10:$10)-SUMIF($9:$9,$J$24,$10:$10)+100)/100</f>
        <v>0.04</v>
      </c>
      <c r="L63" s="965"/>
      <c r="M63" s="53">
        <f>(SUMIF($11:$11,L63,$12:$12)-SUMIF($11:$11,$L$24,$12:$12)+100)/100</f>
        <v>1</v>
      </c>
      <c r="N63" s="965"/>
      <c r="O63" s="53">
        <f>(SUMIF($13:$13,N63,$14:$14)-SUMIF($13:$13,$N$24,$14:$14)+100)/100</f>
        <v>1</v>
      </c>
      <c r="P63" s="965"/>
      <c r="Q63" s="53">
        <f>(SUMIF($15:$15,P63,$16:$16)-SUMIF($15:$15,$P$24,$16:$16)+100)/100</f>
        <v>1</v>
      </c>
      <c r="R63" s="965"/>
      <c r="S63" s="53">
        <f>(SUMIF($17:$17,R63,$18:$18)-SUMIF($17:$17,$R$24,$18:$18)+100)/100</f>
        <v>1</v>
      </c>
      <c r="T63" s="493">
        <f>IF(D63="",0,ROUND($T$24*E63*G63*I63*K63*M63*O63*Q63*S63,0))</f>
        <v>0</v>
      </c>
      <c r="U63" s="802">
        <f t="shared" si="11"/>
        <v>0</v>
      </c>
    </row>
    <row r="64" spans="1:24">
      <c r="C64" s="967"/>
      <c r="D64" s="137"/>
      <c r="E64" s="53">
        <f>IF(D64="",1,(LOOKUP(D64,$3:$3,$4:$4)-LOOKUP($D$24,$3:$3,$4:$4)+100)/100)</f>
        <v>1</v>
      </c>
      <c r="F64" s="965"/>
      <c r="G64" s="53">
        <f>(SUMIF($5:$5,F64,$6:$6)-SUMIF($5:$5,$F$24,$6:$6)+100)/100</f>
        <v>0.01</v>
      </c>
      <c r="H64" s="965"/>
      <c r="I64" s="53">
        <f>(SUMIF($7:$7,H64,$8:$8)-SUMIF($7:$7,$H$24,$8:$8)+100)/100</f>
        <v>0.04</v>
      </c>
      <c r="J64" s="965"/>
      <c r="K64" s="53">
        <f>(SUMIF($9:$9,J64,$10:$10)-SUMIF($9:$9,$J$24,$10:$10)+100)/100</f>
        <v>0.04</v>
      </c>
      <c r="L64" s="965"/>
      <c r="M64" s="53">
        <f>(SUMIF($11:$11,L64,$12:$12)-SUMIF($11:$11,$L$24,$12:$12)+100)/100</f>
        <v>1</v>
      </c>
      <c r="N64" s="965"/>
      <c r="O64" s="53">
        <f>(SUMIF($13:$13,N64,$14:$14)-SUMIF($13:$13,$N$24,$14:$14)+100)/100</f>
        <v>1</v>
      </c>
      <c r="P64" s="965"/>
      <c r="Q64" s="53">
        <f>(SUMIF($15:$15,P64,$16:$16)-SUMIF($15:$15,$P$24,$16:$16)+100)/100</f>
        <v>1</v>
      </c>
      <c r="R64" s="965"/>
      <c r="S64" s="53">
        <f>(SUMIF($17:$17,R64,$18:$18)-SUMIF($17:$17,$R$24,$18:$18)+100)/100</f>
        <v>1</v>
      </c>
      <c r="T64" s="493">
        <f>IF(D64="",0,ROUND($T$24*E64*G64*I64*K64*M64*O64*Q64*S64,0))</f>
        <v>0</v>
      </c>
      <c r="U64" s="802">
        <f t="shared" si="11"/>
        <v>0</v>
      </c>
    </row>
    <row r="65" spans="3:25">
      <c r="C65" s="967"/>
      <c r="D65" s="137"/>
      <c r="E65" s="53">
        <f>IF(D65="",1,(LOOKUP(D65,$3:$3,$4:$4)-LOOKUP($D$24,$3:$3,$4:$4)+100)/100)</f>
        <v>1</v>
      </c>
      <c r="F65" s="965"/>
      <c r="G65" s="53">
        <f>(SUMIF($5:$5,F65,$6:$6)-SUMIF($5:$5,$F$24,$6:$6)+100)/100</f>
        <v>0.01</v>
      </c>
      <c r="H65" s="965"/>
      <c r="I65" s="53">
        <f>(SUMIF($7:$7,H65,$8:$8)-SUMIF($7:$7,$H$24,$8:$8)+100)/100</f>
        <v>0.04</v>
      </c>
      <c r="J65" s="965"/>
      <c r="K65" s="53">
        <f>(SUMIF($9:$9,J65,$10:$10)-SUMIF($9:$9,$J$24,$10:$10)+100)/100</f>
        <v>0.04</v>
      </c>
      <c r="L65" s="965"/>
      <c r="M65" s="53">
        <f>(SUMIF($11:$11,L65,$12:$12)-SUMIF($11:$11,$L$24,$12:$12)+100)/100</f>
        <v>1</v>
      </c>
      <c r="N65" s="965"/>
      <c r="O65" s="53">
        <f>(SUMIF($13:$13,N65,$14:$14)-SUMIF($13:$13,$N$24,$14:$14)+100)/100</f>
        <v>1</v>
      </c>
      <c r="P65" s="965"/>
      <c r="Q65" s="53">
        <f>(SUMIF($15:$15,P65,$16:$16)-SUMIF($15:$15,$P$24,$16:$16)+100)/100</f>
        <v>1</v>
      </c>
      <c r="R65" s="965"/>
      <c r="S65" s="53">
        <f>(SUMIF($17:$17,R65,$18:$18)-SUMIF($17:$17,$R$24,$18:$18)+100)/100</f>
        <v>1</v>
      </c>
      <c r="T65" s="493">
        <f>IF(D65="",0,ROUND($T$24*E65*G65*I65*K65*M65*O65*Q65*S65,0))</f>
        <v>0</v>
      </c>
      <c r="U65" s="802">
        <f t="shared" si="11"/>
        <v>0</v>
      </c>
      <c r="W65" s="3487" t="s">
        <v>3090</v>
      </c>
      <c r="Y65" s="3487" t="s">
        <v>3091</v>
      </c>
    </row>
    <row r="66" spans="3:25">
      <c r="C66" s="967"/>
      <c r="D66" s="137"/>
      <c r="E66" s="53">
        <f>IF(D66="",1,(LOOKUP(D66,$3:$3,$4:$4)-LOOKUP($D$24,$3:$3,$4:$4)+100)/100)</f>
        <v>1</v>
      </c>
      <c r="F66" s="965"/>
      <c r="G66" s="53">
        <f>(SUMIF($5:$5,F66,$6:$6)-SUMIF($5:$5,$F$24,$6:$6)+100)/100</f>
        <v>0.01</v>
      </c>
      <c r="H66" s="965"/>
      <c r="I66" s="53">
        <f>(SUMIF($7:$7,H66,$8:$8)-SUMIF($7:$7,$H$24,$8:$8)+100)/100</f>
        <v>0.04</v>
      </c>
      <c r="J66" s="965"/>
      <c r="K66" s="53">
        <f>(SUMIF($9:$9,J66,$10:$10)-SUMIF($9:$9,$J$24,$10:$10)+100)/100</f>
        <v>0.04</v>
      </c>
      <c r="L66" s="965"/>
      <c r="M66" s="53">
        <f>(SUMIF($11:$11,L66,$12:$12)-SUMIF($11:$11,$L$24,$12:$12)+100)/100</f>
        <v>1</v>
      </c>
      <c r="N66" s="965"/>
      <c r="O66" s="53">
        <f>(SUMIF($13:$13,N66,$14:$14)-SUMIF($13:$13,$N$24,$14:$14)+100)/100</f>
        <v>1</v>
      </c>
      <c r="P66" s="965"/>
      <c r="Q66" s="53">
        <f>(SUMIF($15:$15,P66,$16:$16)-SUMIF($15:$15,$P$24,$16:$16)+100)/100</f>
        <v>1</v>
      </c>
      <c r="R66" s="965"/>
      <c r="S66" s="53">
        <f>(SUMIF($17:$17,R66,$18:$18)-SUMIF($17:$17,$R$24,$18:$18)+100)/100</f>
        <v>1</v>
      </c>
      <c r="T66" s="493">
        <f>IF(D66="",0,ROUND($T$24*E66*G66*I66*K66*M66*O66*Q66*S66,0))</f>
        <v>0</v>
      </c>
      <c r="U66" s="802">
        <f t="shared" si="11"/>
        <v>0</v>
      </c>
      <c r="W66" s="257">
        <v>34.090000000000003</v>
      </c>
      <c r="X66" s="257">
        <f>W66</f>
        <v>34.090000000000003</v>
      </c>
      <c r="Y66" s="257">
        <v>251.18</v>
      </c>
    </row>
    <row r="67" spans="3:25">
      <c r="C67" s="967"/>
      <c r="D67" s="137"/>
      <c r="E67" s="53">
        <f>IF(D67="",1,(LOOKUP(D67,$3:$3,$4:$4)-LOOKUP($D$24,$3:$3,$4:$4)+100)/100)</f>
        <v>1</v>
      </c>
      <c r="F67" s="965"/>
      <c r="G67" s="53">
        <f>(SUMIF($5:$5,F67,$6:$6)-SUMIF($5:$5,$F$24,$6:$6)+100)/100</f>
        <v>0.01</v>
      </c>
      <c r="H67" s="965"/>
      <c r="I67" s="53">
        <f>(SUMIF($7:$7,H67,$8:$8)-SUMIF($7:$7,$H$24,$8:$8)+100)/100</f>
        <v>0.04</v>
      </c>
      <c r="J67" s="965"/>
      <c r="K67" s="53">
        <f>(SUMIF($9:$9,J67,$10:$10)-SUMIF($9:$9,$J$24,$10:$10)+100)/100</f>
        <v>0.04</v>
      </c>
      <c r="L67" s="965"/>
      <c r="M67" s="53">
        <f>(SUMIF($11:$11,L67,$12:$12)-SUMIF($11:$11,$L$24,$12:$12)+100)/100</f>
        <v>1</v>
      </c>
      <c r="N67" s="965"/>
      <c r="O67" s="53">
        <f>(SUMIF($13:$13,N67,$14:$14)-SUMIF($13:$13,$N$24,$14:$14)+100)/100</f>
        <v>1</v>
      </c>
      <c r="P67" s="965"/>
      <c r="Q67" s="53">
        <f>(SUMIF($15:$15,P67,$16:$16)-SUMIF($15:$15,$P$24,$16:$16)+100)/100</f>
        <v>1</v>
      </c>
      <c r="R67" s="965"/>
      <c r="S67" s="53">
        <f>(SUMIF($17:$17,R67,$18:$18)-SUMIF($17:$17,$R$24,$18:$18)+100)/100</f>
        <v>1</v>
      </c>
      <c r="T67" s="493">
        <f>IF(D67="",0,ROUND($T$24*E67*G67*I67*K67*M67*O67*Q67*S67,0))</f>
        <v>0</v>
      </c>
      <c r="U67" s="802">
        <f t="shared" si="11"/>
        <v>0</v>
      </c>
      <c r="W67" s="257">
        <v>13483.24</v>
      </c>
      <c r="X67" s="257">
        <f>ROUND(W67/A23,2)</f>
        <v>20.22</v>
      </c>
      <c r="Y67" s="257">
        <v>166.88</v>
      </c>
    </row>
    <row r="68" spans="3:25">
      <c r="C68" s="967"/>
      <c r="D68" s="137"/>
      <c r="E68" s="53">
        <f>IF(D68="",1,(LOOKUP(D68,$3:$3,$4:$4)-LOOKUP($D$24,$3:$3,$4:$4)+100)/100)</f>
        <v>1</v>
      </c>
      <c r="F68" s="965"/>
      <c r="G68" s="53">
        <f>(SUMIF($5:$5,F68,$6:$6)-SUMIF($5:$5,$F$24,$6:$6)+100)/100</f>
        <v>0.01</v>
      </c>
      <c r="H68" s="965"/>
      <c r="I68" s="53">
        <f>(SUMIF($7:$7,H68,$8:$8)-SUMIF($7:$7,$H$24,$8:$8)+100)/100</f>
        <v>0.04</v>
      </c>
      <c r="J68" s="965"/>
      <c r="K68" s="53">
        <f>(SUMIF($9:$9,J68,$10:$10)-SUMIF($9:$9,$J$24,$10:$10)+100)/100</f>
        <v>0.04</v>
      </c>
      <c r="L68" s="965"/>
      <c r="M68" s="53">
        <f>(SUMIF($11:$11,L68,$12:$12)-SUMIF($11:$11,$L$24,$12:$12)+100)/100</f>
        <v>1</v>
      </c>
      <c r="N68" s="965"/>
      <c r="O68" s="53">
        <f>(SUMIF($13:$13,N68,$14:$14)-SUMIF($13:$13,$N$24,$14:$14)+100)/100</f>
        <v>1</v>
      </c>
      <c r="P68" s="965"/>
      <c r="Q68" s="53">
        <f>(SUMIF($15:$15,P68,$16:$16)-SUMIF($15:$15,$P$24,$16:$16)+100)/100</f>
        <v>1</v>
      </c>
      <c r="R68" s="965"/>
      <c r="S68" s="53">
        <f>(SUMIF($17:$17,R68,$18:$18)-SUMIF($17:$17,$R$24,$18:$18)+100)/100</f>
        <v>1</v>
      </c>
      <c r="T68" s="493">
        <f>IF(D68="",0,ROUND($T$24*E68*G68*I68*K68*M68*O68*Q68*S68,0))</f>
        <v>0</v>
      </c>
      <c r="U68" s="802">
        <f t="shared" si="11"/>
        <v>0</v>
      </c>
      <c r="W68" s="257">
        <v>35377.67</v>
      </c>
      <c r="X68" s="257">
        <f>ROUND(W68/A23,2)</f>
        <v>53.07</v>
      </c>
      <c r="Y68" s="257">
        <v>234.36</v>
      </c>
    </row>
    <row r="69" spans="3:25">
      <c r="C69" s="967"/>
      <c r="D69" s="137"/>
      <c r="E69" s="53">
        <f>IF(D69="",1,(LOOKUP(D69,$3:$3,$4:$4)-LOOKUP($D$24,$3:$3,$4:$4)+100)/100)</f>
        <v>1</v>
      </c>
      <c r="F69" s="965"/>
      <c r="G69" s="53">
        <f>(SUMIF($5:$5,F69,$6:$6)-SUMIF($5:$5,$F$24,$6:$6)+100)/100</f>
        <v>0.01</v>
      </c>
      <c r="H69" s="965"/>
      <c r="I69" s="53">
        <f>(SUMIF($7:$7,H69,$8:$8)-SUMIF($7:$7,$H$24,$8:$8)+100)/100</f>
        <v>0.04</v>
      </c>
      <c r="J69" s="965"/>
      <c r="K69" s="53">
        <f>(SUMIF($9:$9,J69,$10:$10)-SUMIF($9:$9,$J$24,$10:$10)+100)/100</f>
        <v>0.04</v>
      </c>
      <c r="L69" s="965"/>
      <c r="M69" s="53">
        <f>(SUMIF($11:$11,L69,$12:$12)-SUMIF($11:$11,$L$24,$12:$12)+100)/100</f>
        <v>1</v>
      </c>
      <c r="N69" s="965"/>
      <c r="O69" s="53">
        <f>(SUMIF($13:$13,N69,$14:$14)-SUMIF($13:$13,$N$24,$14:$14)+100)/100</f>
        <v>1</v>
      </c>
      <c r="P69" s="965"/>
      <c r="Q69" s="53">
        <f>(SUMIF($15:$15,P69,$16:$16)-SUMIF($15:$15,$P$24,$16:$16)+100)/100</f>
        <v>1</v>
      </c>
      <c r="R69" s="965"/>
      <c r="S69" s="53">
        <f>(SUMIF($17:$17,R69,$18:$18)-SUMIF($17:$17,$R$24,$18:$18)+100)/100</f>
        <v>1</v>
      </c>
      <c r="T69" s="493">
        <f>IF(D69="",0,ROUND($T$24*E69*G69*I69*K69*M69*O69*Q69*S69,0))</f>
        <v>0</v>
      </c>
      <c r="U69" s="802">
        <f t="shared" si="11"/>
        <v>0</v>
      </c>
      <c r="W69" s="257">
        <v>15.16</v>
      </c>
      <c r="X69" s="257">
        <f>W69</f>
        <v>15.16</v>
      </c>
      <c r="Y69" s="257">
        <v>292.26</v>
      </c>
    </row>
    <row r="70" spans="3:25">
      <c r="C70" s="967"/>
      <c r="D70" s="137"/>
      <c r="E70" s="53">
        <f>IF(D70="",1,(LOOKUP(D70,$3:$3,$4:$4)-LOOKUP($D$24,$3:$3,$4:$4)+100)/100)</f>
        <v>1</v>
      </c>
      <c r="F70" s="965"/>
      <c r="G70" s="53">
        <f>(SUMIF($5:$5,F70,$6:$6)-SUMIF($5:$5,$F$24,$6:$6)+100)/100</f>
        <v>0.01</v>
      </c>
      <c r="H70" s="965"/>
      <c r="I70" s="53">
        <f>(SUMIF($7:$7,H70,$8:$8)-SUMIF($7:$7,$H$24,$8:$8)+100)/100</f>
        <v>0.04</v>
      </c>
      <c r="J70" s="965"/>
      <c r="K70" s="53">
        <f>(SUMIF($9:$9,J70,$10:$10)-SUMIF($9:$9,$J$24,$10:$10)+100)/100</f>
        <v>0.04</v>
      </c>
      <c r="L70" s="965"/>
      <c r="M70" s="53">
        <f>(SUMIF($11:$11,L70,$12:$12)-SUMIF($11:$11,$L$24,$12:$12)+100)/100</f>
        <v>1</v>
      </c>
      <c r="N70" s="965"/>
      <c r="O70" s="53">
        <f>(SUMIF($13:$13,N70,$14:$14)-SUMIF($13:$13,$N$24,$14:$14)+100)/100</f>
        <v>1</v>
      </c>
      <c r="P70" s="965"/>
      <c r="Q70" s="53">
        <f>(SUMIF($15:$15,P70,$16:$16)-SUMIF($15:$15,$P$24,$16:$16)+100)/100</f>
        <v>1</v>
      </c>
      <c r="R70" s="965"/>
      <c r="S70" s="53">
        <f>(SUMIF($17:$17,R70,$18:$18)-SUMIF($17:$17,$R$24,$18:$18)+100)/100</f>
        <v>1</v>
      </c>
      <c r="T70" s="493">
        <f>IF(D70="",0,ROUND($T$24*E70*G70*I70*K70*M70*O70*Q70*S70,0))</f>
        <v>0</v>
      </c>
      <c r="U70" s="802">
        <f t="shared" si="11"/>
        <v>0</v>
      </c>
      <c r="X70" s="3486">
        <f>SUM(X66:X69)</f>
        <v>122.53999999999999</v>
      </c>
      <c r="Y70" s="257">
        <v>59.07</v>
      </c>
    </row>
    <row r="71" spans="3:25">
      <c r="C71" s="967"/>
      <c r="D71" s="137"/>
      <c r="E71" s="53">
        <f>IF(D71="",1,(LOOKUP(D71,$3:$3,$4:$4)-LOOKUP($D$24,$3:$3,$4:$4)+100)/100)</f>
        <v>1</v>
      </c>
      <c r="F71" s="965"/>
      <c r="G71" s="53">
        <f>(SUMIF($5:$5,F71,$6:$6)-SUMIF($5:$5,$F$24,$6:$6)+100)/100</f>
        <v>0.01</v>
      </c>
      <c r="H71" s="965"/>
      <c r="I71" s="53">
        <f>(SUMIF($7:$7,H71,$8:$8)-SUMIF($7:$7,$H$24,$8:$8)+100)/100</f>
        <v>0.04</v>
      </c>
      <c r="J71" s="965"/>
      <c r="K71" s="53">
        <f>(SUMIF($9:$9,J71,$10:$10)-SUMIF($9:$9,$J$24,$10:$10)+100)/100</f>
        <v>0.04</v>
      </c>
      <c r="L71" s="965"/>
      <c r="M71" s="53">
        <f>(SUMIF($11:$11,L71,$12:$12)-SUMIF($11:$11,$L$24,$12:$12)+100)/100</f>
        <v>1</v>
      </c>
      <c r="N71" s="965"/>
      <c r="O71" s="53">
        <f>(SUMIF($13:$13,N71,$14:$14)-SUMIF($13:$13,$N$24,$14:$14)+100)/100</f>
        <v>1</v>
      </c>
      <c r="P71" s="965"/>
      <c r="Q71" s="53">
        <f>(SUMIF($15:$15,P71,$16:$16)-SUMIF($15:$15,$P$24,$16:$16)+100)/100</f>
        <v>1</v>
      </c>
      <c r="R71" s="965"/>
      <c r="S71" s="53">
        <f>(SUMIF($17:$17,R71,$18:$18)-SUMIF($17:$17,$R$24,$18:$18)+100)/100</f>
        <v>1</v>
      </c>
      <c r="T71" s="493">
        <f>IF(D71="",0,ROUND($T$24*E71*G71*I71*K71*M71*O71*Q71*S71,0))</f>
        <v>0</v>
      </c>
      <c r="U71" s="802">
        <f t="shared" si="11"/>
        <v>0</v>
      </c>
      <c r="Y71" s="3486">
        <f>SUM(Y66:Y70)</f>
        <v>1003.7500000000001</v>
      </c>
    </row>
    <row r="72" spans="3:25">
      <c r="C72" s="967"/>
      <c r="D72" s="137"/>
      <c r="E72" s="53">
        <f>IF(D72="",1,(LOOKUP(D72,$3:$3,$4:$4)-LOOKUP($D$24,$3:$3,$4:$4)+100)/100)</f>
        <v>1</v>
      </c>
      <c r="F72" s="965"/>
      <c r="G72" s="53">
        <f>(SUMIF($5:$5,F72,$6:$6)-SUMIF($5:$5,$F$24,$6:$6)+100)/100</f>
        <v>0.01</v>
      </c>
      <c r="H72" s="965"/>
      <c r="I72" s="53">
        <f>(SUMIF($7:$7,H72,$8:$8)-SUMIF($7:$7,$H$24,$8:$8)+100)/100</f>
        <v>0.04</v>
      </c>
      <c r="J72" s="965"/>
      <c r="K72" s="53">
        <f>(SUMIF($9:$9,J72,$10:$10)-SUMIF($9:$9,$J$24,$10:$10)+100)/100</f>
        <v>0.04</v>
      </c>
      <c r="L72" s="965"/>
      <c r="M72" s="53">
        <f>(SUMIF($11:$11,L72,$12:$12)-SUMIF($11:$11,$L$24,$12:$12)+100)/100</f>
        <v>1</v>
      </c>
      <c r="N72" s="965"/>
      <c r="O72" s="53">
        <f>(SUMIF($13:$13,N72,$14:$14)-SUMIF($13:$13,$N$24,$14:$14)+100)/100</f>
        <v>1</v>
      </c>
      <c r="P72" s="965"/>
      <c r="Q72" s="53">
        <f>(SUMIF($15:$15,P72,$16:$16)-SUMIF($15:$15,$P$24,$16:$16)+100)/100</f>
        <v>1</v>
      </c>
      <c r="R72" s="965"/>
      <c r="S72" s="53">
        <f>(SUMIF($17:$17,R72,$18:$18)-SUMIF($17:$17,$R$24,$18:$18)+100)/100</f>
        <v>1</v>
      </c>
      <c r="T72" s="493">
        <f>IF(D72="",0,ROUND($T$24*E72*G72*I72*K72*M72*O72*Q72*S72,0))</f>
        <v>0</v>
      </c>
      <c r="U72" s="802">
        <f t="shared" si="11"/>
        <v>0</v>
      </c>
      <c r="X72" s="3487" t="s">
        <v>3093</v>
      </c>
      <c r="Y72" s="257">
        <f>W61+X70+Y71</f>
        <v>7381.28</v>
      </c>
    </row>
    <row r="73" spans="3:25">
      <c r="C73" s="967"/>
      <c r="D73" s="137"/>
      <c r="E73" s="53">
        <f>IF(D73="",1,(LOOKUP(D73,$3:$3,$4:$4)-LOOKUP($D$24,$3:$3,$4:$4)+100)/100)</f>
        <v>1</v>
      </c>
      <c r="F73" s="965"/>
      <c r="G73" s="53">
        <f>(SUMIF($5:$5,F73,$6:$6)-SUMIF($5:$5,$F$24,$6:$6)+100)/100</f>
        <v>0.01</v>
      </c>
      <c r="H73" s="965"/>
      <c r="I73" s="53">
        <f>(SUMIF($7:$7,H73,$8:$8)-SUMIF($7:$7,$H$24,$8:$8)+100)/100</f>
        <v>0.04</v>
      </c>
      <c r="J73" s="965"/>
      <c r="K73" s="53">
        <f>(SUMIF($9:$9,J73,$10:$10)-SUMIF($9:$9,$J$24,$10:$10)+100)/100</f>
        <v>0.04</v>
      </c>
      <c r="L73" s="965"/>
      <c r="M73" s="53">
        <f>(SUMIF($11:$11,L73,$12:$12)-SUMIF($11:$11,$L$24,$12:$12)+100)/100</f>
        <v>1</v>
      </c>
      <c r="N73" s="965"/>
      <c r="O73" s="53">
        <f>(SUMIF($13:$13,N73,$14:$14)-SUMIF($13:$13,$N$24,$14:$14)+100)/100</f>
        <v>1</v>
      </c>
      <c r="P73" s="965"/>
      <c r="Q73" s="53">
        <f>(SUMIF($15:$15,P73,$16:$16)-SUMIF($15:$15,$P$24,$16:$16)+100)/100</f>
        <v>1</v>
      </c>
      <c r="R73" s="965"/>
      <c r="S73" s="53">
        <f>(SUMIF($17:$17,R73,$18:$18)-SUMIF($17:$17,$R$24,$18:$18)+100)/100</f>
        <v>1</v>
      </c>
      <c r="T73" s="493">
        <f>IF(D73="",0,ROUND($T$24*E73*G73*I73*K73*M73*O73*Q73*S73,0))</f>
        <v>0</v>
      </c>
      <c r="U73" s="802">
        <f t="shared" si="11"/>
        <v>0</v>
      </c>
      <c r="X73" s="3487" t="s">
        <v>3092</v>
      </c>
      <c r="Y73" s="257">
        <f>2210.25+747.57+1276.61+2213.23</f>
        <v>6447.66</v>
      </c>
    </row>
    <row r="74" spans="3:25">
      <c r="C74" s="967"/>
      <c r="D74" s="137"/>
      <c r="E74" s="53">
        <f>IF(D74="",1,(LOOKUP(D74,$3:$3,$4:$4)-LOOKUP($D$24,$3:$3,$4:$4)+100)/100)</f>
        <v>1</v>
      </c>
      <c r="F74" s="965"/>
      <c r="G74" s="53">
        <f>(SUMIF($5:$5,F74,$6:$6)-SUMIF($5:$5,$F$24,$6:$6)+100)/100</f>
        <v>0.01</v>
      </c>
      <c r="H74" s="965"/>
      <c r="I74" s="53">
        <f>(SUMIF($7:$7,H74,$8:$8)-SUMIF($7:$7,$H$24,$8:$8)+100)/100</f>
        <v>0.04</v>
      </c>
      <c r="J74" s="965"/>
      <c r="K74" s="53">
        <f>(SUMIF($9:$9,J74,$10:$10)-SUMIF($9:$9,$J$24,$10:$10)+100)/100</f>
        <v>0.04</v>
      </c>
      <c r="L74" s="965"/>
      <c r="M74" s="53">
        <f>(SUMIF($11:$11,L74,$12:$12)-SUMIF($11:$11,$L$24,$12:$12)+100)/100</f>
        <v>1</v>
      </c>
      <c r="N74" s="965"/>
      <c r="O74" s="53">
        <f>(SUMIF($13:$13,N74,$14:$14)-SUMIF($13:$13,$N$24,$14:$14)+100)/100</f>
        <v>1</v>
      </c>
      <c r="P74" s="965"/>
      <c r="Q74" s="53">
        <f>(SUMIF($15:$15,P74,$16:$16)-SUMIF($15:$15,$P$24,$16:$16)+100)/100</f>
        <v>1</v>
      </c>
      <c r="R74" s="965"/>
      <c r="S74" s="53">
        <f>(SUMIF($17:$17,R74,$18:$18)-SUMIF($17:$17,$R$24,$18:$18)+100)/100</f>
        <v>1</v>
      </c>
      <c r="T74" s="493">
        <f>IF(D74="",0,ROUND($T$24*E74*G74*I74*K74*M74*O74*Q74*S74,0))</f>
        <v>0</v>
      </c>
      <c r="U74" s="802">
        <f t="shared" si="11"/>
        <v>0</v>
      </c>
    </row>
    <row r="75" spans="3:25">
      <c r="C75" s="967"/>
      <c r="D75" s="137"/>
      <c r="E75" s="53">
        <f>IF(D75="",1,(LOOKUP(D75,$3:$3,$4:$4)-LOOKUP($D$24,$3:$3,$4:$4)+100)/100)</f>
        <v>1</v>
      </c>
      <c r="F75" s="965"/>
      <c r="G75" s="53">
        <f>(SUMIF($5:$5,F75,$6:$6)-SUMIF($5:$5,$F$24,$6:$6)+100)/100</f>
        <v>0.01</v>
      </c>
      <c r="H75" s="965"/>
      <c r="I75" s="53">
        <f>(SUMIF($7:$7,H75,$8:$8)-SUMIF($7:$7,$H$24,$8:$8)+100)/100</f>
        <v>0.04</v>
      </c>
      <c r="J75" s="965"/>
      <c r="K75" s="53">
        <f>(SUMIF($9:$9,J75,$10:$10)-SUMIF($9:$9,$J$24,$10:$10)+100)/100</f>
        <v>0.04</v>
      </c>
      <c r="L75" s="965"/>
      <c r="M75" s="53">
        <f>(SUMIF($11:$11,L75,$12:$12)-SUMIF($11:$11,$L$24,$12:$12)+100)/100</f>
        <v>1</v>
      </c>
      <c r="N75" s="965"/>
      <c r="O75" s="53">
        <f>(SUMIF($13:$13,N75,$14:$14)-SUMIF($13:$13,$N$24,$14:$14)+100)/100</f>
        <v>1</v>
      </c>
      <c r="P75" s="965"/>
      <c r="Q75" s="53">
        <f>(SUMIF($15:$15,P75,$16:$16)-SUMIF($15:$15,$P$24,$16:$16)+100)/100</f>
        <v>1</v>
      </c>
      <c r="R75" s="965"/>
      <c r="S75" s="53">
        <f>(SUMIF($17:$17,R75,$18:$18)-SUMIF($17:$17,$R$24,$18:$18)+100)/100</f>
        <v>1</v>
      </c>
      <c r="T75" s="493">
        <f>IF(D75="",0,ROUND($T$24*E75*G75*I75*K75*M75*O75*Q75*S75,0))</f>
        <v>0</v>
      </c>
      <c r="U75" s="802">
        <f t="shared" si="11"/>
        <v>0</v>
      </c>
    </row>
    <row r="76" spans="3:25">
      <c r="C76" s="967"/>
      <c r="D76" s="137"/>
      <c r="E76" s="53">
        <f>IF(D76="",1,(LOOKUP(D76,$3:$3,$4:$4)-LOOKUP($D$24,$3:$3,$4:$4)+100)/100)</f>
        <v>1</v>
      </c>
      <c r="F76" s="965"/>
      <c r="G76" s="53">
        <f>(SUMIF($5:$5,F76,$6:$6)-SUMIF($5:$5,$F$24,$6:$6)+100)/100</f>
        <v>0.01</v>
      </c>
      <c r="H76" s="965"/>
      <c r="I76" s="53">
        <f>(SUMIF($7:$7,H76,$8:$8)-SUMIF($7:$7,$H$24,$8:$8)+100)/100</f>
        <v>0.04</v>
      </c>
      <c r="J76" s="965"/>
      <c r="K76" s="53">
        <f>(SUMIF($9:$9,J76,$10:$10)-SUMIF($9:$9,$J$24,$10:$10)+100)/100</f>
        <v>0.04</v>
      </c>
      <c r="L76" s="965"/>
      <c r="M76" s="53">
        <f>(SUMIF($11:$11,L76,$12:$12)-SUMIF($11:$11,$L$24,$12:$12)+100)/100</f>
        <v>1</v>
      </c>
      <c r="N76" s="965"/>
      <c r="O76" s="53">
        <f>(SUMIF($13:$13,N76,$14:$14)-SUMIF($13:$13,$N$24,$14:$14)+100)/100</f>
        <v>1</v>
      </c>
      <c r="P76" s="965"/>
      <c r="Q76" s="53">
        <f>(SUMIF($15:$15,P76,$16:$16)-SUMIF($15:$15,$P$24,$16:$16)+100)/100</f>
        <v>1</v>
      </c>
      <c r="R76" s="965"/>
      <c r="S76" s="53">
        <f>(SUMIF($17:$17,R76,$18:$18)-SUMIF($17:$17,$R$24,$18:$18)+100)/100</f>
        <v>1</v>
      </c>
      <c r="T76" s="493">
        <f>IF(D76="",0,ROUND($T$24*E76*G76*I76*K76*M76*O76*Q76*S76,0))</f>
        <v>0</v>
      </c>
      <c r="U76" s="802">
        <f t="shared" si="11"/>
        <v>0</v>
      </c>
    </row>
    <row r="77" spans="3:25">
      <c r="C77" s="967"/>
      <c r="D77" s="137"/>
      <c r="E77" s="53">
        <f>IF(D77="",1,(LOOKUP(D77,$3:$3,$4:$4)-LOOKUP($D$24,$3:$3,$4:$4)+100)/100)</f>
        <v>1</v>
      </c>
      <c r="F77" s="965"/>
      <c r="G77" s="53">
        <f>(SUMIF($5:$5,F77,$6:$6)-SUMIF($5:$5,$F$24,$6:$6)+100)/100</f>
        <v>0.01</v>
      </c>
      <c r="H77" s="965"/>
      <c r="I77" s="53">
        <f>(SUMIF($7:$7,H77,$8:$8)-SUMIF($7:$7,$H$24,$8:$8)+100)/100</f>
        <v>0.04</v>
      </c>
      <c r="J77" s="965"/>
      <c r="K77" s="53">
        <f>(SUMIF($9:$9,J77,$10:$10)-SUMIF($9:$9,$J$24,$10:$10)+100)/100</f>
        <v>0.04</v>
      </c>
      <c r="L77" s="965"/>
      <c r="M77" s="53">
        <f>(SUMIF($11:$11,L77,$12:$12)-SUMIF($11:$11,$L$24,$12:$12)+100)/100</f>
        <v>1</v>
      </c>
      <c r="N77" s="965"/>
      <c r="O77" s="53">
        <f>(SUMIF($13:$13,N77,$14:$14)-SUMIF($13:$13,$N$24,$14:$14)+100)/100</f>
        <v>1</v>
      </c>
      <c r="P77" s="965"/>
      <c r="Q77" s="53">
        <f>(SUMIF($15:$15,P77,$16:$16)-SUMIF($15:$15,$P$24,$16:$16)+100)/100</f>
        <v>1</v>
      </c>
      <c r="R77" s="965"/>
      <c r="S77" s="53">
        <f>(SUMIF($17:$17,R77,$18:$18)-SUMIF($17:$17,$R$24,$18:$18)+100)/100</f>
        <v>1</v>
      </c>
      <c r="T77" s="493">
        <f>IF(D77="",0,ROUND($T$24*E77*G77*I77*K77*M77*O77*Q77*S77,0))</f>
        <v>0</v>
      </c>
      <c r="U77" s="802">
        <f t="shared" si="11"/>
        <v>0</v>
      </c>
    </row>
    <row r="78" spans="3:25">
      <c r="C78" s="967"/>
      <c r="D78" s="137"/>
      <c r="E78" s="53">
        <f>IF(D78="",1,(LOOKUP(D78,$3:$3,$4:$4)-LOOKUP($D$24,$3:$3,$4:$4)+100)/100)</f>
        <v>1</v>
      </c>
      <c r="F78" s="965"/>
      <c r="G78" s="53">
        <f>(SUMIF($5:$5,F78,$6:$6)-SUMIF($5:$5,$F$24,$6:$6)+100)/100</f>
        <v>0.01</v>
      </c>
      <c r="H78" s="965"/>
      <c r="I78" s="53">
        <f>(SUMIF($7:$7,H78,$8:$8)-SUMIF($7:$7,$H$24,$8:$8)+100)/100</f>
        <v>0.04</v>
      </c>
      <c r="J78" s="965"/>
      <c r="K78" s="53">
        <f>(SUMIF($9:$9,J78,$10:$10)-SUMIF($9:$9,$J$24,$10:$10)+100)/100</f>
        <v>0.04</v>
      </c>
      <c r="L78" s="965"/>
      <c r="M78" s="53">
        <f>(SUMIF($11:$11,L78,$12:$12)-SUMIF($11:$11,$L$24,$12:$12)+100)/100</f>
        <v>1</v>
      </c>
      <c r="N78" s="965"/>
      <c r="O78" s="53">
        <f>(SUMIF($13:$13,N78,$14:$14)-SUMIF($13:$13,$N$24,$14:$14)+100)/100</f>
        <v>1</v>
      </c>
      <c r="P78" s="965"/>
      <c r="Q78" s="53">
        <f>(SUMIF($15:$15,P78,$16:$16)-SUMIF($15:$15,$P$24,$16:$16)+100)/100</f>
        <v>1</v>
      </c>
      <c r="R78" s="965"/>
      <c r="S78" s="53">
        <f>(SUMIF($17:$17,R78,$18:$18)-SUMIF($17:$17,$R$24,$18:$18)+100)/100</f>
        <v>1</v>
      </c>
      <c r="T78" s="493">
        <f>IF(D78="",0,ROUND($T$24*E78*G78*I78*K78*M78*O78*Q78*S78,0))</f>
        <v>0</v>
      </c>
      <c r="U78" s="802">
        <f t="shared" ref="U78:U122" si="13">ROUND(T78*D78/10000,0)</f>
        <v>0</v>
      </c>
    </row>
    <row r="79" spans="3:25">
      <c r="C79" s="967"/>
      <c r="D79" s="137"/>
      <c r="E79" s="53">
        <f>IF(D79="",1,(LOOKUP(D79,$3:$3,$4:$4)-LOOKUP($D$24,$3:$3,$4:$4)+100)/100)</f>
        <v>1</v>
      </c>
      <c r="F79" s="965"/>
      <c r="G79" s="53">
        <f>(SUMIF($5:$5,F79,$6:$6)-SUMIF($5:$5,$F$24,$6:$6)+100)/100</f>
        <v>0.01</v>
      </c>
      <c r="H79" s="965"/>
      <c r="I79" s="53">
        <f>(SUMIF($7:$7,H79,$8:$8)-SUMIF($7:$7,$H$24,$8:$8)+100)/100</f>
        <v>0.04</v>
      </c>
      <c r="J79" s="965"/>
      <c r="K79" s="53">
        <f>(SUMIF($9:$9,J79,$10:$10)-SUMIF($9:$9,$J$24,$10:$10)+100)/100</f>
        <v>0.04</v>
      </c>
      <c r="L79" s="965"/>
      <c r="M79" s="53">
        <f>(SUMIF($11:$11,L79,$12:$12)-SUMIF($11:$11,$L$24,$12:$12)+100)/100</f>
        <v>1</v>
      </c>
      <c r="N79" s="965"/>
      <c r="O79" s="53">
        <f>(SUMIF($13:$13,N79,$14:$14)-SUMIF($13:$13,$N$24,$14:$14)+100)/100</f>
        <v>1</v>
      </c>
      <c r="P79" s="965"/>
      <c r="Q79" s="53">
        <f>(SUMIF($15:$15,P79,$16:$16)-SUMIF($15:$15,$P$24,$16:$16)+100)/100</f>
        <v>1</v>
      </c>
      <c r="R79" s="965"/>
      <c r="S79" s="53">
        <f>(SUMIF($17:$17,R79,$18:$18)-SUMIF($17:$17,$R$24,$18:$18)+100)/100</f>
        <v>1</v>
      </c>
      <c r="T79" s="493">
        <f>IF(D79="",0,ROUND($T$24*E79*G79*I79*K79*M79*O79*Q79*S79,0))</f>
        <v>0</v>
      </c>
      <c r="U79" s="802">
        <f t="shared" si="13"/>
        <v>0</v>
      </c>
    </row>
    <row r="80" spans="3:25">
      <c r="C80" s="967"/>
      <c r="D80" s="137"/>
      <c r="E80" s="53">
        <f>IF(D80="",1,(LOOKUP(D80,$3:$3,$4:$4)-LOOKUP($D$24,$3:$3,$4:$4)+100)/100)</f>
        <v>1</v>
      </c>
      <c r="F80" s="965"/>
      <c r="G80" s="53">
        <f>(SUMIF($5:$5,F80,$6:$6)-SUMIF($5:$5,$F$24,$6:$6)+100)/100</f>
        <v>0.01</v>
      </c>
      <c r="H80" s="965"/>
      <c r="I80" s="53">
        <f>(SUMIF($7:$7,H80,$8:$8)-SUMIF($7:$7,$H$24,$8:$8)+100)/100</f>
        <v>0.04</v>
      </c>
      <c r="J80" s="965"/>
      <c r="K80" s="53">
        <f>(SUMIF($9:$9,J80,$10:$10)-SUMIF($9:$9,$J$24,$10:$10)+100)/100</f>
        <v>0.04</v>
      </c>
      <c r="L80" s="965"/>
      <c r="M80" s="53">
        <f>(SUMIF($11:$11,L80,$12:$12)-SUMIF($11:$11,$L$24,$12:$12)+100)/100</f>
        <v>1</v>
      </c>
      <c r="N80" s="965"/>
      <c r="O80" s="53">
        <f>(SUMIF($13:$13,N80,$14:$14)-SUMIF($13:$13,$N$24,$14:$14)+100)/100</f>
        <v>1</v>
      </c>
      <c r="P80" s="965"/>
      <c r="Q80" s="53">
        <f>(SUMIF($15:$15,P80,$16:$16)-SUMIF($15:$15,$P$24,$16:$16)+100)/100</f>
        <v>1</v>
      </c>
      <c r="R80" s="965"/>
      <c r="S80" s="53">
        <f>(SUMIF($17:$17,R80,$18:$18)-SUMIF($17:$17,$R$24,$18:$18)+100)/100</f>
        <v>1</v>
      </c>
      <c r="T80" s="493">
        <f>IF(D80="",0,ROUND($T$24*E80*G80*I80*K80*M80*O80*Q80*S80,0))</f>
        <v>0</v>
      </c>
      <c r="U80" s="802">
        <f t="shared" si="13"/>
        <v>0</v>
      </c>
    </row>
    <row r="81" spans="3:21">
      <c r="C81" s="967"/>
      <c r="D81" s="137"/>
      <c r="E81" s="53">
        <f>IF(D81="",1,(LOOKUP(D81,$3:$3,$4:$4)-LOOKUP($D$24,$3:$3,$4:$4)+100)/100)</f>
        <v>1</v>
      </c>
      <c r="F81" s="965"/>
      <c r="G81" s="53">
        <f>(SUMIF($5:$5,F81,$6:$6)-SUMIF($5:$5,$F$24,$6:$6)+100)/100</f>
        <v>0.01</v>
      </c>
      <c r="H81" s="965"/>
      <c r="I81" s="53">
        <f>(SUMIF($7:$7,H81,$8:$8)-SUMIF($7:$7,$H$24,$8:$8)+100)/100</f>
        <v>0.04</v>
      </c>
      <c r="J81" s="965"/>
      <c r="K81" s="53">
        <f>(SUMIF($9:$9,J81,$10:$10)-SUMIF($9:$9,$J$24,$10:$10)+100)/100</f>
        <v>0.04</v>
      </c>
      <c r="L81" s="965"/>
      <c r="M81" s="53">
        <f>(SUMIF($11:$11,L81,$12:$12)-SUMIF($11:$11,$L$24,$12:$12)+100)/100</f>
        <v>1</v>
      </c>
      <c r="N81" s="965"/>
      <c r="O81" s="53">
        <f>(SUMIF($13:$13,N81,$14:$14)-SUMIF($13:$13,$N$24,$14:$14)+100)/100</f>
        <v>1</v>
      </c>
      <c r="P81" s="965"/>
      <c r="Q81" s="53">
        <f>(SUMIF($15:$15,P81,$16:$16)-SUMIF($15:$15,$P$24,$16:$16)+100)/100</f>
        <v>1</v>
      </c>
      <c r="R81" s="965"/>
      <c r="S81" s="53">
        <f>(SUMIF($17:$17,R81,$18:$18)-SUMIF($17:$17,$R$24,$18:$18)+100)/100</f>
        <v>1</v>
      </c>
      <c r="T81" s="493">
        <f>IF(D81="",0,ROUND($T$24*E81*G81*I81*K81*M81*O81*Q81*S81,0))</f>
        <v>0</v>
      </c>
      <c r="U81" s="802">
        <f t="shared" si="13"/>
        <v>0</v>
      </c>
    </row>
    <row r="82" spans="3:21">
      <c r="C82" s="967"/>
      <c r="D82" s="137"/>
      <c r="E82" s="53">
        <f>IF(D82="",1,(LOOKUP(D82,$3:$3,$4:$4)-LOOKUP($D$24,$3:$3,$4:$4)+100)/100)</f>
        <v>1</v>
      </c>
      <c r="F82" s="965"/>
      <c r="G82" s="53">
        <f>(SUMIF($5:$5,F82,$6:$6)-SUMIF($5:$5,$F$24,$6:$6)+100)/100</f>
        <v>0.01</v>
      </c>
      <c r="H82" s="965"/>
      <c r="I82" s="53">
        <f>(SUMIF($7:$7,H82,$8:$8)-SUMIF($7:$7,$H$24,$8:$8)+100)/100</f>
        <v>0.04</v>
      </c>
      <c r="J82" s="965"/>
      <c r="K82" s="53">
        <f>(SUMIF($9:$9,J82,$10:$10)-SUMIF($9:$9,$J$24,$10:$10)+100)/100</f>
        <v>0.04</v>
      </c>
      <c r="L82" s="965"/>
      <c r="M82" s="53">
        <f>(SUMIF($11:$11,L82,$12:$12)-SUMIF($11:$11,$L$24,$12:$12)+100)/100</f>
        <v>1</v>
      </c>
      <c r="N82" s="965"/>
      <c r="O82" s="53">
        <f>(SUMIF($13:$13,N82,$14:$14)-SUMIF($13:$13,$N$24,$14:$14)+100)/100</f>
        <v>1</v>
      </c>
      <c r="P82" s="965"/>
      <c r="Q82" s="53">
        <f>(SUMIF($15:$15,P82,$16:$16)-SUMIF($15:$15,$P$24,$16:$16)+100)/100</f>
        <v>1</v>
      </c>
      <c r="R82" s="965"/>
      <c r="S82" s="53">
        <f>(SUMIF($17:$17,R82,$18:$18)-SUMIF($17:$17,$R$24,$18:$18)+100)/100</f>
        <v>1</v>
      </c>
      <c r="T82" s="493">
        <f>IF(D82="",0,ROUND($T$24*E82*G82*I82*K82*M82*O82*Q82*S82,0))</f>
        <v>0</v>
      </c>
      <c r="U82" s="802">
        <f t="shared" si="13"/>
        <v>0</v>
      </c>
    </row>
    <row r="83" spans="3:21">
      <c r="C83" s="967"/>
      <c r="D83" s="137"/>
      <c r="E83" s="53">
        <f>IF(D83="",1,(LOOKUP(D83,$3:$3,$4:$4)-LOOKUP($D$24,$3:$3,$4:$4)+100)/100)</f>
        <v>1</v>
      </c>
      <c r="F83" s="965"/>
      <c r="G83" s="53">
        <f>(SUMIF($5:$5,F83,$6:$6)-SUMIF($5:$5,$F$24,$6:$6)+100)/100</f>
        <v>0.01</v>
      </c>
      <c r="H83" s="965"/>
      <c r="I83" s="53">
        <f>(SUMIF($7:$7,H83,$8:$8)-SUMIF($7:$7,$H$24,$8:$8)+100)/100</f>
        <v>0.04</v>
      </c>
      <c r="J83" s="965"/>
      <c r="K83" s="53">
        <f>(SUMIF($9:$9,J83,$10:$10)-SUMIF($9:$9,$J$24,$10:$10)+100)/100</f>
        <v>0.04</v>
      </c>
      <c r="L83" s="965"/>
      <c r="M83" s="53">
        <f>(SUMIF($11:$11,L83,$12:$12)-SUMIF($11:$11,$L$24,$12:$12)+100)/100</f>
        <v>1</v>
      </c>
      <c r="N83" s="965"/>
      <c r="O83" s="53">
        <f>(SUMIF($13:$13,N83,$14:$14)-SUMIF($13:$13,$N$24,$14:$14)+100)/100</f>
        <v>1</v>
      </c>
      <c r="P83" s="965"/>
      <c r="Q83" s="53">
        <f>(SUMIF($15:$15,P83,$16:$16)-SUMIF($15:$15,$P$24,$16:$16)+100)/100</f>
        <v>1</v>
      </c>
      <c r="R83" s="965"/>
      <c r="S83" s="53">
        <f>(SUMIF($17:$17,R83,$18:$18)-SUMIF($17:$17,$R$24,$18:$18)+100)/100</f>
        <v>1</v>
      </c>
      <c r="T83" s="493">
        <f>IF(D83="",0,ROUND($T$24*E83*G83*I83*K83*M83*O83*Q83*S83,0))</f>
        <v>0</v>
      </c>
      <c r="U83" s="802">
        <f t="shared" si="13"/>
        <v>0</v>
      </c>
    </row>
    <row r="84" spans="3:21">
      <c r="C84" s="967"/>
      <c r="D84" s="137"/>
      <c r="E84" s="53">
        <f>IF(D84="",1,(LOOKUP(D84,$3:$3,$4:$4)-LOOKUP($D$24,$3:$3,$4:$4)+100)/100)</f>
        <v>1</v>
      </c>
      <c r="F84" s="965"/>
      <c r="G84" s="53">
        <f>(SUMIF($5:$5,F84,$6:$6)-SUMIF($5:$5,$F$24,$6:$6)+100)/100</f>
        <v>0.01</v>
      </c>
      <c r="H84" s="965"/>
      <c r="I84" s="53">
        <f>(SUMIF($7:$7,H84,$8:$8)-SUMIF($7:$7,$H$24,$8:$8)+100)/100</f>
        <v>0.04</v>
      </c>
      <c r="J84" s="965"/>
      <c r="K84" s="53">
        <f>(SUMIF($9:$9,J84,$10:$10)-SUMIF($9:$9,$J$24,$10:$10)+100)/100</f>
        <v>0.04</v>
      </c>
      <c r="L84" s="965"/>
      <c r="M84" s="53">
        <f>(SUMIF($11:$11,L84,$12:$12)-SUMIF($11:$11,$L$24,$12:$12)+100)/100</f>
        <v>1</v>
      </c>
      <c r="N84" s="965"/>
      <c r="O84" s="53">
        <f>(SUMIF($13:$13,N84,$14:$14)-SUMIF($13:$13,$N$24,$14:$14)+100)/100</f>
        <v>1</v>
      </c>
      <c r="P84" s="965"/>
      <c r="Q84" s="53">
        <f>(SUMIF($15:$15,P84,$16:$16)-SUMIF($15:$15,$P$24,$16:$16)+100)/100</f>
        <v>1</v>
      </c>
      <c r="R84" s="965"/>
      <c r="S84" s="53">
        <f>(SUMIF($17:$17,R84,$18:$18)-SUMIF($17:$17,$R$24,$18:$18)+100)/100</f>
        <v>1</v>
      </c>
      <c r="T84" s="493">
        <f>IF(D84="",0,ROUND($T$24*E84*G84*I84*K84*M84*O84*Q84*S84,0))</f>
        <v>0</v>
      </c>
      <c r="U84" s="802">
        <f t="shared" si="13"/>
        <v>0</v>
      </c>
    </row>
    <row r="85" spans="3:21">
      <c r="C85" s="967"/>
      <c r="D85" s="137"/>
      <c r="E85" s="53">
        <f>IF(D85="",1,(LOOKUP(D85,$3:$3,$4:$4)-LOOKUP($D$24,$3:$3,$4:$4)+100)/100)</f>
        <v>1</v>
      </c>
      <c r="F85" s="965"/>
      <c r="G85" s="53">
        <f>(SUMIF($5:$5,F85,$6:$6)-SUMIF($5:$5,$F$24,$6:$6)+100)/100</f>
        <v>0.01</v>
      </c>
      <c r="H85" s="965"/>
      <c r="I85" s="53">
        <f>(SUMIF($7:$7,H85,$8:$8)-SUMIF($7:$7,$H$24,$8:$8)+100)/100</f>
        <v>0.04</v>
      </c>
      <c r="J85" s="965"/>
      <c r="K85" s="53">
        <f>(SUMIF($9:$9,J85,$10:$10)-SUMIF($9:$9,$J$24,$10:$10)+100)/100</f>
        <v>0.04</v>
      </c>
      <c r="L85" s="965"/>
      <c r="M85" s="53">
        <f>(SUMIF($11:$11,L85,$12:$12)-SUMIF($11:$11,$L$24,$12:$12)+100)/100</f>
        <v>1</v>
      </c>
      <c r="N85" s="965"/>
      <c r="O85" s="53">
        <f>(SUMIF($13:$13,N85,$14:$14)-SUMIF($13:$13,$N$24,$14:$14)+100)/100</f>
        <v>1</v>
      </c>
      <c r="P85" s="965"/>
      <c r="Q85" s="53">
        <f>(SUMIF($15:$15,P85,$16:$16)-SUMIF($15:$15,$P$24,$16:$16)+100)/100</f>
        <v>1</v>
      </c>
      <c r="R85" s="965"/>
      <c r="S85" s="53">
        <f>(SUMIF($17:$17,R85,$18:$18)-SUMIF($17:$17,$R$24,$18:$18)+100)/100</f>
        <v>1</v>
      </c>
      <c r="T85" s="493">
        <f>IF(D85="",0,ROUND($T$24*E85*G85*I85*K85*M85*O85*Q85*S85,0))</f>
        <v>0</v>
      </c>
      <c r="U85" s="802">
        <f t="shared" si="13"/>
        <v>0</v>
      </c>
    </row>
    <row r="86" spans="3:21">
      <c r="C86" s="967"/>
      <c r="D86" s="137"/>
      <c r="E86" s="53">
        <f>IF(D86="",1,(LOOKUP(D86,$3:$3,$4:$4)-LOOKUP($D$24,$3:$3,$4:$4)+100)/100)</f>
        <v>1</v>
      </c>
      <c r="F86" s="965"/>
      <c r="G86" s="53">
        <f>(SUMIF($5:$5,F86,$6:$6)-SUMIF($5:$5,$F$24,$6:$6)+100)/100</f>
        <v>0.01</v>
      </c>
      <c r="H86" s="965"/>
      <c r="I86" s="53">
        <f>(SUMIF($7:$7,H86,$8:$8)-SUMIF($7:$7,$H$24,$8:$8)+100)/100</f>
        <v>0.04</v>
      </c>
      <c r="J86" s="965"/>
      <c r="K86" s="53">
        <f>(SUMIF($9:$9,J86,$10:$10)-SUMIF($9:$9,$J$24,$10:$10)+100)/100</f>
        <v>0.04</v>
      </c>
      <c r="L86" s="965"/>
      <c r="M86" s="53">
        <f>(SUMIF($11:$11,L86,$12:$12)-SUMIF($11:$11,$L$24,$12:$12)+100)/100</f>
        <v>1</v>
      </c>
      <c r="N86" s="965"/>
      <c r="O86" s="53">
        <f>(SUMIF($13:$13,N86,$14:$14)-SUMIF($13:$13,$N$24,$14:$14)+100)/100</f>
        <v>1</v>
      </c>
      <c r="P86" s="965"/>
      <c r="Q86" s="53">
        <f>(SUMIF($15:$15,P86,$16:$16)-SUMIF($15:$15,$P$24,$16:$16)+100)/100</f>
        <v>1</v>
      </c>
      <c r="R86" s="965"/>
      <c r="S86" s="53">
        <f>(SUMIF($17:$17,R86,$18:$18)-SUMIF($17:$17,$R$24,$18:$18)+100)/100</f>
        <v>1</v>
      </c>
      <c r="T86" s="493">
        <f>IF(D86="",0,ROUND($T$24*E86*G86*I86*K86*M86*O86*Q86*S86,0))</f>
        <v>0</v>
      </c>
      <c r="U86" s="802">
        <f t="shared" si="13"/>
        <v>0</v>
      </c>
    </row>
    <row r="87" spans="3:21">
      <c r="C87" s="967"/>
      <c r="D87" s="137"/>
      <c r="E87" s="53">
        <f>IF(D87="",1,(LOOKUP(D87,$3:$3,$4:$4)-LOOKUP($D$24,$3:$3,$4:$4)+100)/100)</f>
        <v>1</v>
      </c>
      <c r="F87" s="965"/>
      <c r="G87" s="53">
        <f>(SUMIF($5:$5,F87,$6:$6)-SUMIF($5:$5,$F$24,$6:$6)+100)/100</f>
        <v>0.01</v>
      </c>
      <c r="H87" s="965"/>
      <c r="I87" s="53">
        <f>(SUMIF($7:$7,H87,$8:$8)-SUMIF($7:$7,$H$24,$8:$8)+100)/100</f>
        <v>0.04</v>
      </c>
      <c r="J87" s="965"/>
      <c r="K87" s="53">
        <f>(SUMIF($9:$9,J87,$10:$10)-SUMIF($9:$9,$J$24,$10:$10)+100)/100</f>
        <v>0.04</v>
      </c>
      <c r="L87" s="965"/>
      <c r="M87" s="53">
        <f>(SUMIF($11:$11,L87,$12:$12)-SUMIF($11:$11,$L$24,$12:$12)+100)/100</f>
        <v>1</v>
      </c>
      <c r="N87" s="965"/>
      <c r="O87" s="53">
        <f>(SUMIF($13:$13,N87,$14:$14)-SUMIF($13:$13,$N$24,$14:$14)+100)/100</f>
        <v>1</v>
      </c>
      <c r="P87" s="965"/>
      <c r="Q87" s="53">
        <f>(SUMIF($15:$15,P87,$16:$16)-SUMIF($15:$15,$P$24,$16:$16)+100)/100</f>
        <v>1</v>
      </c>
      <c r="R87" s="965"/>
      <c r="S87" s="53">
        <f>(SUMIF($17:$17,R87,$18:$18)-SUMIF($17:$17,$R$24,$18:$18)+100)/100</f>
        <v>1</v>
      </c>
      <c r="T87" s="493">
        <f>IF(D87="",0,ROUND($T$24*E87*G87*I87*K87*M87*O87*Q87*S87,0))</f>
        <v>0</v>
      </c>
      <c r="U87" s="802">
        <f t="shared" si="13"/>
        <v>0</v>
      </c>
    </row>
    <row r="88" spans="3:21">
      <c r="C88" s="967"/>
      <c r="D88" s="137"/>
      <c r="E88" s="53">
        <f>IF(D88="",1,(LOOKUP(D88,$3:$3,$4:$4)-LOOKUP($D$24,$3:$3,$4:$4)+100)/100)</f>
        <v>1</v>
      </c>
      <c r="F88" s="965"/>
      <c r="G88" s="53">
        <f>(SUMIF($5:$5,F88,$6:$6)-SUMIF($5:$5,$F$24,$6:$6)+100)/100</f>
        <v>0.01</v>
      </c>
      <c r="H88" s="965"/>
      <c r="I88" s="53">
        <f>(SUMIF($7:$7,H88,$8:$8)-SUMIF($7:$7,$H$24,$8:$8)+100)/100</f>
        <v>0.04</v>
      </c>
      <c r="J88" s="965"/>
      <c r="K88" s="53">
        <f>(SUMIF($9:$9,J88,$10:$10)-SUMIF($9:$9,$J$24,$10:$10)+100)/100</f>
        <v>0.04</v>
      </c>
      <c r="L88" s="965"/>
      <c r="M88" s="53">
        <f>(SUMIF($11:$11,L88,$12:$12)-SUMIF($11:$11,$L$24,$12:$12)+100)/100</f>
        <v>1</v>
      </c>
      <c r="N88" s="965"/>
      <c r="O88" s="53">
        <f>(SUMIF($13:$13,N88,$14:$14)-SUMIF($13:$13,$N$24,$14:$14)+100)/100</f>
        <v>1</v>
      </c>
      <c r="P88" s="965"/>
      <c r="Q88" s="53">
        <f>(SUMIF($15:$15,P88,$16:$16)-SUMIF($15:$15,$P$24,$16:$16)+100)/100</f>
        <v>1</v>
      </c>
      <c r="R88" s="965"/>
      <c r="S88" s="53">
        <f>(SUMIF($17:$17,R88,$18:$18)-SUMIF($17:$17,$R$24,$18:$18)+100)/100</f>
        <v>1</v>
      </c>
      <c r="T88" s="493">
        <f>IF(D88="",0,ROUND($T$24*E88*G88*I88*K88*M88*O88*Q88*S88,0))</f>
        <v>0</v>
      </c>
      <c r="U88" s="802">
        <f t="shared" si="13"/>
        <v>0</v>
      </c>
    </row>
    <row r="89" spans="3:21">
      <c r="C89" s="967"/>
      <c r="D89" s="137"/>
      <c r="E89" s="53">
        <f>IF(D89="",1,(LOOKUP(D89,$3:$3,$4:$4)-LOOKUP($D$24,$3:$3,$4:$4)+100)/100)</f>
        <v>1</v>
      </c>
      <c r="F89" s="965"/>
      <c r="G89" s="53">
        <f>(SUMIF($5:$5,F89,$6:$6)-SUMIF($5:$5,$F$24,$6:$6)+100)/100</f>
        <v>0.01</v>
      </c>
      <c r="H89" s="965"/>
      <c r="I89" s="53">
        <f>(SUMIF($7:$7,H89,$8:$8)-SUMIF($7:$7,$H$24,$8:$8)+100)/100</f>
        <v>0.04</v>
      </c>
      <c r="J89" s="965"/>
      <c r="K89" s="53">
        <f>(SUMIF($9:$9,J89,$10:$10)-SUMIF($9:$9,$J$24,$10:$10)+100)/100</f>
        <v>0.04</v>
      </c>
      <c r="L89" s="965"/>
      <c r="M89" s="53">
        <f>(SUMIF($11:$11,L89,$12:$12)-SUMIF($11:$11,$L$24,$12:$12)+100)/100</f>
        <v>1</v>
      </c>
      <c r="N89" s="965"/>
      <c r="O89" s="53">
        <f>(SUMIF($13:$13,N89,$14:$14)-SUMIF($13:$13,$N$24,$14:$14)+100)/100</f>
        <v>1</v>
      </c>
      <c r="P89" s="965"/>
      <c r="Q89" s="53">
        <f>(SUMIF($15:$15,P89,$16:$16)-SUMIF($15:$15,$P$24,$16:$16)+100)/100</f>
        <v>1</v>
      </c>
      <c r="R89" s="965"/>
      <c r="S89" s="53">
        <f>(SUMIF($17:$17,R89,$18:$18)-SUMIF($17:$17,$R$24,$18:$18)+100)/100</f>
        <v>1</v>
      </c>
      <c r="T89" s="493">
        <f>IF(D89="",0,ROUND($T$24*E89*G89*I89*K89*M89*O89*Q89*S89,0))</f>
        <v>0</v>
      </c>
      <c r="U89" s="802">
        <f t="shared" si="13"/>
        <v>0</v>
      </c>
    </row>
    <row r="90" spans="3:21">
      <c r="C90" s="967"/>
      <c r="D90" s="137"/>
      <c r="E90" s="53">
        <f>IF(D90="",1,(LOOKUP(D90,$3:$3,$4:$4)-LOOKUP($D$24,$3:$3,$4:$4)+100)/100)</f>
        <v>1</v>
      </c>
      <c r="F90" s="965"/>
      <c r="G90" s="53">
        <f>(SUMIF($5:$5,F90,$6:$6)-SUMIF($5:$5,$F$24,$6:$6)+100)/100</f>
        <v>0.01</v>
      </c>
      <c r="H90" s="965"/>
      <c r="I90" s="53">
        <f>(SUMIF($7:$7,H90,$8:$8)-SUMIF($7:$7,$H$24,$8:$8)+100)/100</f>
        <v>0.04</v>
      </c>
      <c r="J90" s="965"/>
      <c r="K90" s="53">
        <f>(SUMIF($9:$9,J90,$10:$10)-SUMIF($9:$9,$J$24,$10:$10)+100)/100</f>
        <v>0.04</v>
      </c>
      <c r="L90" s="965"/>
      <c r="M90" s="53">
        <f>(SUMIF($11:$11,L90,$12:$12)-SUMIF($11:$11,$L$24,$12:$12)+100)/100</f>
        <v>1</v>
      </c>
      <c r="N90" s="965"/>
      <c r="O90" s="53">
        <f>(SUMIF($13:$13,N90,$14:$14)-SUMIF($13:$13,$N$24,$14:$14)+100)/100</f>
        <v>1</v>
      </c>
      <c r="P90" s="965"/>
      <c r="Q90" s="53">
        <f>(SUMIF($15:$15,P90,$16:$16)-SUMIF($15:$15,$P$24,$16:$16)+100)/100</f>
        <v>1</v>
      </c>
      <c r="R90" s="965"/>
      <c r="S90" s="53">
        <f>(SUMIF($17:$17,R90,$18:$18)-SUMIF($17:$17,$R$24,$18:$18)+100)/100</f>
        <v>1</v>
      </c>
      <c r="T90" s="493">
        <f>IF(D90="",0,ROUND($T$24*E90*G90*I90*K90*M90*O90*Q90*S90,0))</f>
        <v>0</v>
      </c>
      <c r="U90" s="802">
        <f t="shared" si="13"/>
        <v>0</v>
      </c>
    </row>
    <row r="91" spans="3:21">
      <c r="C91" s="967"/>
      <c r="D91" s="137"/>
      <c r="E91" s="53">
        <f>IF(D91="",1,(LOOKUP(D91,$3:$3,$4:$4)-LOOKUP($D$24,$3:$3,$4:$4)+100)/100)</f>
        <v>1</v>
      </c>
      <c r="F91" s="965"/>
      <c r="G91" s="53">
        <f>(SUMIF($5:$5,F91,$6:$6)-SUMIF($5:$5,$F$24,$6:$6)+100)/100</f>
        <v>0.01</v>
      </c>
      <c r="H91" s="965"/>
      <c r="I91" s="53">
        <f>(SUMIF($7:$7,H91,$8:$8)-SUMIF($7:$7,$H$24,$8:$8)+100)/100</f>
        <v>0.04</v>
      </c>
      <c r="J91" s="965"/>
      <c r="K91" s="53">
        <f>(SUMIF($9:$9,J91,$10:$10)-SUMIF($9:$9,$J$24,$10:$10)+100)/100</f>
        <v>0.04</v>
      </c>
      <c r="L91" s="965"/>
      <c r="M91" s="53">
        <f>(SUMIF($11:$11,L91,$12:$12)-SUMIF($11:$11,$L$24,$12:$12)+100)/100</f>
        <v>1</v>
      </c>
      <c r="N91" s="965"/>
      <c r="O91" s="53">
        <f>(SUMIF($13:$13,N91,$14:$14)-SUMIF($13:$13,$N$24,$14:$14)+100)/100</f>
        <v>1</v>
      </c>
      <c r="P91" s="965"/>
      <c r="Q91" s="53">
        <f>(SUMIF($15:$15,P91,$16:$16)-SUMIF($15:$15,$P$24,$16:$16)+100)/100</f>
        <v>1</v>
      </c>
      <c r="R91" s="965"/>
      <c r="S91" s="53">
        <f>(SUMIF($17:$17,R91,$18:$18)-SUMIF($17:$17,$R$24,$18:$18)+100)/100</f>
        <v>1</v>
      </c>
      <c r="T91" s="493">
        <f>IF(D91="",0,ROUND($T$24*E91*G91*I91*K91*M91*O91*Q91*S91,0))</f>
        <v>0</v>
      </c>
      <c r="U91" s="802">
        <f t="shared" si="13"/>
        <v>0</v>
      </c>
    </row>
    <row r="92" spans="3:21">
      <c r="C92" s="967"/>
      <c r="D92" s="137"/>
      <c r="E92" s="53">
        <f>IF(D92="",1,(LOOKUP(D92,$3:$3,$4:$4)-LOOKUP($D$24,$3:$3,$4:$4)+100)/100)</f>
        <v>1</v>
      </c>
      <c r="F92" s="965"/>
      <c r="G92" s="53">
        <f>(SUMIF($5:$5,F92,$6:$6)-SUMIF($5:$5,$F$24,$6:$6)+100)/100</f>
        <v>0.01</v>
      </c>
      <c r="H92" s="965"/>
      <c r="I92" s="53">
        <f>(SUMIF($7:$7,H92,$8:$8)-SUMIF($7:$7,$H$24,$8:$8)+100)/100</f>
        <v>0.04</v>
      </c>
      <c r="J92" s="965"/>
      <c r="K92" s="53">
        <f>(SUMIF($9:$9,J92,$10:$10)-SUMIF($9:$9,$J$24,$10:$10)+100)/100</f>
        <v>0.04</v>
      </c>
      <c r="L92" s="965"/>
      <c r="M92" s="53">
        <f>(SUMIF($11:$11,L92,$12:$12)-SUMIF($11:$11,$L$24,$12:$12)+100)/100</f>
        <v>1</v>
      </c>
      <c r="N92" s="965"/>
      <c r="O92" s="53">
        <f>(SUMIF($13:$13,N92,$14:$14)-SUMIF($13:$13,$N$24,$14:$14)+100)/100</f>
        <v>1</v>
      </c>
      <c r="P92" s="965"/>
      <c r="Q92" s="53">
        <f>(SUMIF($15:$15,P92,$16:$16)-SUMIF($15:$15,$P$24,$16:$16)+100)/100</f>
        <v>1</v>
      </c>
      <c r="R92" s="965"/>
      <c r="S92" s="53">
        <f>(SUMIF($17:$17,R92,$18:$18)-SUMIF($17:$17,$R$24,$18:$18)+100)/100</f>
        <v>1</v>
      </c>
      <c r="T92" s="493">
        <f>IF(D92="",0,ROUND($T$24*E92*G92*I92*K92*M92*O92*Q92*S92,0))</f>
        <v>0</v>
      </c>
      <c r="U92" s="802">
        <f t="shared" si="13"/>
        <v>0</v>
      </c>
    </row>
    <row r="93" spans="3:21">
      <c r="C93" s="967"/>
      <c r="D93" s="137"/>
      <c r="E93" s="53">
        <f>IF(D93="",1,(LOOKUP(D93,$3:$3,$4:$4)-LOOKUP($D$24,$3:$3,$4:$4)+100)/100)</f>
        <v>1</v>
      </c>
      <c r="F93" s="965"/>
      <c r="G93" s="53">
        <f>(SUMIF($5:$5,F93,$6:$6)-SUMIF($5:$5,$F$24,$6:$6)+100)/100</f>
        <v>0.01</v>
      </c>
      <c r="H93" s="965"/>
      <c r="I93" s="53">
        <f>(SUMIF($7:$7,H93,$8:$8)-SUMIF($7:$7,$H$24,$8:$8)+100)/100</f>
        <v>0.04</v>
      </c>
      <c r="J93" s="965"/>
      <c r="K93" s="53">
        <f>(SUMIF($9:$9,J93,$10:$10)-SUMIF($9:$9,$J$24,$10:$10)+100)/100</f>
        <v>0.04</v>
      </c>
      <c r="L93" s="965"/>
      <c r="M93" s="53">
        <f>(SUMIF($11:$11,L93,$12:$12)-SUMIF($11:$11,$L$24,$12:$12)+100)/100</f>
        <v>1</v>
      </c>
      <c r="N93" s="965"/>
      <c r="O93" s="53">
        <f>(SUMIF($13:$13,N93,$14:$14)-SUMIF($13:$13,$N$24,$14:$14)+100)/100</f>
        <v>1</v>
      </c>
      <c r="P93" s="965"/>
      <c r="Q93" s="53">
        <f>(SUMIF($15:$15,P93,$16:$16)-SUMIF($15:$15,$P$24,$16:$16)+100)/100</f>
        <v>1</v>
      </c>
      <c r="R93" s="965"/>
      <c r="S93" s="53">
        <f>(SUMIF($17:$17,R93,$18:$18)-SUMIF($17:$17,$R$24,$18:$18)+100)/100</f>
        <v>1</v>
      </c>
      <c r="T93" s="493">
        <f>IF(D93="",0,ROUND($T$24*E93*G93*I93*K93*M93*O93*Q93*S93,0))</f>
        <v>0</v>
      </c>
      <c r="U93" s="802">
        <f t="shared" si="13"/>
        <v>0</v>
      </c>
    </row>
    <row r="94" spans="3:21">
      <c r="C94" s="967"/>
      <c r="D94" s="137"/>
      <c r="E94" s="53">
        <f>IF(D94="",1,(LOOKUP(D94,$3:$3,$4:$4)-LOOKUP($D$24,$3:$3,$4:$4)+100)/100)</f>
        <v>1</v>
      </c>
      <c r="F94" s="965"/>
      <c r="G94" s="53">
        <f>(SUMIF($5:$5,F94,$6:$6)-SUMIF($5:$5,$F$24,$6:$6)+100)/100</f>
        <v>0.01</v>
      </c>
      <c r="H94" s="965"/>
      <c r="I94" s="53">
        <f>(SUMIF($7:$7,H94,$8:$8)-SUMIF($7:$7,$H$24,$8:$8)+100)/100</f>
        <v>0.04</v>
      </c>
      <c r="J94" s="965"/>
      <c r="K94" s="53">
        <f>(SUMIF($9:$9,J94,$10:$10)-SUMIF($9:$9,$J$24,$10:$10)+100)/100</f>
        <v>0.04</v>
      </c>
      <c r="L94" s="965"/>
      <c r="M94" s="53">
        <f>(SUMIF($11:$11,L94,$12:$12)-SUMIF($11:$11,$L$24,$12:$12)+100)/100</f>
        <v>1</v>
      </c>
      <c r="N94" s="965"/>
      <c r="O94" s="53">
        <f>(SUMIF($13:$13,N94,$14:$14)-SUMIF($13:$13,$N$24,$14:$14)+100)/100</f>
        <v>1</v>
      </c>
      <c r="P94" s="965"/>
      <c r="Q94" s="53">
        <f>(SUMIF($15:$15,P94,$16:$16)-SUMIF($15:$15,$P$24,$16:$16)+100)/100</f>
        <v>1</v>
      </c>
      <c r="R94" s="965"/>
      <c r="S94" s="53">
        <f>(SUMIF($17:$17,R94,$18:$18)-SUMIF($17:$17,$R$24,$18:$18)+100)/100</f>
        <v>1</v>
      </c>
      <c r="T94" s="493">
        <f>IF(D94="",0,ROUND($T$24*E94*G94*I94*K94*M94*O94*Q94*S94,0))</f>
        <v>0</v>
      </c>
      <c r="U94" s="802">
        <f t="shared" si="13"/>
        <v>0</v>
      </c>
    </row>
    <row r="95" spans="3:21">
      <c r="C95" s="967"/>
      <c r="D95" s="137"/>
      <c r="E95" s="53">
        <f>IF(D95="",1,(LOOKUP(D95,$3:$3,$4:$4)-LOOKUP($D$24,$3:$3,$4:$4)+100)/100)</f>
        <v>1</v>
      </c>
      <c r="F95" s="965"/>
      <c r="G95" s="53">
        <f>(SUMIF($5:$5,F95,$6:$6)-SUMIF($5:$5,$F$24,$6:$6)+100)/100</f>
        <v>0.01</v>
      </c>
      <c r="H95" s="965"/>
      <c r="I95" s="53">
        <f>(SUMIF($7:$7,H95,$8:$8)-SUMIF($7:$7,$H$24,$8:$8)+100)/100</f>
        <v>0.04</v>
      </c>
      <c r="J95" s="965"/>
      <c r="K95" s="53">
        <f>(SUMIF($9:$9,J95,$10:$10)-SUMIF($9:$9,$J$24,$10:$10)+100)/100</f>
        <v>0.04</v>
      </c>
      <c r="L95" s="965"/>
      <c r="M95" s="53">
        <f>(SUMIF($11:$11,L95,$12:$12)-SUMIF($11:$11,$L$24,$12:$12)+100)/100</f>
        <v>1</v>
      </c>
      <c r="N95" s="965"/>
      <c r="O95" s="53">
        <f>(SUMIF($13:$13,N95,$14:$14)-SUMIF($13:$13,$N$24,$14:$14)+100)/100</f>
        <v>1</v>
      </c>
      <c r="P95" s="965"/>
      <c r="Q95" s="53">
        <f>(SUMIF($15:$15,P95,$16:$16)-SUMIF($15:$15,$P$24,$16:$16)+100)/100</f>
        <v>1</v>
      </c>
      <c r="R95" s="965"/>
      <c r="S95" s="53">
        <f>(SUMIF($17:$17,R95,$18:$18)-SUMIF($17:$17,$R$24,$18:$18)+100)/100</f>
        <v>1</v>
      </c>
      <c r="T95" s="493">
        <f>IF(D95="",0,ROUND($T$24*E95*G95*I95*K95*M95*O95*Q95*S95,0))</f>
        <v>0</v>
      </c>
      <c r="U95" s="802">
        <f t="shared" si="13"/>
        <v>0</v>
      </c>
    </row>
    <row r="96" spans="3:21">
      <c r="C96" s="967"/>
      <c r="D96" s="137"/>
      <c r="E96" s="53">
        <f>IF(D96="",1,(LOOKUP(D96,$3:$3,$4:$4)-LOOKUP($D$24,$3:$3,$4:$4)+100)/100)</f>
        <v>1</v>
      </c>
      <c r="F96" s="965"/>
      <c r="G96" s="53">
        <f>(SUMIF($5:$5,F96,$6:$6)-SUMIF($5:$5,$F$24,$6:$6)+100)/100</f>
        <v>0.01</v>
      </c>
      <c r="H96" s="965"/>
      <c r="I96" s="53">
        <f>(SUMIF($7:$7,H96,$8:$8)-SUMIF($7:$7,$H$24,$8:$8)+100)/100</f>
        <v>0.04</v>
      </c>
      <c r="J96" s="965"/>
      <c r="K96" s="53">
        <f>(SUMIF($9:$9,J96,$10:$10)-SUMIF($9:$9,$J$24,$10:$10)+100)/100</f>
        <v>0.04</v>
      </c>
      <c r="L96" s="965"/>
      <c r="M96" s="53">
        <f>(SUMIF($11:$11,L96,$12:$12)-SUMIF($11:$11,$L$24,$12:$12)+100)/100</f>
        <v>1</v>
      </c>
      <c r="N96" s="965"/>
      <c r="O96" s="53">
        <f>(SUMIF($13:$13,N96,$14:$14)-SUMIF($13:$13,$N$24,$14:$14)+100)/100</f>
        <v>1</v>
      </c>
      <c r="P96" s="965"/>
      <c r="Q96" s="53">
        <f>(SUMIF($15:$15,P96,$16:$16)-SUMIF($15:$15,$P$24,$16:$16)+100)/100</f>
        <v>1</v>
      </c>
      <c r="R96" s="965"/>
      <c r="S96" s="53">
        <f>(SUMIF($17:$17,R96,$18:$18)-SUMIF($17:$17,$R$24,$18:$18)+100)/100</f>
        <v>1</v>
      </c>
      <c r="T96" s="493">
        <f>IF(D96="",0,ROUND($T$24*E96*G96*I96*K96*M96*O96*Q96*S96,0))</f>
        <v>0</v>
      </c>
      <c r="U96" s="802">
        <f t="shared" si="13"/>
        <v>0</v>
      </c>
    </row>
    <row r="97" spans="3:21">
      <c r="C97" s="967"/>
      <c r="D97" s="137"/>
      <c r="E97" s="53">
        <f>IF(D97="",1,(LOOKUP(D97,$3:$3,$4:$4)-LOOKUP($D$24,$3:$3,$4:$4)+100)/100)</f>
        <v>1</v>
      </c>
      <c r="F97" s="965"/>
      <c r="G97" s="53">
        <f>(SUMIF($5:$5,F97,$6:$6)-SUMIF($5:$5,$F$24,$6:$6)+100)/100</f>
        <v>0.01</v>
      </c>
      <c r="H97" s="965"/>
      <c r="I97" s="53">
        <f>(SUMIF($7:$7,H97,$8:$8)-SUMIF($7:$7,$H$24,$8:$8)+100)/100</f>
        <v>0.04</v>
      </c>
      <c r="J97" s="965"/>
      <c r="K97" s="53">
        <f>(SUMIF($9:$9,J97,$10:$10)-SUMIF($9:$9,$J$24,$10:$10)+100)/100</f>
        <v>0.04</v>
      </c>
      <c r="L97" s="965"/>
      <c r="M97" s="53">
        <f>(SUMIF($11:$11,L97,$12:$12)-SUMIF($11:$11,$L$24,$12:$12)+100)/100</f>
        <v>1</v>
      </c>
      <c r="N97" s="965"/>
      <c r="O97" s="53">
        <f>(SUMIF($13:$13,N97,$14:$14)-SUMIF($13:$13,$N$24,$14:$14)+100)/100</f>
        <v>1</v>
      </c>
      <c r="P97" s="965"/>
      <c r="Q97" s="53">
        <f>(SUMIF($15:$15,P97,$16:$16)-SUMIF($15:$15,$P$24,$16:$16)+100)/100</f>
        <v>1</v>
      </c>
      <c r="R97" s="965"/>
      <c r="S97" s="53">
        <f>(SUMIF($17:$17,R97,$18:$18)-SUMIF($17:$17,$R$24,$18:$18)+100)/100</f>
        <v>1</v>
      </c>
      <c r="T97" s="493">
        <f>IF(D97="",0,ROUND($T$24*E97*G97*I97*K97*M97*O97*Q97*S97,0))</f>
        <v>0</v>
      </c>
      <c r="U97" s="802">
        <f t="shared" si="13"/>
        <v>0</v>
      </c>
    </row>
    <row r="98" spans="3:21">
      <c r="C98" s="967"/>
      <c r="D98" s="137"/>
      <c r="E98" s="53">
        <f>IF(D98="",1,(LOOKUP(D98,$3:$3,$4:$4)-LOOKUP($D$24,$3:$3,$4:$4)+100)/100)</f>
        <v>1</v>
      </c>
      <c r="F98" s="965"/>
      <c r="G98" s="53">
        <f>(SUMIF($5:$5,F98,$6:$6)-SUMIF($5:$5,$F$24,$6:$6)+100)/100</f>
        <v>0.01</v>
      </c>
      <c r="H98" s="965"/>
      <c r="I98" s="53">
        <f>(SUMIF($7:$7,H98,$8:$8)-SUMIF($7:$7,$H$24,$8:$8)+100)/100</f>
        <v>0.04</v>
      </c>
      <c r="J98" s="965"/>
      <c r="K98" s="53">
        <f>(SUMIF($9:$9,J98,$10:$10)-SUMIF($9:$9,$J$24,$10:$10)+100)/100</f>
        <v>0.04</v>
      </c>
      <c r="L98" s="965"/>
      <c r="M98" s="53">
        <f>(SUMIF($11:$11,L98,$12:$12)-SUMIF($11:$11,$L$24,$12:$12)+100)/100</f>
        <v>1</v>
      </c>
      <c r="N98" s="965"/>
      <c r="O98" s="53">
        <f>(SUMIF($13:$13,N98,$14:$14)-SUMIF($13:$13,$N$24,$14:$14)+100)/100</f>
        <v>1</v>
      </c>
      <c r="P98" s="965"/>
      <c r="Q98" s="53">
        <f>(SUMIF($15:$15,P98,$16:$16)-SUMIF($15:$15,$P$24,$16:$16)+100)/100</f>
        <v>1</v>
      </c>
      <c r="R98" s="965"/>
      <c r="S98" s="53">
        <f>(SUMIF($17:$17,R98,$18:$18)-SUMIF($17:$17,$R$24,$18:$18)+100)/100</f>
        <v>1</v>
      </c>
      <c r="T98" s="493">
        <f>IF(D98="",0,ROUND($T$24*E98*G98*I98*K98*M98*O98*Q98*S98,0))</f>
        <v>0</v>
      </c>
      <c r="U98" s="802">
        <f t="shared" si="13"/>
        <v>0</v>
      </c>
    </row>
    <row r="99" spans="3:21">
      <c r="C99" s="967"/>
      <c r="D99" s="137"/>
      <c r="E99" s="53">
        <f>IF(D99="",1,(LOOKUP(D99,$3:$3,$4:$4)-LOOKUP($D$24,$3:$3,$4:$4)+100)/100)</f>
        <v>1</v>
      </c>
      <c r="F99" s="965"/>
      <c r="G99" s="53">
        <f>(SUMIF($5:$5,F99,$6:$6)-SUMIF($5:$5,$F$24,$6:$6)+100)/100</f>
        <v>0.01</v>
      </c>
      <c r="H99" s="965"/>
      <c r="I99" s="53">
        <f>(SUMIF($7:$7,H99,$8:$8)-SUMIF($7:$7,$H$24,$8:$8)+100)/100</f>
        <v>0.04</v>
      </c>
      <c r="J99" s="965"/>
      <c r="K99" s="53">
        <f>(SUMIF($9:$9,J99,$10:$10)-SUMIF($9:$9,$J$24,$10:$10)+100)/100</f>
        <v>0.04</v>
      </c>
      <c r="L99" s="965"/>
      <c r="M99" s="53">
        <f>(SUMIF($11:$11,L99,$12:$12)-SUMIF($11:$11,$L$24,$12:$12)+100)/100</f>
        <v>1</v>
      </c>
      <c r="N99" s="965"/>
      <c r="O99" s="53">
        <f>(SUMIF($13:$13,N99,$14:$14)-SUMIF($13:$13,$N$24,$14:$14)+100)/100</f>
        <v>1</v>
      </c>
      <c r="P99" s="965"/>
      <c r="Q99" s="53">
        <f>(SUMIF($15:$15,P99,$16:$16)-SUMIF($15:$15,$P$24,$16:$16)+100)/100</f>
        <v>1</v>
      </c>
      <c r="R99" s="965"/>
      <c r="S99" s="53">
        <f>(SUMIF($17:$17,R99,$18:$18)-SUMIF($17:$17,$R$24,$18:$18)+100)/100</f>
        <v>1</v>
      </c>
      <c r="T99" s="493">
        <f>IF(D99="",0,ROUND($T$24*E99*G99*I99*K99*M99*O99*Q99*S99,0))</f>
        <v>0</v>
      </c>
      <c r="U99" s="802">
        <f t="shared" si="13"/>
        <v>0</v>
      </c>
    </row>
    <row r="100" spans="3:21">
      <c r="C100" s="967"/>
      <c r="D100" s="137"/>
      <c r="E100" s="53">
        <f>IF(D100="",1,(LOOKUP(D100,$3:$3,$4:$4)-LOOKUP($D$24,$3:$3,$4:$4)+100)/100)</f>
        <v>1</v>
      </c>
      <c r="F100" s="965"/>
      <c r="G100" s="53">
        <f>(SUMIF($5:$5,F100,$6:$6)-SUMIF($5:$5,$F$24,$6:$6)+100)/100</f>
        <v>0.01</v>
      </c>
      <c r="H100" s="965"/>
      <c r="I100" s="53">
        <f>(SUMIF($7:$7,H100,$8:$8)-SUMIF($7:$7,$H$24,$8:$8)+100)/100</f>
        <v>0.04</v>
      </c>
      <c r="J100" s="965"/>
      <c r="K100" s="53">
        <f>(SUMIF($9:$9,J100,$10:$10)-SUMIF($9:$9,$J$24,$10:$10)+100)/100</f>
        <v>0.04</v>
      </c>
      <c r="L100" s="965"/>
      <c r="M100" s="53">
        <f>(SUMIF($11:$11,L100,$12:$12)-SUMIF($11:$11,$L$24,$12:$12)+100)/100</f>
        <v>1</v>
      </c>
      <c r="N100" s="965"/>
      <c r="O100" s="53">
        <f>(SUMIF($13:$13,N100,$14:$14)-SUMIF($13:$13,$N$24,$14:$14)+100)/100</f>
        <v>1</v>
      </c>
      <c r="P100" s="965"/>
      <c r="Q100" s="53">
        <f>(SUMIF($15:$15,P100,$16:$16)-SUMIF($15:$15,$P$24,$16:$16)+100)/100</f>
        <v>1</v>
      </c>
      <c r="R100" s="965"/>
      <c r="S100" s="53">
        <f>(SUMIF($17:$17,R100,$18:$18)-SUMIF($17:$17,$R$24,$18:$18)+100)/100</f>
        <v>1</v>
      </c>
      <c r="T100" s="493">
        <f>IF(D100="",0,ROUND($T$24*E100*G100*I100*K100*M100*O100*Q100*S100,0))</f>
        <v>0</v>
      </c>
      <c r="U100" s="802">
        <f t="shared" si="13"/>
        <v>0</v>
      </c>
    </row>
    <row r="101" spans="3:21">
      <c r="C101" s="967"/>
      <c r="D101" s="137"/>
      <c r="E101" s="53">
        <f>IF(D101="",1,(LOOKUP(D101,$3:$3,$4:$4)-LOOKUP($D$24,$3:$3,$4:$4)+100)/100)</f>
        <v>1</v>
      </c>
      <c r="F101" s="965"/>
      <c r="G101" s="53">
        <f>(SUMIF($5:$5,F101,$6:$6)-SUMIF($5:$5,$F$24,$6:$6)+100)/100</f>
        <v>0.01</v>
      </c>
      <c r="H101" s="965"/>
      <c r="I101" s="53">
        <f>(SUMIF($7:$7,H101,$8:$8)-SUMIF($7:$7,$H$24,$8:$8)+100)/100</f>
        <v>0.04</v>
      </c>
      <c r="J101" s="965"/>
      <c r="K101" s="53">
        <f>(SUMIF($9:$9,J101,$10:$10)-SUMIF($9:$9,$J$24,$10:$10)+100)/100</f>
        <v>0.04</v>
      </c>
      <c r="L101" s="965"/>
      <c r="M101" s="53">
        <f>(SUMIF($11:$11,L101,$12:$12)-SUMIF($11:$11,$L$24,$12:$12)+100)/100</f>
        <v>1</v>
      </c>
      <c r="N101" s="965"/>
      <c r="O101" s="53">
        <f>(SUMIF($13:$13,N101,$14:$14)-SUMIF($13:$13,$N$24,$14:$14)+100)/100</f>
        <v>1</v>
      </c>
      <c r="P101" s="965"/>
      <c r="Q101" s="53">
        <f>(SUMIF($15:$15,P101,$16:$16)-SUMIF($15:$15,$P$24,$16:$16)+100)/100</f>
        <v>1</v>
      </c>
      <c r="R101" s="965"/>
      <c r="S101" s="53">
        <f>(SUMIF($17:$17,R101,$18:$18)-SUMIF($17:$17,$R$24,$18:$18)+100)/100</f>
        <v>1</v>
      </c>
      <c r="T101" s="493">
        <f>IF(D101="",0,ROUND($T$24*E101*G101*I101*K101*M101*O101*Q101*S101,0))</f>
        <v>0</v>
      </c>
      <c r="U101" s="802">
        <f t="shared" si="13"/>
        <v>0</v>
      </c>
    </row>
    <row r="102" spans="3:21">
      <c r="C102" s="967"/>
      <c r="D102" s="137"/>
      <c r="E102" s="53">
        <f>IF(D102="",1,(LOOKUP(D102,$3:$3,$4:$4)-LOOKUP($D$24,$3:$3,$4:$4)+100)/100)</f>
        <v>1</v>
      </c>
      <c r="F102" s="965"/>
      <c r="G102" s="53">
        <f>(SUMIF($5:$5,F102,$6:$6)-SUMIF($5:$5,$F$24,$6:$6)+100)/100</f>
        <v>0.01</v>
      </c>
      <c r="H102" s="965"/>
      <c r="I102" s="53">
        <f>(SUMIF($7:$7,H102,$8:$8)-SUMIF($7:$7,$H$24,$8:$8)+100)/100</f>
        <v>0.04</v>
      </c>
      <c r="J102" s="965"/>
      <c r="K102" s="53">
        <f>(SUMIF($9:$9,J102,$10:$10)-SUMIF($9:$9,$J$24,$10:$10)+100)/100</f>
        <v>0.04</v>
      </c>
      <c r="L102" s="965"/>
      <c r="M102" s="53">
        <f>(SUMIF($11:$11,L102,$12:$12)-SUMIF($11:$11,$L$24,$12:$12)+100)/100</f>
        <v>1</v>
      </c>
      <c r="N102" s="965"/>
      <c r="O102" s="53">
        <f>(SUMIF($13:$13,N102,$14:$14)-SUMIF($13:$13,$N$24,$14:$14)+100)/100</f>
        <v>1</v>
      </c>
      <c r="P102" s="965"/>
      <c r="Q102" s="53">
        <f>(SUMIF($15:$15,P102,$16:$16)-SUMIF($15:$15,$P$24,$16:$16)+100)/100</f>
        <v>1</v>
      </c>
      <c r="R102" s="965"/>
      <c r="S102" s="53">
        <f>(SUMIF($17:$17,R102,$18:$18)-SUMIF($17:$17,$R$24,$18:$18)+100)/100</f>
        <v>1</v>
      </c>
      <c r="T102" s="493">
        <f>IF(D102="",0,ROUND($T$24*E102*G102*I102*K102*M102*O102*Q102*S102,0))</f>
        <v>0</v>
      </c>
      <c r="U102" s="802">
        <f t="shared" si="13"/>
        <v>0</v>
      </c>
    </row>
    <row r="103" spans="3:21">
      <c r="C103" s="967"/>
      <c r="D103" s="137"/>
      <c r="E103" s="53">
        <f>IF(D103="",1,(LOOKUP(D103,$3:$3,$4:$4)-LOOKUP($D$24,$3:$3,$4:$4)+100)/100)</f>
        <v>1</v>
      </c>
      <c r="F103" s="965"/>
      <c r="G103" s="53">
        <f>(SUMIF($5:$5,F103,$6:$6)-SUMIF($5:$5,$F$24,$6:$6)+100)/100</f>
        <v>0.01</v>
      </c>
      <c r="H103" s="965"/>
      <c r="I103" s="53">
        <f>(SUMIF($7:$7,H103,$8:$8)-SUMIF($7:$7,$H$24,$8:$8)+100)/100</f>
        <v>0.04</v>
      </c>
      <c r="J103" s="965"/>
      <c r="K103" s="53">
        <f>(SUMIF($9:$9,J103,$10:$10)-SUMIF($9:$9,$J$24,$10:$10)+100)/100</f>
        <v>0.04</v>
      </c>
      <c r="L103" s="965"/>
      <c r="M103" s="53">
        <f>(SUMIF($11:$11,L103,$12:$12)-SUMIF($11:$11,$L$24,$12:$12)+100)/100</f>
        <v>1</v>
      </c>
      <c r="N103" s="965"/>
      <c r="O103" s="53">
        <f>(SUMIF($13:$13,N103,$14:$14)-SUMIF($13:$13,$N$24,$14:$14)+100)/100</f>
        <v>1</v>
      </c>
      <c r="P103" s="965"/>
      <c r="Q103" s="53">
        <f>(SUMIF($15:$15,P103,$16:$16)-SUMIF($15:$15,$P$24,$16:$16)+100)/100</f>
        <v>1</v>
      </c>
      <c r="R103" s="965"/>
      <c r="S103" s="53">
        <f>(SUMIF($17:$17,R103,$18:$18)-SUMIF($17:$17,$R$24,$18:$18)+100)/100</f>
        <v>1</v>
      </c>
      <c r="T103" s="493">
        <f>IF(D103="",0,ROUND($T$24*E103*G103*I103*K103*M103*O103*Q103*S103,0))</f>
        <v>0</v>
      </c>
      <c r="U103" s="802">
        <f t="shared" si="13"/>
        <v>0</v>
      </c>
    </row>
    <row r="104" spans="3:21">
      <c r="C104" s="967"/>
      <c r="D104" s="137"/>
      <c r="E104" s="53">
        <f>IF(D104="",1,(LOOKUP(D104,$3:$3,$4:$4)-LOOKUP($D$24,$3:$3,$4:$4)+100)/100)</f>
        <v>1</v>
      </c>
      <c r="F104" s="965"/>
      <c r="G104" s="53">
        <f>(SUMIF($5:$5,F104,$6:$6)-SUMIF($5:$5,$F$24,$6:$6)+100)/100</f>
        <v>0.01</v>
      </c>
      <c r="H104" s="965"/>
      <c r="I104" s="53">
        <f>(SUMIF($7:$7,H104,$8:$8)-SUMIF($7:$7,$H$24,$8:$8)+100)/100</f>
        <v>0.04</v>
      </c>
      <c r="J104" s="965"/>
      <c r="K104" s="53">
        <f>(SUMIF($9:$9,J104,$10:$10)-SUMIF($9:$9,$J$24,$10:$10)+100)/100</f>
        <v>0.04</v>
      </c>
      <c r="L104" s="965"/>
      <c r="M104" s="53">
        <f>(SUMIF($11:$11,L104,$12:$12)-SUMIF($11:$11,$L$24,$12:$12)+100)/100</f>
        <v>1</v>
      </c>
      <c r="N104" s="965"/>
      <c r="O104" s="53">
        <f>(SUMIF($13:$13,N104,$14:$14)-SUMIF($13:$13,$N$24,$14:$14)+100)/100</f>
        <v>1</v>
      </c>
      <c r="P104" s="965"/>
      <c r="Q104" s="53">
        <f>(SUMIF($15:$15,P104,$16:$16)-SUMIF($15:$15,$P$24,$16:$16)+100)/100</f>
        <v>1</v>
      </c>
      <c r="R104" s="965"/>
      <c r="S104" s="53">
        <f>(SUMIF($17:$17,R104,$18:$18)-SUMIF($17:$17,$R$24,$18:$18)+100)/100</f>
        <v>1</v>
      </c>
      <c r="T104" s="493">
        <f>IF(D104="",0,ROUND($T$24*E104*G104*I104*K104*M104*O104*Q104*S104,0))</f>
        <v>0</v>
      </c>
      <c r="U104" s="802">
        <f t="shared" si="13"/>
        <v>0</v>
      </c>
    </row>
    <row r="105" spans="3:21">
      <c r="C105" s="967"/>
      <c r="D105" s="137"/>
      <c r="E105" s="53">
        <f>IF(D105="",1,(LOOKUP(D105,$3:$3,$4:$4)-LOOKUP($D$24,$3:$3,$4:$4)+100)/100)</f>
        <v>1</v>
      </c>
      <c r="F105" s="965"/>
      <c r="G105" s="53">
        <f>(SUMIF($5:$5,F105,$6:$6)-SUMIF($5:$5,$F$24,$6:$6)+100)/100</f>
        <v>0.01</v>
      </c>
      <c r="H105" s="965"/>
      <c r="I105" s="53">
        <f>(SUMIF($7:$7,H105,$8:$8)-SUMIF($7:$7,$H$24,$8:$8)+100)/100</f>
        <v>0.04</v>
      </c>
      <c r="J105" s="965"/>
      <c r="K105" s="53">
        <f>(SUMIF($9:$9,J105,$10:$10)-SUMIF($9:$9,$J$24,$10:$10)+100)/100</f>
        <v>0.04</v>
      </c>
      <c r="L105" s="965"/>
      <c r="M105" s="53">
        <f>(SUMIF($11:$11,L105,$12:$12)-SUMIF($11:$11,$L$24,$12:$12)+100)/100</f>
        <v>1</v>
      </c>
      <c r="N105" s="965"/>
      <c r="O105" s="53">
        <f>(SUMIF($13:$13,N105,$14:$14)-SUMIF($13:$13,$N$24,$14:$14)+100)/100</f>
        <v>1</v>
      </c>
      <c r="P105" s="965"/>
      <c r="Q105" s="53">
        <f>(SUMIF($15:$15,P105,$16:$16)-SUMIF($15:$15,$P$24,$16:$16)+100)/100</f>
        <v>1</v>
      </c>
      <c r="R105" s="965"/>
      <c r="S105" s="53">
        <f>(SUMIF($17:$17,R105,$18:$18)-SUMIF($17:$17,$R$24,$18:$18)+100)/100</f>
        <v>1</v>
      </c>
      <c r="T105" s="493">
        <f>IF(D105="",0,ROUND($T$24*E105*G105*I105*K105*M105*O105*Q105*S105,0))</f>
        <v>0</v>
      </c>
      <c r="U105" s="802">
        <f t="shared" si="13"/>
        <v>0</v>
      </c>
    </row>
    <row r="106" spans="3:21">
      <c r="C106" s="967"/>
      <c r="D106" s="137"/>
      <c r="E106" s="53">
        <f>IF(D106="",1,(LOOKUP(D106,$3:$3,$4:$4)-LOOKUP($D$24,$3:$3,$4:$4)+100)/100)</f>
        <v>1</v>
      </c>
      <c r="F106" s="965"/>
      <c r="G106" s="53">
        <f>(SUMIF($5:$5,F106,$6:$6)-SUMIF($5:$5,$F$24,$6:$6)+100)/100</f>
        <v>0.01</v>
      </c>
      <c r="H106" s="965"/>
      <c r="I106" s="53">
        <f>(SUMIF($7:$7,H106,$8:$8)-SUMIF($7:$7,$H$24,$8:$8)+100)/100</f>
        <v>0.04</v>
      </c>
      <c r="J106" s="965"/>
      <c r="K106" s="53">
        <f>(SUMIF($9:$9,J106,$10:$10)-SUMIF($9:$9,$J$24,$10:$10)+100)/100</f>
        <v>0.04</v>
      </c>
      <c r="L106" s="965"/>
      <c r="M106" s="53">
        <f>(SUMIF($11:$11,L106,$12:$12)-SUMIF($11:$11,$L$24,$12:$12)+100)/100</f>
        <v>1</v>
      </c>
      <c r="N106" s="965"/>
      <c r="O106" s="53">
        <f>(SUMIF($13:$13,N106,$14:$14)-SUMIF($13:$13,$N$24,$14:$14)+100)/100</f>
        <v>1</v>
      </c>
      <c r="P106" s="965"/>
      <c r="Q106" s="53">
        <f>(SUMIF($15:$15,P106,$16:$16)-SUMIF($15:$15,$P$24,$16:$16)+100)/100</f>
        <v>1</v>
      </c>
      <c r="R106" s="965"/>
      <c r="S106" s="53">
        <f>(SUMIF($17:$17,R106,$18:$18)-SUMIF($17:$17,$R$24,$18:$18)+100)/100</f>
        <v>1</v>
      </c>
      <c r="T106" s="493">
        <f>IF(D106="",0,ROUND($T$24*E106*G106*I106*K106*M106*O106*Q106*S106,0))</f>
        <v>0</v>
      </c>
      <c r="U106" s="802">
        <f t="shared" si="13"/>
        <v>0</v>
      </c>
    </row>
    <row r="107" spans="3:21">
      <c r="C107" s="967"/>
      <c r="D107" s="137"/>
      <c r="E107" s="53">
        <f>IF(D107="",1,(LOOKUP(D107,$3:$3,$4:$4)-LOOKUP($D$24,$3:$3,$4:$4)+100)/100)</f>
        <v>1</v>
      </c>
      <c r="F107" s="965"/>
      <c r="G107" s="53">
        <f>(SUMIF($5:$5,F107,$6:$6)-SUMIF($5:$5,$F$24,$6:$6)+100)/100</f>
        <v>0.01</v>
      </c>
      <c r="H107" s="965"/>
      <c r="I107" s="53">
        <f>(SUMIF($7:$7,H107,$8:$8)-SUMIF($7:$7,$H$24,$8:$8)+100)/100</f>
        <v>0.04</v>
      </c>
      <c r="J107" s="965"/>
      <c r="K107" s="53">
        <f>(SUMIF($9:$9,J107,$10:$10)-SUMIF($9:$9,$J$24,$10:$10)+100)/100</f>
        <v>0.04</v>
      </c>
      <c r="L107" s="965"/>
      <c r="M107" s="53">
        <f>(SUMIF($11:$11,L107,$12:$12)-SUMIF($11:$11,$L$24,$12:$12)+100)/100</f>
        <v>1</v>
      </c>
      <c r="N107" s="965"/>
      <c r="O107" s="53">
        <f>(SUMIF($13:$13,N107,$14:$14)-SUMIF($13:$13,$N$24,$14:$14)+100)/100</f>
        <v>1</v>
      </c>
      <c r="P107" s="965"/>
      <c r="Q107" s="53">
        <f>(SUMIF($15:$15,P107,$16:$16)-SUMIF($15:$15,$P$24,$16:$16)+100)/100</f>
        <v>1</v>
      </c>
      <c r="R107" s="965"/>
      <c r="S107" s="53">
        <f>(SUMIF($17:$17,R107,$18:$18)-SUMIF($17:$17,$R$24,$18:$18)+100)/100</f>
        <v>1</v>
      </c>
      <c r="T107" s="493">
        <f>IF(D107="",0,ROUND($T$24*E107*G107*I107*K107*M107*O107*Q107*S107,0))</f>
        <v>0</v>
      </c>
      <c r="U107" s="802">
        <f t="shared" si="13"/>
        <v>0</v>
      </c>
    </row>
    <row r="108" spans="3:21">
      <c r="C108" s="967"/>
      <c r="D108" s="137"/>
      <c r="E108" s="53">
        <f>IF(D108="",1,(LOOKUP(D108,$3:$3,$4:$4)-LOOKUP($D$24,$3:$3,$4:$4)+100)/100)</f>
        <v>1</v>
      </c>
      <c r="F108" s="965"/>
      <c r="G108" s="53">
        <f>(SUMIF($5:$5,F108,$6:$6)-SUMIF($5:$5,$F$24,$6:$6)+100)/100</f>
        <v>0.01</v>
      </c>
      <c r="H108" s="965"/>
      <c r="I108" s="53">
        <f>(SUMIF($7:$7,H108,$8:$8)-SUMIF($7:$7,$H$24,$8:$8)+100)/100</f>
        <v>0.04</v>
      </c>
      <c r="J108" s="965"/>
      <c r="K108" s="53">
        <f>(SUMIF($9:$9,J108,$10:$10)-SUMIF($9:$9,$J$24,$10:$10)+100)/100</f>
        <v>0.04</v>
      </c>
      <c r="L108" s="965"/>
      <c r="M108" s="53">
        <f>(SUMIF($11:$11,L108,$12:$12)-SUMIF($11:$11,$L$24,$12:$12)+100)/100</f>
        <v>1</v>
      </c>
      <c r="N108" s="965"/>
      <c r="O108" s="53">
        <f>(SUMIF($13:$13,N108,$14:$14)-SUMIF($13:$13,$N$24,$14:$14)+100)/100</f>
        <v>1</v>
      </c>
      <c r="P108" s="965"/>
      <c r="Q108" s="53">
        <f>(SUMIF($15:$15,P108,$16:$16)-SUMIF($15:$15,$P$24,$16:$16)+100)/100</f>
        <v>1</v>
      </c>
      <c r="R108" s="965"/>
      <c r="S108" s="53">
        <f>(SUMIF($17:$17,R108,$18:$18)-SUMIF($17:$17,$R$24,$18:$18)+100)/100</f>
        <v>1</v>
      </c>
      <c r="T108" s="493">
        <f>IF(D108="",0,ROUND($T$24*E108*G108*I108*K108*M108*O108*Q108*S108,0))</f>
        <v>0</v>
      </c>
      <c r="U108" s="802">
        <f t="shared" si="13"/>
        <v>0</v>
      </c>
    </row>
    <row r="109" spans="3:21">
      <c r="C109" s="967"/>
      <c r="D109" s="137"/>
      <c r="E109" s="53">
        <f>IF(D109="",1,(LOOKUP(D109,$3:$3,$4:$4)-LOOKUP($D$24,$3:$3,$4:$4)+100)/100)</f>
        <v>1</v>
      </c>
      <c r="F109" s="965"/>
      <c r="G109" s="53">
        <f>(SUMIF($5:$5,F109,$6:$6)-SUMIF($5:$5,$F$24,$6:$6)+100)/100</f>
        <v>0.01</v>
      </c>
      <c r="H109" s="965"/>
      <c r="I109" s="53">
        <f>(SUMIF($7:$7,H109,$8:$8)-SUMIF($7:$7,$H$24,$8:$8)+100)/100</f>
        <v>0.04</v>
      </c>
      <c r="J109" s="965"/>
      <c r="K109" s="53">
        <f>(SUMIF($9:$9,J109,$10:$10)-SUMIF($9:$9,$J$24,$10:$10)+100)/100</f>
        <v>0.04</v>
      </c>
      <c r="L109" s="965"/>
      <c r="M109" s="53">
        <f>(SUMIF($11:$11,L109,$12:$12)-SUMIF($11:$11,$L$24,$12:$12)+100)/100</f>
        <v>1</v>
      </c>
      <c r="N109" s="965"/>
      <c r="O109" s="53">
        <f>(SUMIF($13:$13,N109,$14:$14)-SUMIF($13:$13,$N$24,$14:$14)+100)/100</f>
        <v>1</v>
      </c>
      <c r="P109" s="965"/>
      <c r="Q109" s="53">
        <f>(SUMIF($15:$15,P109,$16:$16)-SUMIF($15:$15,$P$24,$16:$16)+100)/100</f>
        <v>1</v>
      </c>
      <c r="R109" s="965"/>
      <c r="S109" s="53">
        <f>(SUMIF($17:$17,R109,$18:$18)-SUMIF($17:$17,$R$24,$18:$18)+100)/100</f>
        <v>1</v>
      </c>
      <c r="T109" s="493">
        <f>IF(D109="",0,ROUND($T$24*E109*G109*I109*K109*M109*O109*Q109*S109,0))</f>
        <v>0</v>
      </c>
      <c r="U109" s="802">
        <f t="shared" si="13"/>
        <v>0</v>
      </c>
    </row>
    <row r="110" spans="3:21">
      <c r="C110" s="967"/>
      <c r="D110" s="137"/>
      <c r="E110" s="53">
        <f>IF(D110="",1,(LOOKUP(D110,$3:$3,$4:$4)-LOOKUP($D$24,$3:$3,$4:$4)+100)/100)</f>
        <v>1</v>
      </c>
      <c r="F110" s="965"/>
      <c r="G110" s="53">
        <f>(SUMIF($5:$5,F110,$6:$6)-SUMIF($5:$5,$F$24,$6:$6)+100)/100</f>
        <v>0.01</v>
      </c>
      <c r="H110" s="965"/>
      <c r="I110" s="53">
        <f>(SUMIF($7:$7,H110,$8:$8)-SUMIF($7:$7,$H$24,$8:$8)+100)/100</f>
        <v>0.04</v>
      </c>
      <c r="J110" s="965"/>
      <c r="K110" s="53">
        <f>(SUMIF($9:$9,J110,$10:$10)-SUMIF($9:$9,$J$24,$10:$10)+100)/100</f>
        <v>0.04</v>
      </c>
      <c r="L110" s="965"/>
      <c r="M110" s="53">
        <f>(SUMIF($11:$11,L110,$12:$12)-SUMIF($11:$11,$L$24,$12:$12)+100)/100</f>
        <v>1</v>
      </c>
      <c r="N110" s="965"/>
      <c r="O110" s="53">
        <f>(SUMIF($13:$13,N110,$14:$14)-SUMIF($13:$13,$N$24,$14:$14)+100)/100</f>
        <v>1</v>
      </c>
      <c r="P110" s="965"/>
      <c r="Q110" s="53">
        <f>(SUMIF($15:$15,P110,$16:$16)-SUMIF($15:$15,$P$24,$16:$16)+100)/100</f>
        <v>1</v>
      </c>
      <c r="R110" s="965"/>
      <c r="S110" s="53">
        <f>(SUMIF($17:$17,R110,$18:$18)-SUMIF($17:$17,$R$24,$18:$18)+100)/100</f>
        <v>1</v>
      </c>
      <c r="T110" s="493">
        <f>IF(D110="",0,ROUND($T$24*E110*G110*I110*K110*M110*O110*Q110*S110,0))</f>
        <v>0</v>
      </c>
      <c r="U110" s="802">
        <f t="shared" si="13"/>
        <v>0</v>
      </c>
    </row>
    <row r="111" spans="3:21">
      <c r="C111" s="967"/>
      <c r="D111" s="137"/>
      <c r="E111" s="53">
        <f>IF(D111="",1,(LOOKUP(D111,$3:$3,$4:$4)-LOOKUP($D$24,$3:$3,$4:$4)+100)/100)</f>
        <v>1</v>
      </c>
      <c r="F111" s="965"/>
      <c r="G111" s="53">
        <f>(SUMIF($5:$5,F111,$6:$6)-SUMIF($5:$5,$F$24,$6:$6)+100)/100</f>
        <v>0.01</v>
      </c>
      <c r="H111" s="965"/>
      <c r="I111" s="53">
        <f>(SUMIF($7:$7,H111,$8:$8)-SUMIF($7:$7,$H$24,$8:$8)+100)/100</f>
        <v>0.04</v>
      </c>
      <c r="J111" s="965"/>
      <c r="K111" s="53">
        <f>(SUMIF($9:$9,J111,$10:$10)-SUMIF($9:$9,$J$24,$10:$10)+100)/100</f>
        <v>0.04</v>
      </c>
      <c r="L111" s="965"/>
      <c r="M111" s="53">
        <f>(SUMIF($11:$11,L111,$12:$12)-SUMIF($11:$11,$L$24,$12:$12)+100)/100</f>
        <v>1</v>
      </c>
      <c r="N111" s="965"/>
      <c r="O111" s="53">
        <f>(SUMIF($13:$13,N111,$14:$14)-SUMIF($13:$13,$N$24,$14:$14)+100)/100</f>
        <v>1</v>
      </c>
      <c r="P111" s="965"/>
      <c r="Q111" s="53">
        <f>(SUMIF($15:$15,P111,$16:$16)-SUMIF($15:$15,$P$24,$16:$16)+100)/100</f>
        <v>1</v>
      </c>
      <c r="R111" s="965"/>
      <c r="S111" s="53">
        <f>(SUMIF($17:$17,R111,$18:$18)-SUMIF($17:$17,$R$24,$18:$18)+100)/100</f>
        <v>1</v>
      </c>
      <c r="T111" s="493">
        <f>IF(D111="",0,ROUND($T$24*E111*G111*I111*K111*M111*O111*Q111*S111,0))</f>
        <v>0</v>
      </c>
      <c r="U111" s="802">
        <f t="shared" si="13"/>
        <v>0</v>
      </c>
    </row>
    <row r="112" spans="3:21">
      <c r="C112" s="967"/>
      <c r="D112" s="137"/>
      <c r="E112" s="53">
        <f>IF(D112="",1,(LOOKUP(D112,$3:$3,$4:$4)-LOOKUP($D$24,$3:$3,$4:$4)+100)/100)</f>
        <v>1</v>
      </c>
      <c r="F112" s="965"/>
      <c r="G112" s="53">
        <f>(SUMIF($5:$5,F112,$6:$6)-SUMIF($5:$5,$F$24,$6:$6)+100)/100</f>
        <v>0.01</v>
      </c>
      <c r="H112" s="965"/>
      <c r="I112" s="53">
        <f>(SUMIF($7:$7,H112,$8:$8)-SUMIF($7:$7,$H$24,$8:$8)+100)/100</f>
        <v>0.04</v>
      </c>
      <c r="J112" s="965"/>
      <c r="K112" s="53">
        <f>(SUMIF($9:$9,J112,$10:$10)-SUMIF($9:$9,$J$24,$10:$10)+100)/100</f>
        <v>0.04</v>
      </c>
      <c r="L112" s="965"/>
      <c r="M112" s="53">
        <f>(SUMIF($11:$11,L112,$12:$12)-SUMIF($11:$11,$L$24,$12:$12)+100)/100</f>
        <v>1</v>
      </c>
      <c r="N112" s="965"/>
      <c r="O112" s="53">
        <f>(SUMIF($13:$13,N112,$14:$14)-SUMIF($13:$13,$N$24,$14:$14)+100)/100</f>
        <v>1</v>
      </c>
      <c r="P112" s="965"/>
      <c r="Q112" s="53">
        <f>(SUMIF($15:$15,P112,$16:$16)-SUMIF($15:$15,$P$24,$16:$16)+100)/100</f>
        <v>1</v>
      </c>
      <c r="R112" s="965"/>
      <c r="S112" s="53">
        <f>(SUMIF($17:$17,R112,$18:$18)-SUMIF($17:$17,$R$24,$18:$18)+100)/100</f>
        <v>1</v>
      </c>
      <c r="T112" s="493">
        <f>IF(D112="",0,ROUND($T$24*E112*G112*I112*K112*M112*O112*Q112*S112,0))</f>
        <v>0</v>
      </c>
      <c r="U112" s="802">
        <f t="shared" si="13"/>
        <v>0</v>
      </c>
    </row>
    <row r="113" spans="3:21">
      <c r="C113" s="967"/>
      <c r="D113" s="137"/>
      <c r="E113" s="53">
        <f>IF(D113="",1,(LOOKUP(D113,$3:$3,$4:$4)-LOOKUP($D$24,$3:$3,$4:$4)+100)/100)</f>
        <v>1</v>
      </c>
      <c r="F113" s="965"/>
      <c r="G113" s="53">
        <f>(SUMIF($5:$5,F113,$6:$6)-SUMIF($5:$5,$F$24,$6:$6)+100)/100</f>
        <v>0.01</v>
      </c>
      <c r="H113" s="965"/>
      <c r="I113" s="53">
        <f>(SUMIF($7:$7,H113,$8:$8)-SUMIF($7:$7,$H$24,$8:$8)+100)/100</f>
        <v>0.04</v>
      </c>
      <c r="J113" s="965"/>
      <c r="K113" s="53">
        <f>(SUMIF($9:$9,J113,$10:$10)-SUMIF($9:$9,$J$24,$10:$10)+100)/100</f>
        <v>0.04</v>
      </c>
      <c r="L113" s="965"/>
      <c r="M113" s="53">
        <f>(SUMIF($11:$11,L113,$12:$12)-SUMIF($11:$11,$L$24,$12:$12)+100)/100</f>
        <v>1</v>
      </c>
      <c r="N113" s="965"/>
      <c r="O113" s="53">
        <f>(SUMIF($13:$13,N113,$14:$14)-SUMIF($13:$13,$N$24,$14:$14)+100)/100</f>
        <v>1</v>
      </c>
      <c r="P113" s="965"/>
      <c r="Q113" s="53">
        <f>(SUMIF($15:$15,P113,$16:$16)-SUMIF($15:$15,$P$24,$16:$16)+100)/100</f>
        <v>1</v>
      </c>
      <c r="R113" s="965"/>
      <c r="S113" s="53">
        <f>(SUMIF($17:$17,R113,$18:$18)-SUMIF($17:$17,$R$24,$18:$18)+100)/100</f>
        <v>1</v>
      </c>
      <c r="T113" s="493">
        <f>IF(D113="",0,ROUND($T$24*E113*G113*I113*K113*M113*O113*Q113*S113,0))</f>
        <v>0</v>
      </c>
      <c r="U113" s="802">
        <f t="shared" si="13"/>
        <v>0</v>
      </c>
    </row>
    <row r="114" spans="3:21">
      <c r="C114" s="967"/>
      <c r="D114" s="137"/>
      <c r="E114" s="53">
        <f>IF(D114="",1,(LOOKUP(D114,$3:$3,$4:$4)-LOOKUP($D$24,$3:$3,$4:$4)+100)/100)</f>
        <v>1</v>
      </c>
      <c r="F114" s="965"/>
      <c r="G114" s="53">
        <f>(SUMIF($5:$5,F114,$6:$6)-SUMIF($5:$5,$F$24,$6:$6)+100)/100</f>
        <v>0.01</v>
      </c>
      <c r="H114" s="965"/>
      <c r="I114" s="53">
        <f>(SUMIF($7:$7,H114,$8:$8)-SUMIF($7:$7,$H$24,$8:$8)+100)/100</f>
        <v>0.04</v>
      </c>
      <c r="J114" s="965"/>
      <c r="K114" s="53">
        <f>(SUMIF($9:$9,J114,$10:$10)-SUMIF($9:$9,$J$24,$10:$10)+100)/100</f>
        <v>0.04</v>
      </c>
      <c r="L114" s="965"/>
      <c r="M114" s="53">
        <f>(SUMIF($11:$11,L114,$12:$12)-SUMIF($11:$11,$L$24,$12:$12)+100)/100</f>
        <v>1</v>
      </c>
      <c r="N114" s="965"/>
      <c r="O114" s="53">
        <f>(SUMIF($13:$13,N114,$14:$14)-SUMIF($13:$13,$N$24,$14:$14)+100)/100</f>
        <v>1</v>
      </c>
      <c r="P114" s="965"/>
      <c r="Q114" s="53">
        <f>(SUMIF($15:$15,P114,$16:$16)-SUMIF($15:$15,$P$24,$16:$16)+100)/100</f>
        <v>1</v>
      </c>
      <c r="R114" s="965"/>
      <c r="S114" s="53">
        <f>(SUMIF($17:$17,R114,$18:$18)-SUMIF($17:$17,$R$24,$18:$18)+100)/100</f>
        <v>1</v>
      </c>
      <c r="T114" s="493">
        <f>IF(D114="",0,ROUND($T$24*E114*G114*I114*K114*M114*O114*Q114*S114,0))</f>
        <v>0</v>
      </c>
      <c r="U114" s="802">
        <f t="shared" si="13"/>
        <v>0</v>
      </c>
    </row>
    <row r="115" spans="3:21">
      <c r="C115" s="967"/>
      <c r="D115" s="137"/>
      <c r="E115" s="53">
        <f>IF(D115="",1,(LOOKUP(D115,$3:$3,$4:$4)-LOOKUP($D$24,$3:$3,$4:$4)+100)/100)</f>
        <v>1</v>
      </c>
      <c r="F115" s="965"/>
      <c r="G115" s="53">
        <f>(SUMIF($5:$5,F115,$6:$6)-SUMIF($5:$5,$F$24,$6:$6)+100)/100</f>
        <v>0.01</v>
      </c>
      <c r="H115" s="965"/>
      <c r="I115" s="53">
        <f>(SUMIF($7:$7,H115,$8:$8)-SUMIF($7:$7,$H$24,$8:$8)+100)/100</f>
        <v>0.04</v>
      </c>
      <c r="J115" s="965"/>
      <c r="K115" s="53">
        <f>(SUMIF($9:$9,J115,$10:$10)-SUMIF($9:$9,$J$24,$10:$10)+100)/100</f>
        <v>0.04</v>
      </c>
      <c r="L115" s="965"/>
      <c r="M115" s="53">
        <f>(SUMIF($11:$11,L115,$12:$12)-SUMIF($11:$11,$L$24,$12:$12)+100)/100</f>
        <v>1</v>
      </c>
      <c r="N115" s="965"/>
      <c r="O115" s="53">
        <f>(SUMIF($13:$13,N115,$14:$14)-SUMIF($13:$13,$N$24,$14:$14)+100)/100</f>
        <v>1</v>
      </c>
      <c r="P115" s="965"/>
      <c r="Q115" s="53">
        <f>(SUMIF($15:$15,P115,$16:$16)-SUMIF($15:$15,$P$24,$16:$16)+100)/100</f>
        <v>1</v>
      </c>
      <c r="R115" s="965"/>
      <c r="S115" s="53">
        <f>(SUMIF($17:$17,R115,$18:$18)-SUMIF($17:$17,$R$24,$18:$18)+100)/100</f>
        <v>1</v>
      </c>
      <c r="T115" s="493">
        <f>IF(D115="",0,ROUND($T$24*E115*G115*I115*K115*M115*O115*Q115*S115,0))</f>
        <v>0</v>
      </c>
      <c r="U115" s="802">
        <f t="shared" si="13"/>
        <v>0</v>
      </c>
    </row>
    <row r="116" spans="3:21">
      <c r="C116" s="967"/>
      <c r="D116" s="137"/>
      <c r="E116" s="53">
        <f>IF(D116="",1,(LOOKUP(D116,$3:$3,$4:$4)-LOOKUP($D$24,$3:$3,$4:$4)+100)/100)</f>
        <v>1</v>
      </c>
      <c r="F116" s="965"/>
      <c r="G116" s="53">
        <f>(SUMIF($5:$5,F116,$6:$6)-SUMIF($5:$5,$F$24,$6:$6)+100)/100</f>
        <v>0.01</v>
      </c>
      <c r="H116" s="965"/>
      <c r="I116" s="53">
        <f>(SUMIF($7:$7,H116,$8:$8)-SUMIF($7:$7,$H$24,$8:$8)+100)/100</f>
        <v>0.04</v>
      </c>
      <c r="J116" s="965"/>
      <c r="K116" s="53">
        <f>(SUMIF($9:$9,J116,$10:$10)-SUMIF($9:$9,$J$24,$10:$10)+100)/100</f>
        <v>0.04</v>
      </c>
      <c r="L116" s="965"/>
      <c r="M116" s="53">
        <f>(SUMIF($11:$11,L116,$12:$12)-SUMIF($11:$11,$L$24,$12:$12)+100)/100</f>
        <v>1</v>
      </c>
      <c r="N116" s="965"/>
      <c r="O116" s="53">
        <f>(SUMIF($13:$13,N116,$14:$14)-SUMIF($13:$13,$N$24,$14:$14)+100)/100</f>
        <v>1</v>
      </c>
      <c r="P116" s="965"/>
      <c r="Q116" s="53">
        <f>(SUMIF($15:$15,P116,$16:$16)-SUMIF($15:$15,$P$24,$16:$16)+100)/100</f>
        <v>1</v>
      </c>
      <c r="R116" s="965"/>
      <c r="S116" s="53">
        <f>(SUMIF($17:$17,R116,$18:$18)-SUMIF($17:$17,$R$24,$18:$18)+100)/100</f>
        <v>1</v>
      </c>
      <c r="T116" s="493">
        <f>IF(D116="",0,ROUND($T$24*E116*G116*I116*K116*M116*O116*Q116*S116,0))</f>
        <v>0</v>
      </c>
      <c r="U116" s="802">
        <f t="shared" si="13"/>
        <v>0</v>
      </c>
    </row>
    <row r="117" spans="3:21">
      <c r="C117" s="967"/>
      <c r="D117" s="137"/>
      <c r="E117" s="53">
        <f>IF(D117="",1,(LOOKUP(D117,$3:$3,$4:$4)-LOOKUP($D$24,$3:$3,$4:$4)+100)/100)</f>
        <v>1</v>
      </c>
      <c r="F117" s="965"/>
      <c r="G117" s="53">
        <f>(SUMIF($5:$5,F117,$6:$6)-SUMIF($5:$5,$F$24,$6:$6)+100)/100</f>
        <v>0.01</v>
      </c>
      <c r="H117" s="965"/>
      <c r="I117" s="53">
        <f>(SUMIF($7:$7,H117,$8:$8)-SUMIF($7:$7,$H$24,$8:$8)+100)/100</f>
        <v>0.04</v>
      </c>
      <c r="J117" s="965"/>
      <c r="K117" s="53">
        <f>(SUMIF($9:$9,J117,$10:$10)-SUMIF($9:$9,$J$24,$10:$10)+100)/100</f>
        <v>0.04</v>
      </c>
      <c r="L117" s="965"/>
      <c r="M117" s="53">
        <f>(SUMIF($11:$11,L117,$12:$12)-SUMIF($11:$11,$L$24,$12:$12)+100)/100</f>
        <v>1</v>
      </c>
      <c r="N117" s="965"/>
      <c r="O117" s="53">
        <f>(SUMIF($13:$13,N117,$14:$14)-SUMIF($13:$13,$N$24,$14:$14)+100)/100</f>
        <v>1</v>
      </c>
      <c r="P117" s="965"/>
      <c r="Q117" s="53">
        <f>(SUMIF($15:$15,P117,$16:$16)-SUMIF($15:$15,$P$24,$16:$16)+100)/100</f>
        <v>1</v>
      </c>
      <c r="R117" s="965"/>
      <c r="S117" s="53">
        <f>(SUMIF($17:$17,R117,$18:$18)-SUMIF($17:$17,$R$24,$18:$18)+100)/100</f>
        <v>1</v>
      </c>
      <c r="T117" s="493">
        <f>IF(D117="",0,ROUND($T$24*E117*G117*I117*K117*M117*O117*Q117*S117,0))</f>
        <v>0</v>
      </c>
      <c r="U117" s="802">
        <f t="shared" si="13"/>
        <v>0</v>
      </c>
    </row>
    <row r="118" spans="3:21">
      <c r="C118" s="967"/>
      <c r="D118" s="137"/>
      <c r="E118" s="53">
        <f>IF(D118="",1,(LOOKUP(D118,$3:$3,$4:$4)-LOOKUP($D$24,$3:$3,$4:$4)+100)/100)</f>
        <v>1</v>
      </c>
      <c r="F118" s="965"/>
      <c r="G118" s="53">
        <f>(SUMIF($5:$5,F118,$6:$6)-SUMIF($5:$5,$F$24,$6:$6)+100)/100</f>
        <v>0.01</v>
      </c>
      <c r="H118" s="965"/>
      <c r="I118" s="53">
        <f>(SUMIF($7:$7,H118,$8:$8)-SUMIF($7:$7,$H$24,$8:$8)+100)/100</f>
        <v>0.04</v>
      </c>
      <c r="J118" s="965"/>
      <c r="K118" s="53">
        <f>(SUMIF($9:$9,J118,$10:$10)-SUMIF($9:$9,$J$24,$10:$10)+100)/100</f>
        <v>0.04</v>
      </c>
      <c r="L118" s="965"/>
      <c r="M118" s="53">
        <f>(SUMIF($11:$11,L118,$12:$12)-SUMIF($11:$11,$L$24,$12:$12)+100)/100</f>
        <v>1</v>
      </c>
      <c r="N118" s="965"/>
      <c r="O118" s="53">
        <f>(SUMIF($13:$13,N118,$14:$14)-SUMIF($13:$13,$N$24,$14:$14)+100)/100</f>
        <v>1</v>
      </c>
      <c r="P118" s="965"/>
      <c r="Q118" s="53">
        <f>(SUMIF($15:$15,P118,$16:$16)-SUMIF($15:$15,$P$24,$16:$16)+100)/100</f>
        <v>1</v>
      </c>
      <c r="R118" s="965"/>
      <c r="S118" s="53">
        <f>(SUMIF($17:$17,R118,$18:$18)-SUMIF($17:$17,$R$24,$18:$18)+100)/100</f>
        <v>1</v>
      </c>
      <c r="T118" s="493">
        <f>IF(D118="",0,ROUND($T$24*E118*G118*I118*K118*M118*O118*Q118*S118,0))</f>
        <v>0</v>
      </c>
      <c r="U118" s="802">
        <f t="shared" si="13"/>
        <v>0</v>
      </c>
    </row>
    <row r="119" spans="3:21">
      <c r="C119" s="967"/>
      <c r="D119" s="137"/>
      <c r="E119" s="53">
        <f>IF(D119="",1,(LOOKUP(D119,$3:$3,$4:$4)-LOOKUP($D$24,$3:$3,$4:$4)+100)/100)</f>
        <v>1</v>
      </c>
      <c r="F119" s="965"/>
      <c r="G119" s="53">
        <f>(SUMIF($5:$5,F119,$6:$6)-SUMIF($5:$5,$F$24,$6:$6)+100)/100</f>
        <v>0.01</v>
      </c>
      <c r="H119" s="965"/>
      <c r="I119" s="53">
        <f>(SUMIF($7:$7,H119,$8:$8)-SUMIF($7:$7,$H$24,$8:$8)+100)/100</f>
        <v>0.04</v>
      </c>
      <c r="J119" s="965"/>
      <c r="K119" s="53">
        <f>(SUMIF($9:$9,J119,$10:$10)-SUMIF($9:$9,$J$24,$10:$10)+100)/100</f>
        <v>0.04</v>
      </c>
      <c r="L119" s="965"/>
      <c r="M119" s="53">
        <f>(SUMIF($11:$11,L119,$12:$12)-SUMIF($11:$11,$L$24,$12:$12)+100)/100</f>
        <v>1</v>
      </c>
      <c r="N119" s="965"/>
      <c r="O119" s="53">
        <f>(SUMIF($13:$13,N119,$14:$14)-SUMIF($13:$13,$N$24,$14:$14)+100)/100</f>
        <v>1</v>
      </c>
      <c r="P119" s="965"/>
      <c r="Q119" s="53">
        <f>(SUMIF($15:$15,P119,$16:$16)-SUMIF($15:$15,$P$24,$16:$16)+100)/100</f>
        <v>1</v>
      </c>
      <c r="R119" s="965"/>
      <c r="S119" s="53">
        <f>(SUMIF($17:$17,R119,$18:$18)-SUMIF($17:$17,$R$24,$18:$18)+100)/100</f>
        <v>1</v>
      </c>
      <c r="T119" s="493">
        <f>IF(D119="",0,ROUND($T$24*E119*G119*I119*K119*M119*O119*Q119*S119,0))</f>
        <v>0</v>
      </c>
      <c r="U119" s="802">
        <f t="shared" si="13"/>
        <v>0</v>
      </c>
    </row>
    <row r="120" spans="3:21">
      <c r="C120" s="967"/>
      <c r="D120" s="137"/>
      <c r="E120" s="53">
        <f>IF(D120="",1,(LOOKUP(D120,$3:$3,$4:$4)-LOOKUP($D$24,$3:$3,$4:$4)+100)/100)</f>
        <v>1</v>
      </c>
      <c r="F120" s="965"/>
      <c r="G120" s="53">
        <f>(SUMIF($5:$5,F120,$6:$6)-SUMIF($5:$5,$F$24,$6:$6)+100)/100</f>
        <v>0.01</v>
      </c>
      <c r="H120" s="965"/>
      <c r="I120" s="53">
        <f>(SUMIF($7:$7,H120,$8:$8)-SUMIF($7:$7,$H$24,$8:$8)+100)/100</f>
        <v>0.04</v>
      </c>
      <c r="J120" s="965"/>
      <c r="K120" s="53">
        <f>(SUMIF($9:$9,J120,$10:$10)-SUMIF($9:$9,$J$24,$10:$10)+100)/100</f>
        <v>0.04</v>
      </c>
      <c r="L120" s="965"/>
      <c r="M120" s="53">
        <f>(SUMIF($11:$11,L120,$12:$12)-SUMIF($11:$11,$L$24,$12:$12)+100)/100</f>
        <v>1</v>
      </c>
      <c r="N120" s="965"/>
      <c r="O120" s="53">
        <f>(SUMIF($13:$13,N120,$14:$14)-SUMIF($13:$13,$N$24,$14:$14)+100)/100</f>
        <v>1</v>
      </c>
      <c r="P120" s="965"/>
      <c r="Q120" s="53">
        <f>(SUMIF($15:$15,P120,$16:$16)-SUMIF($15:$15,$P$24,$16:$16)+100)/100</f>
        <v>1</v>
      </c>
      <c r="R120" s="965"/>
      <c r="S120" s="53">
        <f>(SUMIF($17:$17,R120,$18:$18)-SUMIF($17:$17,$R$24,$18:$18)+100)/100</f>
        <v>1</v>
      </c>
      <c r="T120" s="493">
        <f>IF(D120="",0,ROUND($T$24*E120*G120*I120*K120*M120*O120*Q120*S120,0))</f>
        <v>0</v>
      </c>
      <c r="U120" s="802">
        <f t="shared" si="13"/>
        <v>0</v>
      </c>
    </row>
    <row r="121" spans="3:21">
      <c r="C121" s="967"/>
      <c r="D121" s="137"/>
      <c r="E121" s="53">
        <f>IF(D121="",1,(LOOKUP(D121,$3:$3,$4:$4)-LOOKUP($D$24,$3:$3,$4:$4)+100)/100)</f>
        <v>1</v>
      </c>
      <c r="F121" s="965"/>
      <c r="G121" s="53">
        <f>(SUMIF($5:$5,F121,$6:$6)-SUMIF($5:$5,$F$24,$6:$6)+100)/100</f>
        <v>0.01</v>
      </c>
      <c r="H121" s="965"/>
      <c r="I121" s="53">
        <f>(SUMIF($7:$7,H121,$8:$8)-SUMIF($7:$7,$H$24,$8:$8)+100)/100</f>
        <v>0.04</v>
      </c>
      <c r="J121" s="965"/>
      <c r="K121" s="53">
        <f>(SUMIF($9:$9,J121,$10:$10)-SUMIF($9:$9,$J$24,$10:$10)+100)/100</f>
        <v>0.04</v>
      </c>
      <c r="L121" s="965"/>
      <c r="M121" s="53">
        <f>(SUMIF($11:$11,L121,$12:$12)-SUMIF($11:$11,$L$24,$12:$12)+100)/100</f>
        <v>1</v>
      </c>
      <c r="N121" s="965"/>
      <c r="O121" s="53">
        <f>(SUMIF($13:$13,N121,$14:$14)-SUMIF($13:$13,$N$24,$14:$14)+100)/100</f>
        <v>1</v>
      </c>
      <c r="P121" s="965"/>
      <c r="Q121" s="53">
        <f>(SUMIF($15:$15,P121,$16:$16)-SUMIF($15:$15,$P$24,$16:$16)+100)/100</f>
        <v>1</v>
      </c>
      <c r="R121" s="965"/>
      <c r="S121" s="53">
        <f>(SUMIF($17:$17,R121,$18:$18)-SUMIF($17:$17,$R$24,$18:$18)+100)/100</f>
        <v>1</v>
      </c>
      <c r="T121" s="493">
        <f>IF(D121="",0,ROUND($T$24*E121*G121*I121*K121*M121*O121*Q121*S121,0))</f>
        <v>0</v>
      </c>
      <c r="U121" s="802">
        <f t="shared" si="13"/>
        <v>0</v>
      </c>
    </row>
    <row r="122" spans="3:21">
      <c r="C122" s="967"/>
      <c r="D122" s="137"/>
      <c r="E122" s="53">
        <f>IF(D122="",1,(LOOKUP(D122,$3:$3,$4:$4)-LOOKUP($D$24,$3:$3,$4:$4)+100)/100)</f>
        <v>1</v>
      </c>
      <c r="F122" s="965"/>
      <c r="G122" s="53">
        <f>(SUMIF($5:$5,F122,$6:$6)-SUMIF($5:$5,$F$24,$6:$6)+100)/100</f>
        <v>0.01</v>
      </c>
      <c r="H122" s="965"/>
      <c r="I122" s="53">
        <f>(SUMIF($7:$7,H122,$8:$8)-SUMIF($7:$7,$H$24,$8:$8)+100)/100</f>
        <v>0.04</v>
      </c>
      <c r="J122" s="965"/>
      <c r="K122" s="53">
        <f>(SUMIF($9:$9,J122,$10:$10)-SUMIF($9:$9,$J$24,$10:$10)+100)/100</f>
        <v>0.04</v>
      </c>
      <c r="L122" s="965"/>
      <c r="M122" s="53">
        <f>(SUMIF($11:$11,L122,$12:$12)-SUMIF($11:$11,$L$24,$12:$12)+100)/100</f>
        <v>1</v>
      </c>
      <c r="N122" s="965"/>
      <c r="O122" s="53">
        <f>(SUMIF($13:$13,N122,$14:$14)-SUMIF($13:$13,$N$24,$14:$14)+100)/100</f>
        <v>1</v>
      </c>
      <c r="P122" s="965"/>
      <c r="Q122" s="53">
        <f>(SUMIF($15:$15,P122,$16:$16)-SUMIF($15:$15,$P$24,$16:$16)+100)/100</f>
        <v>1</v>
      </c>
      <c r="R122" s="965"/>
      <c r="S122" s="53">
        <f>(SUMIF($17:$17,R122,$18:$18)-SUMIF($17:$17,$R$24,$18:$18)+100)/100</f>
        <v>1</v>
      </c>
      <c r="T122" s="493">
        <f>IF(D122="",0,ROUND($T$24*E122*G122*I122*K122*M122*O122*Q122*S122,0))</f>
        <v>0</v>
      </c>
      <c r="U122" s="802">
        <f t="shared" si="13"/>
        <v>0</v>
      </c>
    </row>
    <row r="123" spans="3:21">
      <c r="C123" s="967"/>
      <c r="D123" s="137"/>
      <c r="E123" s="53">
        <f>IF(D123="",1,(LOOKUP(D123,$3:$3,$4:$4)-LOOKUP($D$24,$3:$3,$4:$4)+100)/100)</f>
        <v>1</v>
      </c>
      <c r="F123" s="965"/>
      <c r="G123" s="53">
        <f>(SUMIF($5:$5,F123,$6:$6)-SUMIF($5:$5,$F$24,$6:$6)+100)/100</f>
        <v>0.01</v>
      </c>
      <c r="H123" s="965"/>
      <c r="I123" s="53">
        <f>(SUMIF($7:$7,H123,$8:$8)-SUMIF($7:$7,$H$24,$8:$8)+100)/100</f>
        <v>0.04</v>
      </c>
      <c r="J123" s="965"/>
      <c r="K123" s="53">
        <f>(SUMIF($9:$9,J123,$10:$10)-SUMIF($9:$9,$J$24,$10:$10)+100)/100</f>
        <v>0.04</v>
      </c>
      <c r="L123" s="965"/>
      <c r="M123" s="53">
        <f>(SUMIF($11:$11,L123,$12:$12)-SUMIF($11:$11,$L$24,$12:$12)+100)/100</f>
        <v>1</v>
      </c>
      <c r="N123" s="965"/>
      <c r="O123" s="53">
        <f>(SUMIF($13:$13,N123,$14:$14)-SUMIF($13:$13,$N$24,$14:$14)+100)/100</f>
        <v>1</v>
      </c>
      <c r="P123" s="965"/>
      <c r="Q123" s="53">
        <f>(SUMIF($15:$15,P123,$16:$16)-SUMIF($15:$15,$P$24,$16:$16)+100)/100</f>
        <v>1</v>
      </c>
      <c r="R123" s="965"/>
      <c r="S123" s="53">
        <f>(SUMIF($17:$17,R123,$18:$18)-SUMIF($17:$17,$R$24,$18:$18)+100)/100</f>
        <v>1</v>
      </c>
      <c r="T123" s="493">
        <f>IF(D123="",0,ROUND($T$24*E123*G123*I123*K123*M123*O123*Q123*S123,0))</f>
        <v>0</v>
      </c>
      <c r="U123" s="802">
        <f t="shared" ref="U123:U186" si="14">ROUND(T123*D123/10000,0)</f>
        <v>0</v>
      </c>
    </row>
    <row r="124" spans="3:21">
      <c r="C124" s="967"/>
      <c r="D124" s="137"/>
      <c r="E124" s="53">
        <f>IF(D124="",1,(LOOKUP(D124,$3:$3,$4:$4)-LOOKUP($D$24,$3:$3,$4:$4)+100)/100)</f>
        <v>1</v>
      </c>
      <c r="F124" s="965"/>
      <c r="G124" s="53">
        <f>(SUMIF($5:$5,F124,$6:$6)-SUMIF($5:$5,$F$24,$6:$6)+100)/100</f>
        <v>0.01</v>
      </c>
      <c r="H124" s="965"/>
      <c r="I124" s="53">
        <f>(SUMIF($7:$7,H124,$8:$8)-SUMIF($7:$7,$H$24,$8:$8)+100)/100</f>
        <v>0.04</v>
      </c>
      <c r="J124" s="965"/>
      <c r="K124" s="53">
        <f>(SUMIF($9:$9,J124,$10:$10)-SUMIF($9:$9,$J$24,$10:$10)+100)/100</f>
        <v>0.04</v>
      </c>
      <c r="L124" s="965"/>
      <c r="M124" s="53">
        <f>(SUMIF($11:$11,L124,$12:$12)-SUMIF($11:$11,$L$24,$12:$12)+100)/100</f>
        <v>1</v>
      </c>
      <c r="N124" s="965"/>
      <c r="O124" s="53">
        <f>(SUMIF($13:$13,N124,$14:$14)-SUMIF($13:$13,$N$24,$14:$14)+100)/100</f>
        <v>1</v>
      </c>
      <c r="P124" s="965"/>
      <c r="Q124" s="53">
        <f>(SUMIF($15:$15,P124,$16:$16)-SUMIF($15:$15,$P$24,$16:$16)+100)/100</f>
        <v>1</v>
      </c>
      <c r="R124" s="965"/>
      <c r="S124" s="53">
        <f>(SUMIF($17:$17,R124,$18:$18)-SUMIF($17:$17,$R$24,$18:$18)+100)/100</f>
        <v>1</v>
      </c>
      <c r="T124" s="493">
        <f>IF(D124="",0,ROUND($T$24*E124*G124*I124*K124*M124*O124*Q124*S124,0))</f>
        <v>0</v>
      </c>
      <c r="U124" s="802">
        <f t="shared" si="14"/>
        <v>0</v>
      </c>
    </row>
    <row r="125" spans="3:21">
      <c r="C125" s="967"/>
      <c r="D125" s="137"/>
      <c r="E125" s="53">
        <f>IF(D125="",1,(LOOKUP(D125,$3:$3,$4:$4)-LOOKUP($D$24,$3:$3,$4:$4)+100)/100)</f>
        <v>1</v>
      </c>
      <c r="F125" s="965"/>
      <c r="G125" s="53">
        <f>(SUMIF($5:$5,F125,$6:$6)-SUMIF($5:$5,$F$24,$6:$6)+100)/100</f>
        <v>0.01</v>
      </c>
      <c r="H125" s="965"/>
      <c r="I125" s="53">
        <f>(SUMIF($7:$7,H125,$8:$8)-SUMIF($7:$7,$H$24,$8:$8)+100)/100</f>
        <v>0.04</v>
      </c>
      <c r="J125" s="965"/>
      <c r="K125" s="53">
        <f>(SUMIF($9:$9,J125,$10:$10)-SUMIF($9:$9,$J$24,$10:$10)+100)/100</f>
        <v>0.04</v>
      </c>
      <c r="L125" s="965"/>
      <c r="M125" s="53">
        <f>(SUMIF($11:$11,L125,$12:$12)-SUMIF($11:$11,$L$24,$12:$12)+100)/100</f>
        <v>1</v>
      </c>
      <c r="N125" s="965"/>
      <c r="O125" s="53">
        <f>(SUMIF($13:$13,N125,$14:$14)-SUMIF($13:$13,$N$24,$14:$14)+100)/100</f>
        <v>1</v>
      </c>
      <c r="P125" s="965"/>
      <c r="Q125" s="53">
        <f>(SUMIF($15:$15,P125,$16:$16)-SUMIF($15:$15,$P$24,$16:$16)+100)/100</f>
        <v>1</v>
      </c>
      <c r="R125" s="965"/>
      <c r="S125" s="53">
        <f>(SUMIF($17:$17,R125,$18:$18)-SUMIF($17:$17,$R$24,$18:$18)+100)/100</f>
        <v>1</v>
      </c>
      <c r="T125" s="493">
        <f>IF(D125="",0,ROUND($T$24*E125*G125*I125*K125*M125*O125*Q125*S125,0))</f>
        <v>0</v>
      </c>
      <c r="U125" s="802">
        <f t="shared" si="14"/>
        <v>0</v>
      </c>
    </row>
    <row r="126" spans="3:21">
      <c r="C126" s="967"/>
      <c r="D126" s="137"/>
      <c r="E126" s="53">
        <f>IF(D126="",1,(LOOKUP(D126,$3:$3,$4:$4)-LOOKUP($D$24,$3:$3,$4:$4)+100)/100)</f>
        <v>1</v>
      </c>
      <c r="F126" s="965"/>
      <c r="G126" s="53">
        <f>(SUMIF($5:$5,F126,$6:$6)-SUMIF($5:$5,$F$24,$6:$6)+100)/100</f>
        <v>0.01</v>
      </c>
      <c r="H126" s="965"/>
      <c r="I126" s="53">
        <f>(SUMIF($7:$7,H126,$8:$8)-SUMIF($7:$7,$H$24,$8:$8)+100)/100</f>
        <v>0.04</v>
      </c>
      <c r="J126" s="965"/>
      <c r="K126" s="53">
        <f>(SUMIF($9:$9,J126,$10:$10)-SUMIF($9:$9,$J$24,$10:$10)+100)/100</f>
        <v>0.04</v>
      </c>
      <c r="L126" s="965"/>
      <c r="M126" s="53">
        <f>(SUMIF($11:$11,L126,$12:$12)-SUMIF($11:$11,$L$24,$12:$12)+100)/100</f>
        <v>1</v>
      </c>
      <c r="N126" s="965"/>
      <c r="O126" s="53">
        <f>(SUMIF($13:$13,N126,$14:$14)-SUMIF($13:$13,$N$24,$14:$14)+100)/100</f>
        <v>1</v>
      </c>
      <c r="P126" s="965"/>
      <c r="Q126" s="53">
        <f>(SUMIF($15:$15,P126,$16:$16)-SUMIF($15:$15,$P$24,$16:$16)+100)/100</f>
        <v>1</v>
      </c>
      <c r="R126" s="965"/>
      <c r="S126" s="53">
        <f>(SUMIF($17:$17,R126,$18:$18)-SUMIF($17:$17,$R$24,$18:$18)+100)/100</f>
        <v>1</v>
      </c>
      <c r="T126" s="493">
        <f>IF(D126="",0,ROUND($T$24*E126*G126*I126*K126*M126*O126*Q126*S126,0))</f>
        <v>0</v>
      </c>
      <c r="U126" s="802">
        <f t="shared" si="14"/>
        <v>0</v>
      </c>
    </row>
    <row r="127" spans="3:21">
      <c r="C127" s="967"/>
      <c r="D127" s="137"/>
      <c r="E127" s="53">
        <f>IF(D127="",1,(LOOKUP(D127,$3:$3,$4:$4)-LOOKUP($D$24,$3:$3,$4:$4)+100)/100)</f>
        <v>1</v>
      </c>
      <c r="F127" s="965"/>
      <c r="G127" s="53">
        <f>(SUMIF($5:$5,F127,$6:$6)-SUMIF($5:$5,$F$24,$6:$6)+100)/100</f>
        <v>0.01</v>
      </c>
      <c r="H127" s="965"/>
      <c r="I127" s="53">
        <f>(SUMIF($7:$7,H127,$8:$8)-SUMIF($7:$7,$H$24,$8:$8)+100)/100</f>
        <v>0.04</v>
      </c>
      <c r="J127" s="965"/>
      <c r="K127" s="53">
        <f>(SUMIF($9:$9,J127,$10:$10)-SUMIF($9:$9,$J$24,$10:$10)+100)/100</f>
        <v>0.04</v>
      </c>
      <c r="L127" s="965"/>
      <c r="M127" s="53">
        <f>(SUMIF($11:$11,L127,$12:$12)-SUMIF($11:$11,$L$24,$12:$12)+100)/100</f>
        <v>1</v>
      </c>
      <c r="N127" s="965"/>
      <c r="O127" s="53">
        <f>(SUMIF($13:$13,N127,$14:$14)-SUMIF($13:$13,$N$24,$14:$14)+100)/100</f>
        <v>1</v>
      </c>
      <c r="P127" s="965"/>
      <c r="Q127" s="53">
        <f>(SUMIF($15:$15,P127,$16:$16)-SUMIF($15:$15,$P$24,$16:$16)+100)/100</f>
        <v>1</v>
      </c>
      <c r="R127" s="965"/>
      <c r="S127" s="53">
        <f>(SUMIF($17:$17,R127,$18:$18)-SUMIF($17:$17,$R$24,$18:$18)+100)/100</f>
        <v>1</v>
      </c>
      <c r="T127" s="493">
        <f>IF(D127="",0,ROUND($T$24*E127*G127*I127*K127*M127*O127*Q127*S127,0))</f>
        <v>0</v>
      </c>
      <c r="U127" s="802">
        <f t="shared" si="14"/>
        <v>0</v>
      </c>
    </row>
    <row r="128" spans="3:21">
      <c r="C128" s="967"/>
      <c r="D128" s="137"/>
      <c r="E128" s="53">
        <f>IF(D128="",1,(LOOKUP(D128,$3:$3,$4:$4)-LOOKUP($D$24,$3:$3,$4:$4)+100)/100)</f>
        <v>1</v>
      </c>
      <c r="F128" s="965"/>
      <c r="G128" s="53">
        <f>(SUMIF($5:$5,F128,$6:$6)-SUMIF($5:$5,$F$24,$6:$6)+100)/100</f>
        <v>0.01</v>
      </c>
      <c r="H128" s="965"/>
      <c r="I128" s="53">
        <f>(SUMIF($7:$7,H128,$8:$8)-SUMIF($7:$7,$H$24,$8:$8)+100)/100</f>
        <v>0.04</v>
      </c>
      <c r="J128" s="965"/>
      <c r="K128" s="53">
        <f>(SUMIF($9:$9,J128,$10:$10)-SUMIF($9:$9,$J$24,$10:$10)+100)/100</f>
        <v>0.04</v>
      </c>
      <c r="L128" s="965"/>
      <c r="M128" s="53">
        <f>(SUMIF($11:$11,L128,$12:$12)-SUMIF($11:$11,$L$24,$12:$12)+100)/100</f>
        <v>1</v>
      </c>
      <c r="N128" s="965"/>
      <c r="O128" s="53">
        <f>(SUMIF($13:$13,N128,$14:$14)-SUMIF($13:$13,$N$24,$14:$14)+100)/100</f>
        <v>1</v>
      </c>
      <c r="P128" s="965"/>
      <c r="Q128" s="53">
        <f>(SUMIF($15:$15,P128,$16:$16)-SUMIF($15:$15,$P$24,$16:$16)+100)/100</f>
        <v>1</v>
      </c>
      <c r="R128" s="965"/>
      <c r="S128" s="53">
        <f>(SUMIF($17:$17,R128,$18:$18)-SUMIF($17:$17,$R$24,$18:$18)+100)/100</f>
        <v>1</v>
      </c>
      <c r="T128" s="493">
        <f>IF(D128="",0,ROUND($T$24*E128*G128*I128*K128*M128*O128*Q128*S128,0))</f>
        <v>0</v>
      </c>
      <c r="U128" s="802">
        <f t="shared" si="14"/>
        <v>0</v>
      </c>
    </row>
    <row r="129" spans="3:21">
      <c r="C129" s="967"/>
      <c r="D129" s="137"/>
      <c r="E129" s="53">
        <f>IF(D129="",1,(LOOKUP(D129,$3:$3,$4:$4)-LOOKUP($D$24,$3:$3,$4:$4)+100)/100)</f>
        <v>1</v>
      </c>
      <c r="F129" s="965"/>
      <c r="G129" s="53">
        <f>(SUMIF($5:$5,F129,$6:$6)-SUMIF($5:$5,$F$24,$6:$6)+100)/100</f>
        <v>0.01</v>
      </c>
      <c r="H129" s="965"/>
      <c r="I129" s="53">
        <f>(SUMIF($7:$7,H129,$8:$8)-SUMIF($7:$7,$H$24,$8:$8)+100)/100</f>
        <v>0.04</v>
      </c>
      <c r="J129" s="965"/>
      <c r="K129" s="53">
        <f>(SUMIF($9:$9,J129,$10:$10)-SUMIF($9:$9,$J$24,$10:$10)+100)/100</f>
        <v>0.04</v>
      </c>
      <c r="L129" s="965"/>
      <c r="M129" s="53">
        <f>(SUMIF($11:$11,L129,$12:$12)-SUMIF($11:$11,$L$24,$12:$12)+100)/100</f>
        <v>1</v>
      </c>
      <c r="N129" s="965"/>
      <c r="O129" s="53">
        <f>(SUMIF($13:$13,N129,$14:$14)-SUMIF($13:$13,$N$24,$14:$14)+100)/100</f>
        <v>1</v>
      </c>
      <c r="P129" s="965"/>
      <c r="Q129" s="53">
        <f>(SUMIF($15:$15,P129,$16:$16)-SUMIF($15:$15,$P$24,$16:$16)+100)/100</f>
        <v>1</v>
      </c>
      <c r="R129" s="965"/>
      <c r="S129" s="53">
        <f>(SUMIF($17:$17,R129,$18:$18)-SUMIF($17:$17,$R$24,$18:$18)+100)/100</f>
        <v>1</v>
      </c>
      <c r="T129" s="493">
        <f>IF(D129="",0,ROUND($T$24*E129*G129*I129*K129*M129*O129*Q129*S129,0))</f>
        <v>0</v>
      </c>
      <c r="U129" s="802">
        <f t="shared" si="14"/>
        <v>0</v>
      </c>
    </row>
    <row r="130" spans="3:21">
      <c r="C130" s="967"/>
      <c r="D130" s="137"/>
      <c r="E130" s="53">
        <f>IF(D130="",1,(LOOKUP(D130,$3:$3,$4:$4)-LOOKUP($D$24,$3:$3,$4:$4)+100)/100)</f>
        <v>1</v>
      </c>
      <c r="F130" s="965"/>
      <c r="G130" s="53">
        <f>(SUMIF($5:$5,F130,$6:$6)-SUMIF($5:$5,$F$24,$6:$6)+100)/100</f>
        <v>0.01</v>
      </c>
      <c r="H130" s="965"/>
      <c r="I130" s="53">
        <f>(SUMIF($7:$7,H130,$8:$8)-SUMIF($7:$7,$H$24,$8:$8)+100)/100</f>
        <v>0.04</v>
      </c>
      <c r="J130" s="965"/>
      <c r="K130" s="53">
        <f>(SUMIF($9:$9,J130,$10:$10)-SUMIF($9:$9,$J$24,$10:$10)+100)/100</f>
        <v>0.04</v>
      </c>
      <c r="L130" s="965"/>
      <c r="M130" s="53">
        <f>(SUMIF($11:$11,L130,$12:$12)-SUMIF($11:$11,$L$24,$12:$12)+100)/100</f>
        <v>1</v>
      </c>
      <c r="N130" s="965"/>
      <c r="O130" s="53">
        <f>(SUMIF($13:$13,N130,$14:$14)-SUMIF($13:$13,$N$24,$14:$14)+100)/100</f>
        <v>1</v>
      </c>
      <c r="P130" s="965"/>
      <c r="Q130" s="53">
        <f>(SUMIF($15:$15,P130,$16:$16)-SUMIF($15:$15,$P$24,$16:$16)+100)/100</f>
        <v>1</v>
      </c>
      <c r="R130" s="965"/>
      <c r="S130" s="53">
        <f>(SUMIF($17:$17,R130,$18:$18)-SUMIF($17:$17,$R$24,$18:$18)+100)/100</f>
        <v>1</v>
      </c>
      <c r="T130" s="493">
        <f>IF(D130="",0,ROUND($T$24*E130*G130*I130*K130*M130*O130*Q130*S130,0))</f>
        <v>0</v>
      </c>
      <c r="U130" s="802">
        <f t="shared" si="14"/>
        <v>0</v>
      </c>
    </row>
    <row r="131" spans="3:21">
      <c r="C131" s="967"/>
      <c r="D131" s="137"/>
      <c r="E131" s="53">
        <f>IF(D131="",1,(LOOKUP(D131,$3:$3,$4:$4)-LOOKUP($D$24,$3:$3,$4:$4)+100)/100)</f>
        <v>1</v>
      </c>
      <c r="F131" s="965"/>
      <c r="G131" s="53">
        <f>(SUMIF($5:$5,F131,$6:$6)-SUMIF($5:$5,$F$24,$6:$6)+100)/100</f>
        <v>0.01</v>
      </c>
      <c r="H131" s="965"/>
      <c r="I131" s="53">
        <f>(SUMIF($7:$7,H131,$8:$8)-SUMIF($7:$7,$H$24,$8:$8)+100)/100</f>
        <v>0.04</v>
      </c>
      <c r="J131" s="965"/>
      <c r="K131" s="53">
        <f>(SUMIF($9:$9,J131,$10:$10)-SUMIF($9:$9,$J$24,$10:$10)+100)/100</f>
        <v>0.04</v>
      </c>
      <c r="L131" s="965"/>
      <c r="M131" s="53">
        <f>(SUMIF($11:$11,L131,$12:$12)-SUMIF($11:$11,$L$24,$12:$12)+100)/100</f>
        <v>1</v>
      </c>
      <c r="N131" s="965"/>
      <c r="O131" s="53">
        <f>(SUMIF($13:$13,N131,$14:$14)-SUMIF($13:$13,$N$24,$14:$14)+100)/100</f>
        <v>1</v>
      </c>
      <c r="P131" s="965"/>
      <c r="Q131" s="53">
        <f>(SUMIF($15:$15,P131,$16:$16)-SUMIF($15:$15,$P$24,$16:$16)+100)/100</f>
        <v>1</v>
      </c>
      <c r="R131" s="965"/>
      <c r="S131" s="53">
        <f>(SUMIF($17:$17,R131,$18:$18)-SUMIF($17:$17,$R$24,$18:$18)+100)/100</f>
        <v>1</v>
      </c>
      <c r="T131" s="493">
        <f>IF(D131="",0,ROUND($T$24*E131*G131*I131*K131*M131*O131*Q131*S131,0))</f>
        <v>0</v>
      </c>
      <c r="U131" s="802">
        <f t="shared" si="14"/>
        <v>0</v>
      </c>
    </row>
    <row r="132" spans="3:21">
      <c r="C132" s="967"/>
      <c r="D132" s="137"/>
      <c r="E132" s="53">
        <f>IF(D132="",1,(LOOKUP(D132,$3:$3,$4:$4)-LOOKUP($D$24,$3:$3,$4:$4)+100)/100)</f>
        <v>1</v>
      </c>
      <c r="F132" s="965"/>
      <c r="G132" s="53">
        <f>(SUMIF($5:$5,F132,$6:$6)-SUMIF($5:$5,$F$24,$6:$6)+100)/100</f>
        <v>0.01</v>
      </c>
      <c r="H132" s="965"/>
      <c r="I132" s="53">
        <f>(SUMIF($7:$7,H132,$8:$8)-SUMIF($7:$7,$H$24,$8:$8)+100)/100</f>
        <v>0.04</v>
      </c>
      <c r="J132" s="965"/>
      <c r="K132" s="53">
        <f>(SUMIF($9:$9,J132,$10:$10)-SUMIF($9:$9,$J$24,$10:$10)+100)/100</f>
        <v>0.04</v>
      </c>
      <c r="L132" s="965"/>
      <c r="M132" s="53">
        <f>(SUMIF($11:$11,L132,$12:$12)-SUMIF($11:$11,$L$24,$12:$12)+100)/100</f>
        <v>1</v>
      </c>
      <c r="N132" s="965"/>
      <c r="O132" s="53">
        <f>(SUMIF($13:$13,N132,$14:$14)-SUMIF($13:$13,$N$24,$14:$14)+100)/100</f>
        <v>1</v>
      </c>
      <c r="P132" s="965"/>
      <c r="Q132" s="53">
        <f>(SUMIF($15:$15,P132,$16:$16)-SUMIF($15:$15,$P$24,$16:$16)+100)/100</f>
        <v>1</v>
      </c>
      <c r="R132" s="965"/>
      <c r="S132" s="53">
        <f>(SUMIF($17:$17,R132,$18:$18)-SUMIF($17:$17,$R$24,$18:$18)+100)/100</f>
        <v>1</v>
      </c>
      <c r="T132" s="493">
        <f>IF(D132="",0,ROUND($T$24*E132*G132*I132*K132*M132*O132*Q132*S132,0))</f>
        <v>0</v>
      </c>
      <c r="U132" s="802">
        <f t="shared" si="14"/>
        <v>0</v>
      </c>
    </row>
    <row r="133" spans="3:21">
      <c r="C133" s="967"/>
      <c r="D133" s="137"/>
      <c r="E133" s="53">
        <f>IF(D133="",1,(LOOKUP(D133,$3:$3,$4:$4)-LOOKUP($D$24,$3:$3,$4:$4)+100)/100)</f>
        <v>1</v>
      </c>
      <c r="F133" s="965"/>
      <c r="G133" s="53">
        <f>(SUMIF($5:$5,F133,$6:$6)-SUMIF($5:$5,$F$24,$6:$6)+100)/100</f>
        <v>0.01</v>
      </c>
      <c r="H133" s="965"/>
      <c r="I133" s="53">
        <f>(SUMIF($7:$7,H133,$8:$8)-SUMIF($7:$7,$H$24,$8:$8)+100)/100</f>
        <v>0.04</v>
      </c>
      <c r="J133" s="965"/>
      <c r="K133" s="53">
        <f>(SUMIF($9:$9,J133,$10:$10)-SUMIF($9:$9,$J$24,$10:$10)+100)/100</f>
        <v>0.04</v>
      </c>
      <c r="L133" s="965"/>
      <c r="M133" s="53">
        <f>(SUMIF($11:$11,L133,$12:$12)-SUMIF($11:$11,$L$24,$12:$12)+100)/100</f>
        <v>1</v>
      </c>
      <c r="N133" s="965"/>
      <c r="O133" s="53">
        <f>(SUMIF($13:$13,N133,$14:$14)-SUMIF($13:$13,$N$24,$14:$14)+100)/100</f>
        <v>1</v>
      </c>
      <c r="P133" s="965"/>
      <c r="Q133" s="53">
        <f>(SUMIF($15:$15,P133,$16:$16)-SUMIF($15:$15,$P$24,$16:$16)+100)/100</f>
        <v>1</v>
      </c>
      <c r="R133" s="965"/>
      <c r="S133" s="53">
        <f>(SUMIF($17:$17,R133,$18:$18)-SUMIF($17:$17,$R$24,$18:$18)+100)/100</f>
        <v>1</v>
      </c>
      <c r="T133" s="493">
        <f>IF(D133="",0,ROUND($T$24*E133*G133*I133*K133*M133*O133*Q133*S133,0))</f>
        <v>0</v>
      </c>
      <c r="U133" s="802">
        <f t="shared" si="14"/>
        <v>0</v>
      </c>
    </row>
    <row r="134" spans="3:21">
      <c r="C134" s="967"/>
      <c r="D134" s="137"/>
      <c r="E134" s="53">
        <f>IF(D134="",1,(LOOKUP(D134,$3:$3,$4:$4)-LOOKUP($D$24,$3:$3,$4:$4)+100)/100)</f>
        <v>1</v>
      </c>
      <c r="F134" s="965"/>
      <c r="G134" s="53">
        <f>(SUMIF($5:$5,F134,$6:$6)-SUMIF($5:$5,$F$24,$6:$6)+100)/100</f>
        <v>0.01</v>
      </c>
      <c r="H134" s="965"/>
      <c r="I134" s="53">
        <f>(SUMIF($7:$7,H134,$8:$8)-SUMIF($7:$7,$H$24,$8:$8)+100)/100</f>
        <v>0.04</v>
      </c>
      <c r="J134" s="965"/>
      <c r="K134" s="53">
        <f>(SUMIF($9:$9,J134,$10:$10)-SUMIF($9:$9,$J$24,$10:$10)+100)/100</f>
        <v>0.04</v>
      </c>
      <c r="L134" s="965"/>
      <c r="M134" s="53">
        <f>(SUMIF($11:$11,L134,$12:$12)-SUMIF($11:$11,$L$24,$12:$12)+100)/100</f>
        <v>1</v>
      </c>
      <c r="N134" s="965"/>
      <c r="O134" s="53">
        <f>(SUMIF($13:$13,N134,$14:$14)-SUMIF($13:$13,$N$24,$14:$14)+100)/100</f>
        <v>1</v>
      </c>
      <c r="P134" s="965"/>
      <c r="Q134" s="53">
        <f>(SUMIF($15:$15,P134,$16:$16)-SUMIF($15:$15,$P$24,$16:$16)+100)/100</f>
        <v>1</v>
      </c>
      <c r="R134" s="965"/>
      <c r="S134" s="53">
        <f>(SUMIF($17:$17,R134,$18:$18)-SUMIF($17:$17,$R$24,$18:$18)+100)/100</f>
        <v>1</v>
      </c>
      <c r="T134" s="493">
        <f>IF(D134="",0,ROUND($T$24*E134*G134*I134*K134*M134*O134*Q134*S134,0))</f>
        <v>0</v>
      </c>
      <c r="U134" s="802">
        <f t="shared" si="14"/>
        <v>0</v>
      </c>
    </row>
    <row r="135" spans="3:21">
      <c r="C135" s="967"/>
      <c r="D135" s="137"/>
      <c r="E135" s="53">
        <f>IF(D135="",1,(LOOKUP(D135,$3:$3,$4:$4)-LOOKUP($D$24,$3:$3,$4:$4)+100)/100)</f>
        <v>1</v>
      </c>
      <c r="F135" s="965"/>
      <c r="G135" s="53">
        <f>(SUMIF($5:$5,F135,$6:$6)-SUMIF($5:$5,$F$24,$6:$6)+100)/100</f>
        <v>0.01</v>
      </c>
      <c r="H135" s="965"/>
      <c r="I135" s="53">
        <f>(SUMIF($7:$7,H135,$8:$8)-SUMIF($7:$7,$H$24,$8:$8)+100)/100</f>
        <v>0.04</v>
      </c>
      <c r="J135" s="965"/>
      <c r="K135" s="53">
        <f>(SUMIF($9:$9,J135,$10:$10)-SUMIF($9:$9,$J$24,$10:$10)+100)/100</f>
        <v>0.04</v>
      </c>
      <c r="L135" s="965"/>
      <c r="M135" s="53">
        <f>(SUMIF($11:$11,L135,$12:$12)-SUMIF($11:$11,$L$24,$12:$12)+100)/100</f>
        <v>1</v>
      </c>
      <c r="N135" s="965"/>
      <c r="O135" s="53">
        <f>(SUMIF($13:$13,N135,$14:$14)-SUMIF($13:$13,$N$24,$14:$14)+100)/100</f>
        <v>1</v>
      </c>
      <c r="P135" s="965"/>
      <c r="Q135" s="53">
        <f>(SUMIF($15:$15,P135,$16:$16)-SUMIF($15:$15,$P$24,$16:$16)+100)/100</f>
        <v>1</v>
      </c>
      <c r="R135" s="965"/>
      <c r="S135" s="53">
        <f>(SUMIF($17:$17,R135,$18:$18)-SUMIF($17:$17,$R$24,$18:$18)+100)/100</f>
        <v>1</v>
      </c>
      <c r="T135" s="493">
        <f>IF(D135="",0,ROUND($T$24*E135*G135*I135*K135*M135*O135*Q135*S135,0))</f>
        <v>0</v>
      </c>
      <c r="U135" s="802">
        <f t="shared" si="14"/>
        <v>0</v>
      </c>
    </row>
    <row r="136" spans="3:21">
      <c r="C136" s="967"/>
      <c r="D136" s="137"/>
      <c r="E136" s="53">
        <f>IF(D136="",1,(LOOKUP(D136,$3:$3,$4:$4)-LOOKUP($D$24,$3:$3,$4:$4)+100)/100)</f>
        <v>1</v>
      </c>
      <c r="F136" s="965"/>
      <c r="G136" s="53">
        <f>(SUMIF($5:$5,F136,$6:$6)-SUMIF($5:$5,$F$24,$6:$6)+100)/100</f>
        <v>0.01</v>
      </c>
      <c r="H136" s="965"/>
      <c r="I136" s="53">
        <f>(SUMIF($7:$7,H136,$8:$8)-SUMIF($7:$7,$H$24,$8:$8)+100)/100</f>
        <v>0.04</v>
      </c>
      <c r="J136" s="965"/>
      <c r="K136" s="53">
        <f>(SUMIF($9:$9,J136,$10:$10)-SUMIF($9:$9,$J$24,$10:$10)+100)/100</f>
        <v>0.04</v>
      </c>
      <c r="L136" s="965"/>
      <c r="M136" s="53">
        <f>(SUMIF($11:$11,L136,$12:$12)-SUMIF($11:$11,$L$24,$12:$12)+100)/100</f>
        <v>1</v>
      </c>
      <c r="N136" s="965"/>
      <c r="O136" s="53">
        <f>(SUMIF($13:$13,N136,$14:$14)-SUMIF($13:$13,$N$24,$14:$14)+100)/100</f>
        <v>1</v>
      </c>
      <c r="P136" s="965"/>
      <c r="Q136" s="53">
        <f>(SUMIF($15:$15,P136,$16:$16)-SUMIF($15:$15,$P$24,$16:$16)+100)/100</f>
        <v>1</v>
      </c>
      <c r="R136" s="965"/>
      <c r="S136" s="53">
        <f>(SUMIF($17:$17,R136,$18:$18)-SUMIF($17:$17,$R$24,$18:$18)+100)/100</f>
        <v>1</v>
      </c>
      <c r="T136" s="493">
        <f>IF(D136="",0,ROUND($T$24*E136*G136*I136*K136*M136*O136*Q136*S136,0))</f>
        <v>0</v>
      </c>
      <c r="U136" s="802">
        <f t="shared" si="14"/>
        <v>0</v>
      </c>
    </row>
    <row r="137" spans="3:21">
      <c r="C137" s="967"/>
      <c r="D137" s="137"/>
      <c r="E137" s="53">
        <f>IF(D137="",1,(LOOKUP(D137,$3:$3,$4:$4)-LOOKUP($D$24,$3:$3,$4:$4)+100)/100)</f>
        <v>1</v>
      </c>
      <c r="F137" s="965"/>
      <c r="G137" s="53">
        <f>(SUMIF($5:$5,F137,$6:$6)-SUMIF($5:$5,$F$24,$6:$6)+100)/100</f>
        <v>0.01</v>
      </c>
      <c r="H137" s="965"/>
      <c r="I137" s="53">
        <f>(SUMIF($7:$7,H137,$8:$8)-SUMIF($7:$7,$H$24,$8:$8)+100)/100</f>
        <v>0.04</v>
      </c>
      <c r="J137" s="965"/>
      <c r="K137" s="53">
        <f>(SUMIF($9:$9,J137,$10:$10)-SUMIF($9:$9,$J$24,$10:$10)+100)/100</f>
        <v>0.04</v>
      </c>
      <c r="L137" s="965"/>
      <c r="M137" s="53">
        <f>(SUMIF($11:$11,L137,$12:$12)-SUMIF($11:$11,$L$24,$12:$12)+100)/100</f>
        <v>1</v>
      </c>
      <c r="N137" s="965"/>
      <c r="O137" s="53">
        <f>(SUMIF($13:$13,N137,$14:$14)-SUMIF($13:$13,$N$24,$14:$14)+100)/100</f>
        <v>1</v>
      </c>
      <c r="P137" s="965"/>
      <c r="Q137" s="53">
        <f>(SUMIF($15:$15,P137,$16:$16)-SUMIF($15:$15,$P$24,$16:$16)+100)/100</f>
        <v>1</v>
      </c>
      <c r="R137" s="965"/>
      <c r="S137" s="53">
        <f>(SUMIF($17:$17,R137,$18:$18)-SUMIF($17:$17,$R$24,$18:$18)+100)/100</f>
        <v>1</v>
      </c>
      <c r="T137" s="493">
        <f>IF(D137="",0,ROUND($T$24*E137*G137*I137*K137*M137*O137*Q137*S137,0))</f>
        <v>0</v>
      </c>
      <c r="U137" s="802">
        <f t="shared" si="14"/>
        <v>0</v>
      </c>
    </row>
    <row r="138" spans="3:21">
      <c r="C138" s="967"/>
      <c r="D138" s="137"/>
      <c r="E138" s="53">
        <f>IF(D138="",1,(LOOKUP(D138,$3:$3,$4:$4)-LOOKUP($D$24,$3:$3,$4:$4)+100)/100)</f>
        <v>1</v>
      </c>
      <c r="F138" s="965"/>
      <c r="G138" s="53">
        <f>(SUMIF($5:$5,F138,$6:$6)-SUMIF($5:$5,$F$24,$6:$6)+100)/100</f>
        <v>0.01</v>
      </c>
      <c r="H138" s="965"/>
      <c r="I138" s="53">
        <f>(SUMIF($7:$7,H138,$8:$8)-SUMIF($7:$7,$H$24,$8:$8)+100)/100</f>
        <v>0.04</v>
      </c>
      <c r="J138" s="965"/>
      <c r="K138" s="53">
        <f>(SUMIF($9:$9,J138,$10:$10)-SUMIF($9:$9,$J$24,$10:$10)+100)/100</f>
        <v>0.04</v>
      </c>
      <c r="L138" s="965"/>
      <c r="M138" s="53">
        <f>(SUMIF($11:$11,L138,$12:$12)-SUMIF($11:$11,$L$24,$12:$12)+100)/100</f>
        <v>1</v>
      </c>
      <c r="N138" s="965"/>
      <c r="O138" s="53">
        <f>(SUMIF($13:$13,N138,$14:$14)-SUMIF($13:$13,$N$24,$14:$14)+100)/100</f>
        <v>1</v>
      </c>
      <c r="P138" s="965"/>
      <c r="Q138" s="53">
        <f>(SUMIF($15:$15,P138,$16:$16)-SUMIF($15:$15,$P$24,$16:$16)+100)/100</f>
        <v>1</v>
      </c>
      <c r="R138" s="965"/>
      <c r="S138" s="53">
        <f>(SUMIF($17:$17,R138,$18:$18)-SUMIF($17:$17,$R$24,$18:$18)+100)/100</f>
        <v>1</v>
      </c>
      <c r="T138" s="493">
        <f>IF(D138="",0,ROUND($T$24*E138*G138*I138*K138*M138*O138*Q138*S138,0))</f>
        <v>0</v>
      </c>
      <c r="U138" s="802">
        <f t="shared" si="14"/>
        <v>0</v>
      </c>
    </row>
    <row r="139" spans="3:21">
      <c r="C139" s="967"/>
      <c r="D139" s="137"/>
      <c r="E139" s="53">
        <f>IF(D139="",1,(LOOKUP(D139,$3:$3,$4:$4)-LOOKUP($D$24,$3:$3,$4:$4)+100)/100)</f>
        <v>1</v>
      </c>
      <c r="F139" s="965"/>
      <c r="G139" s="53">
        <f>(SUMIF($5:$5,F139,$6:$6)-SUMIF($5:$5,$F$24,$6:$6)+100)/100</f>
        <v>0.01</v>
      </c>
      <c r="H139" s="965"/>
      <c r="I139" s="53">
        <f>(SUMIF($7:$7,H139,$8:$8)-SUMIF($7:$7,$H$24,$8:$8)+100)/100</f>
        <v>0.04</v>
      </c>
      <c r="J139" s="965"/>
      <c r="K139" s="53">
        <f>(SUMIF($9:$9,J139,$10:$10)-SUMIF($9:$9,$J$24,$10:$10)+100)/100</f>
        <v>0.04</v>
      </c>
      <c r="L139" s="965"/>
      <c r="M139" s="53">
        <f>(SUMIF($11:$11,L139,$12:$12)-SUMIF($11:$11,$L$24,$12:$12)+100)/100</f>
        <v>1</v>
      </c>
      <c r="N139" s="965"/>
      <c r="O139" s="53">
        <f>(SUMIF($13:$13,N139,$14:$14)-SUMIF($13:$13,$N$24,$14:$14)+100)/100</f>
        <v>1</v>
      </c>
      <c r="P139" s="965"/>
      <c r="Q139" s="53">
        <f>(SUMIF($15:$15,P139,$16:$16)-SUMIF($15:$15,$P$24,$16:$16)+100)/100</f>
        <v>1</v>
      </c>
      <c r="R139" s="965"/>
      <c r="S139" s="53">
        <f>(SUMIF($17:$17,R139,$18:$18)-SUMIF($17:$17,$R$24,$18:$18)+100)/100</f>
        <v>1</v>
      </c>
      <c r="T139" s="493">
        <f>IF(D139="",0,ROUND($T$24*E139*G139*I139*K139*M139*O139*Q139*S139,0))</f>
        <v>0</v>
      </c>
      <c r="U139" s="802">
        <f t="shared" si="14"/>
        <v>0</v>
      </c>
    </row>
    <row r="140" spans="3:21">
      <c r="C140" s="967"/>
      <c r="D140" s="137"/>
      <c r="E140" s="53">
        <f>IF(D140="",1,(LOOKUP(D140,$3:$3,$4:$4)-LOOKUP($D$24,$3:$3,$4:$4)+100)/100)</f>
        <v>1</v>
      </c>
      <c r="F140" s="965"/>
      <c r="G140" s="53">
        <f>(SUMIF($5:$5,F140,$6:$6)-SUMIF($5:$5,$F$24,$6:$6)+100)/100</f>
        <v>0.01</v>
      </c>
      <c r="H140" s="965"/>
      <c r="I140" s="53">
        <f>(SUMIF($7:$7,H140,$8:$8)-SUMIF($7:$7,$H$24,$8:$8)+100)/100</f>
        <v>0.04</v>
      </c>
      <c r="J140" s="965"/>
      <c r="K140" s="53">
        <f>(SUMIF($9:$9,J140,$10:$10)-SUMIF($9:$9,$J$24,$10:$10)+100)/100</f>
        <v>0.04</v>
      </c>
      <c r="L140" s="965"/>
      <c r="M140" s="53">
        <f>(SUMIF($11:$11,L140,$12:$12)-SUMIF($11:$11,$L$24,$12:$12)+100)/100</f>
        <v>1</v>
      </c>
      <c r="N140" s="965"/>
      <c r="O140" s="53">
        <f>(SUMIF($13:$13,N140,$14:$14)-SUMIF($13:$13,$N$24,$14:$14)+100)/100</f>
        <v>1</v>
      </c>
      <c r="P140" s="965"/>
      <c r="Q140" s="53">
        <f>(SUMIF($15:$15,P140,$16:$16)-SUMIF($15:$15,$P$24,$16:$16)+100)/100</f>
        <v>1</v>
      </c>
      <c r="R140" s="965"/>
      <c r="S140" s="53">
        <f>(SUMIF($17:$17,R140,$18:$18)-SUMIF($17:$17,$R$24,$18:$18)+100)/100</f>
        <v>1</v>
      </c>
      <c r="T140" s="493">
        <f>IF(D140="",0,ROUND($T$24*E140*G140*I140*K140*M140*O140*Q140*S140,0))</f>
        <v>0</v>
      </c>
      <c r="U140" s="802">
        <f t="shared" si="14"/>
        <v>0</v>
      </c>
    </row>
    <row r="141" spans="3:21">
      <c r="C141" s="967"/>
      <c r="D141" s="137"/>
      <c r="E141" s="53">
        <f>IF(D141="",1,(LOOKUP(D141,$3:$3,$4:$4)-LOOKUP($D$24,$3:$3,$4:$4)+100)/100)</f>
        <v>1</v>
      </c>
      <c r="F141" s="965"/>
      <c r="G141" s="53">
        <f>(SUMIF($5:$5,F141,$6:$6)-SUMIF($5:$5,$F$24,$6:$6)+100)/100</f>
        <v>0.01</v>
      </c>
      <c r="H141" s="965"/>
      <c r="I141" s="53">
        <f>(SUMIF($7:$7,H141,$8:$8)-SUMIF($7:$7,$H$24,$8:$8)+100)/100</f>
        <v>0.04</v>
      </c>
      <c r="J141" s="965"/>
      <c r="K141" s="53">
        <f>(SUMIF($9:$9,J141,$10:$10)-SUMIF($9:$9,$J$24,$10:$10)+100)/100</f>
        <v>0.04</v>
      </c>
      <c r="L141" s="965"/>
      <c r="M141" s="53">
        <f>(SUMIF($11:$11,L141,$12:$12)-SUMIF($11:$11,$L$24,$12:$12)+100)/100</f>
        <v>1</v>
      </c>
      <c r="N141" s="965"/>
      <c r="O141" s="53">
        <f>(SUMIF($13:$13,N141,$14:$14)-SUMIF($13:$13,$N$24,$14:$14)+100)/100</f>
        <v>1</v>
      </c>
      <c r="P141" s="965"/>
      <c r="Q141" s="53">
        <f>(SUMIF($15:$15,P141,$16:$16)-SUMIF($15:$15,$P$24,$16:$16)+100)/100</f>
        <v>1</v>
      </c>
      <c r="R141" s="965"/>
      <c r="S141" s="53">
        <f>(SUMIF($17:$17,R141,$18:$18)-SUMIF($17:$17,$R$24,$18:$18)+100)/100</f>
        <v>1</v>
      </c>
      <c r="T141" s="493">
        <f>IF(D141="",0,ROUND($T$24*E141*G141*I141*K141*M141*O141*Q141*S141,0))</f>
        <v>0</v>
      </c>
      <c r="U141" s="802">
        <f t="shared" si="14"/>
        <v>0</v>
      </c>
    </row>
    <row r="142" spans="3:21">
      <c r="C142" s="967"/>
      <c r="D142" s="137"/>
      <c r="E142" s="53">
        <f>IF(D142="",1,(LOOKUP(D142,$3:$3,$4:$4)-LOOKUP($D$24,$3:$3,$4:$4)+100)/100)</f>
        <v>1</v>
      </c>
      <c r="F142" s="965"/>
      <c r="G142" s="53">
        <f>(SUMIF($5:$5,F142,$6:$6)-SUMIF($5:$5,$F$24,$6:$6)+100)/100</f>
        <v>0.01</v>
      </c>
      <c r="H142" s="965"/>
      <c r="I142" s="53">
        <f>(SUMIF($7:$7,H142,$8:$8)-SUMIF($7:$7,$H$24,$8:$8)+100)/100</f>
        <v>0.04</v>
      </c>
      <c r="J142" s="965"/>
      <c r="K142" s="53">
        <f>(SUMIF($9:$9,J142,$10:$10)-SUMIF($9:$9,$J$24,$10:$10)+100)/100</f>
        <v>0.04</v>
      </c>
      <c r="L142" s="965"/>
      <c r="M142" s="53">
        <f>(SUMIF($11:$11,L142,$12:$12)-SUMIF($11:$11,$L$24,$12:$12)+100)/100</f>
        <v>1</v>
      </c>
      <c r="N142" s="965"/>
      <c r="O142" s="53">
        <f>(SUMIF($13:$13,N142,$14:$14)-SUMIF($13:$13,$N$24,$14:$14)+100)/100</f>
        <v>1</v>
      </c>
      <c r="P142" s="965"/>
      <c r="Q142" s="53">
        <f>(SUMIF($15:$15,P142,$16:$16)-SUMIF($15:$15,$P$24,$16:$16)+100)/100</f>
        <v>1</v>
      </c>
      <c r="R142" s="965"/>
      <c r="S142" s="53">
        <f>(SUMIF($17:$17,R142,$18:$18)-SUMIF($17:$17,$R$24,$18:$18)+100)/100</f>
        <v>1</v>
      </c>
      <c r="T142" s="493">
        <f>IF(D142="",0,ROUND($T$24*E142*G142*I142*K142*M142*O142*Q142*S142,0))</f>
        <v>0</v>
      </c>
      <c r="U142" s="802">
        <f t="shared" si="14"/>
        <v>0</v>
      </c>
    </row>
    <row r="143" spans="3:21">
      <c r="C143" s="967"/>
      <c r="D143" s="137"/>
      <c r="E143" s="53">
        <f>IF(D143="",1,(LOOKUP(D143,$3:$3,$4:$4)-LOOKUP($D$24,$3:$3,$4:$4)+100)/100)</f>
        <v>1</v>
      </c>
      <c r="F143" s="965"/>
      <c r="G143" s="53">
        <f>(SUMIF($5:$5,F143,$6:$6)-SUMIF($5:$5,$F$24,$6:$6)+100)/100</f>
        <v>0.01</v>
      </c>
      <c r="H143" s="965"/>
      <c r="I143" s="53">
        <f>(SUMIF($7:$7,H143,$8:$8)-SUMIF($7:$7,$H$24,$8:$8)+100)/100</f>
        <v>0.04</v>
      </c>
      <c r="J143" s="965"/>
      <c r="K143" s="53">
        <f>(SUMIF($9:$9,J143,$10:$10)-SUMIF($9:$9,$J$24,$10:$10)+100)/100</f>
        <v>0.04</v>
      </c>
      <c r="L143" s="965"/>
      <c r="M143" s="53">
        <f>(SUMIF($11:$11,L143,$12:$12)-SUMIF($11:$11,$L$24,$12:$12)+100)/100</f>
        <v>1</v>
      </c>
      <c r="N143" s="965"/>
      <c r="O143" s="53">
        <f>(SUMIF($13:$13,N143,$14:$14)-SUMIF($13:$13,$N$24,$14:$14)+100)/100</f>
        <v>1</v>
      </c>
      <c r="P143" s="965"/>
      <c r="Q143" s="53">
        <f>(SUMIF($15:$15,P143,$16:$16)-SUMIF($15:$15,$P$24,$16:$16)+100)/100</f>
        <v>1</v>
      </c>
      <c r="R143" s="965"/>
      <c r="S143" s="53">
        <f>(SUMIF($17:$17,R143,$18:$18)-SUMIF($17:$17,$R$24,$18:$18)+100)/100</f>
        <v>1</v>
      </c>
      <c r="T143" s="493">
        <f>IF(D143="",0,ROUND($T$24*E143*G143*I143*K143*M143*O143*Q143*S143,0))</f>
        <v>0</v>
      </c>
      <c r="U143" s="802">
        <f t="shared" si="14"/>
        <v>0</v>
      </c>
    </row>
    <row r="144" spans="3:21">
      <c r="C144" s="967"/>
      <c r="D144" s="137"/>
      <c r="E144" s="53">
        <f>IF(D144="",1,(LOOKUP(D144,$3:$3,$4:$4)-LOOKUP($D$24,$3:$3,$4:$4)+100)/100)</f>
        <v>1</v>
      </c>
      <c r="F144" s="965"/>
      <c r="G144" s="53">
        <f>(SUMIF($5:$5,F144,$6:$6)-SUMIF($5:$5,$F$24,$6:$6)+100)/100</f>
        <v>0.01</v>
      </c>
      <c r="H144" s="965"/>
      <c r="I144" s="53">
        <f>(SUMIF($7:$7,H144,$8:$8)-SUMIF($7:$7,$H$24,$8:$8)+100)/100</f>
        <v>0.04</v>
      </c>
      <c r="J144" s="965"/>
      <c r="K144" s="53">
        <f>(SUMIF($9:$9,J144,$10:$10)-SUMIF($9:$9,$J$24,$10:$10)+100)/100</f>
        <v>0.04</v>
      </c>
      <c r="L144" s="965"/>
      <c r="M144" s="53">
        <f>(SUMIF($11:$11,L144,$12:$12)-SUMIF($11:$11,$L$24,$12:$12)+100)/100</f>
        <v>1</v>
      </c>
      <c r="N144" s="965"/>
      <c r="O144" s="53">
        <f>(SUMIF($13:$13,N144,$14:$14)-SUMIF($13:$13,$N$24,$14:$14)+100)/100</f>
        <v>1</v>
      </c>
      <c r="P144" s="965"/>
      <c r="Q144" s="53">
        <f>(SUMIF($15:$15,P144,$16:$16)-SUMIF($15:$15,$P$24,$16:$16)+100)/100</f>
        <v>1</v>
      </c>
      <c r="R144" s="965"/>
      <c r="S144" s="53">
        <f>(SUMIF($17:$17,R144,$18:$18)-SUMIF($17:$17,$R$24,$18:$18)+100)/100</f>
        <v>1</v>
      </c>
      <c r="T144" s="493">
        <f>IF(D144="",0,ROUND($T$24*E144*G144*I144*K144*M144*O144*Q144*S144,0))</f>
        <v>0</v>
      </c>
      <c r="U144" s="802">
        <f t="shared" si="14"/>
        <v>0</v>
      </c>
    </row>
    <row r="145" spans="3:21">
      <c r="C145" s="967"/>
      <c r="D145" s="137"/>
      <c r="E145" s="53">
        <f>IF(D145="",1,(LOOKUP(D145,$3:$3,$4:$4)-LOOKUP($D$24,$3:$3,$4:$4)+100)/100)</f>
        <v>1</v>
      </c>
      <c r="F145" s="965"/>
      <c r="G145" s="53">
        <f>(SUMIF($5:$5,F145,$6:$6)-SUMIF($5:$5,$F$24,$6:$6)+100)/100</f>
        <v>0.01</v>
      </c>
      <c r="H145" s="965"/>
      <c r="I145" s="53">
        <f>(SUMIF($7:$7,H145,$8:$8)-SUMIF($7:$7,$H$24,$8:$8)+100)/100</f>
        <v>0.04</v>
      </c>
      <c r="J145" s="965"/>
      <c r="K145" s="53">
        <f>(SUMIF($9:$9,J145,$10:$10)-SUMIF($9:$9,$J$24,$10:$10)+100)/100</f>
        <v>0.04</v>
      </c>
      <c r="L145" s="965"/>
      <c r="M145" s="53">
        <f>(SUMIF($11:$11,L145,$12:$12)-SUMIF($11:$11,$L$24,$12:$12)+100)/100</f>
        <v>1</v>
      </c>
      <c r="N145" s="965"/>
      <c r="O145" s="53">
        <f>(SUMIF($13:$13,N145,$14:$14)-SUMIF($13:$13,$N$24,$14:$14)+100)/100</f>
        <v>1</v>
      </c>
      <c r="P145" s="965"/>
      <c r="Q145" s="53">
        <f>(SUMIF($15:$15,P145,$16:$16)-SUMIF($15:$15,$P$24,$16:$16)+100)/100</f>
        <v>1</v>
      </c>
      <c r="R145" s="965"/>
      <c r="S145" s="53">
        <f>(SUMIF($17:$17,R145,$18:$18)-SUMIF($17:$17,$R$24,$18:$18)+100)/100</f>
        <v>1</v>
      </c>
      <c r="T145" s="493">
        <f>IF(D145="",0,ROUND($T$24*E145*G145*I145*K145*M145*O145*Q145*S145,0))</f>
        <v>0</v>
      </c>
      <c r="U145" s="802">
        <f t="shared" si="14"/>
        <v>0</v>
      </c>
    </row>
    <row r="146" spans="3:21">
      <c r="C146" s="967"/>
      <c r="D146" s="137"/>
      <c r="E146" s="53">
        <f>IF(D146="",1,(LOOKUP(D146,$3:$3,$4:$4)-LOOKUP($D$24,$3:$3,$4:$4)+100)/100)</f>
        <v>1</v>
      </c>
      <c r="F146" s="965"/>
      <c r="G146" s="53">
        <f>(SUMIF($5:$5,F146,$6:$6)-SUMIF($5:$5,$F$24,$6:$6)+100)/100</f>
        <v>0.01</v>
      </c>
      <c r="H146" s="965"/>
      <c r="I146" s="53">
        <f>(SUMIF($7:$7,H146,$8:$8)-SUMIF($7:$7,$H$24,$8:$8)+100)/100</f>
        <v>0.04</v>
      </c>
      <c r="J146" s="965"/>
      <c r="K146" s="53">
        <f>(SUMIF($9:$9,J146,$10:$10)-SUMIF($9:$9,$J$24,$10:$10)+100)/100</f>
        <v>0.04</v>
      </c>
      <c r="L146" s="965"/>
      <c r="M146" s="53">
        <f>(SUMIF($11:$11,L146,$12:$12)-SUMIF($11:$11,$L$24,$12:$12)+100)/100</f>
        <v>1</v>
      </c>
      <c r="N146" s="965"/>
      <c r="O146" s="53">
        <f>(SUMIF($13:$13,N146,$14:$14)-SUMIF($13:$13,$N$24,$14:$14)+100)/100</f>
        <v>1</v>
      </c>
      <c r="P146" s="965"/>
      <c r="Q146" s="53">
        <f>(SUMIF($15:$15,P146,$16:$16)-SUMIF($15:$15,$P$24,$16:$16)+100)/100</f>
        <v>1</v>
      </c>
      <c r="R146" s="965"/>
      <c r="S146" s="53">
        <f>(SUMIF($17:$17,R146,$18:$18)-SUMIF($17:$17,$R$24,$18:$18)+100)/100</f>
        <v>1</v>
      </c>
      <c r="T146" s="493">
        <f>IF(D146="",0,ROUND($T$24*E146*G146*I146*K146*M146*O146*Q146*S146,0))</f>
        <v>0</v>
      </c>
      <c r="U146" s="802">
        <f t="shared" si="14"/>
        <v>0</v>
      </c>
    </row>
    <row r="147" spans="3:21">
      <c r="C147" s="967"/>
      <c r="D147" s="137"/>
      <c r="E147" s="53">
        <f>IF(D147="",1,(LOOKUP(D147,$3:$3,$4:$4)-LOOKUP($D$24,$3:$3,$4:$4)+100)/100)</f>
        <v>1</v>
      </c>
      <c r="F147" s="965"/>
      <c r="G147" s="53">
        <f>(SUMIF($5:$5,F147,$6:$6)-SUMIF($5:$5,$F$24,$6:$6)+100)/100</f>
        <v>0.01</v>
      </c>
      <c r="H147" s="965"/>
      <c r="I147" s="53">
        <f>(SUMIF($7:$7,H147,$8:$8)-SUMIF($7:$7,$H$24,$8:$8)+100)/100</f>
        <v>0.04</v>
      </c>
      <c r="J147" s="965"/>
      <c r="K147" s="53">
        <f>(SUMIF($9:$9,J147,$10:$10)-SUMIF($9:$9,$J$24,$10:$10)+100)/100</f>
        <v>0.04</v>
      </c>
      <c r="L147" s="965"/>
      <c r="M147" s="53">
        <f>(SUMIF($11:$11,L147,$12:$12)-SUMIF($11:$11,$L$24,$12:$12)+100)/100</f>
        <v>1</v>
      </c>
      <c r="N147" s="965"/>
      <c r="O147" s="53">
        <f>(SUMIF($13:$13,N147,$14:$14)-SUMIF($13:$13,$N$24,$14:$14)+100)/100</f>
        <v>1</v>
      </c>
      <c r="P147" s="965"/>
      <c r="Q147" s="53">
        <f>(SUMIF($15:$15,P147,$16:$16)-SUMIF($15:$15,$P$24,$16:$16)+100)/100</f>
        <v>1</v>
      </c>
      <c r="R147" s="965"/>
      <c r="S147" s="53">
        <f>(SUMIF($17:$17,R147,$18:$18)-SUMIF($17:$17,$R$24,$18:$18)+100)/100</f>
        <v>1</v>
      </c>
      <c r="T147" s="493">
        <f>IF(D147="",0,ROUND($T$24*E147*G147*I147*K147*M147*O147*Q147*S147,0))</f>
        <v>0</v>
      </c>
      <c r="U147" s="802">
        <f t="shared" si="14"/>
        <v>0</v>
      </c>
    </row>
    <row r="148" spans="3:21">
      <c r="C148" s="967"/>
      <c r="D148" s="137"/>
      <c r="E148" s="53">
        <f>IF(D148="",1,(LOOKUP(D148,$3:$3,$4:$4)-LOOKUP($D$24,$3:$3,$4:$4)+100)/100)</f>
        <v>1</v>
      </c>
      <c r="F148" s="965"/>
      <c r="G148" s="53">
        <f>(SUMIF($5:$5,F148,$6:$6)-SUMIF($5:$5,$F$24,$6:$6)+100)/100</f>
        <v>0.01</v>
      </c>
      <c r="H148" s="965"/>
      <c r="I148" s="53">
        <f>(SUMIF($7:$7,H148,$8:$8)-SUMIF($7:$7,$H$24,$8:$8)+100)/100</f>
        <v>0.04</v>
      </c>
      <c r="J148" s="965"/>
      <c r="K148" s="53">
        <f>(SUMIF($9:$9,J148,$10:$10)-SUMIF($9:$9,$J$24,$10:$10)+100)/100</f>
        <v>0.04</v>
      </c>
      <c r="L148" s="965"/>
      <c r="M148" s="53">
        <f>(SUMIF($11:$11,L148,$12:$12)-SUMIF($11:$11,$L$24,$12:$12)+100)/100</f>
        <v>1</v>
      </c>
      <c r="N148" s="965"/>
      <c r="O148" s="53">
        <f>(SUMIF($13:$13,N148,$14:$14)-SUMIF($13:$13,$N$24,$14:$14)+100)/100</f>
        <v>1</v>
      </c>
      <c r="P148" s="965"/>
      <c r="Q148" s="53">
        <f>(SUMIF($15:$15,P148,$16:$16)-SUMIF($15:$15,$P$24,$16:$16)+100)/100</f>
        <v>1</v>
      </c>
      <c r="R148" s="965"/>
      <c r="S148" s="53">
        <f>(SUMIF($17:$17,R148,$18:$18)-SUMIF($17:$17,$R$24,$18:$18)+100)/100</f>
        <v>1</v>
      </c>
      <c r="T148" s="493">
        <f>IF(D148="",0,ROUND($T$24*E148*G148*I148*K148*M148*O148*Q148*S148,0))</f>
        <v>0</v>
      </c>
      <c r="U148" s="802">
        <f t="shared" si="14"/>
        <v>0</v>
      </c>
    </row>
    <row r="149" spans="3:21">
      <c r="C149" s="967"/>
      <c r="D149" s="137"/>
      <c r="E149" s="53">
        <f>IF(D149="",1,(LOOKUP(D149,$3:$3,$4:$4)-LOOKUP($D$24,$3:$3,$4:$4)+100)/100)</f>
        <v>1</v>
      </c>
      <c r="F149" s="965"/>
      <c r="G149" s="53">
        <f>(SUMIF($5:$5,F149,$6:$6)-SUMIF($5:$5,$F$24,$6:$6)+100)/100</f>
        <v>0.01</v>
      </c>
      <c r="H149" s="965"/>
      <c r="I149" s="53">
        <f>(SUMIF($7:$7,H149,$8:$8)-SUMIF($7:$7,$H$24,$8:$8)+100)/100</f>
        <v>0.04</v>
      </c>
      <c r="J149" s="965"/>
      <c r="K149" s="53">
        <f>(SUMIF($9:$9,J149,$10:$10)-SUMIF($9:$9,$J$24,$10:$10)+100)/100</f>
        <v>0.04</v>
      </c>
      <c r="L149" s="965"/>
      <c r="M149" s="53">
        <f>(SUMIF($11:$11,L149,$12:$12)-SUMIF($11:$11,$L$24,$12:$12)+100)/100</f>
        <v>1</v>
      </c>
      <c r="N149" s="965"/>
      <c r="O149" s="53">
        <f>(SUMIF($13:$13,N149,$14:$14)-SUMIF($13:$13,$N$24,$14:$14)+100)/100</f>
        <v>1</v>
      </c>
      <c r="P149" s="965"/>
      <c r="Q149" s="53">
        <f>(SUMIF($15:$15,P149,$16:$16)-SUMIF($15:$15,$P$24,$16:$16)+100)/100</f>
        <v>1</v>
      </c>
      <c r="R149" s="965"/>
      <c r="S149" s="53">
        <f>(SUMIF($17:$17,R149,$18:$18)-SUMIF($17:$17,$R$24,$18:$18)+100)/100</f>
        <v>1</v>
      </c>
      <c r="T149" s="493">
        <f>IF(D149="",0,ROUND($T$24*E149*G149*I149*K149*M149*O149*Q149*S149,0))</f>
        <v>0</v>
      </c>
      <c r="U149" s="802">
        <f t="shared" si="14"/>
        <v>0</v>
      </c>
    </row>
    <row r="150" spans="3:21">
      <c r="C150" s="967"/>
      <c r="D150" s="137"/>
      <c r="E150" s="53">
        <f>IF(D150="",1,(LOOKUP(D150,$3:$3,$4:$4)-LOOKUP($D$24,$3:$3,$4:$4)+100)/100)</f>
        <v>1</v>
      </c>
      <c r="F150" s="965"/>
      <c r="G150" s="53">
        <f>(SUMIF($5:$5,F150,$6:$6)-SUMIF($5:$5,$F$24,$6:$6)+100)/100</f>
        <v>0.01</v>
      </c>
      <c r="H150" s="965"/>
      <c r="I150" s="53">
        <f>(SUMIF($7:$7,H150,$8:$8)-SUMIF($7:$7,$H$24,$8:$8)+100)/100</f>
        <v>0.04</v>
      </c>
      <c r="J150" s="965"/>
      <c r="K150" s="53">
        <f>(SUMIF($9:$9,J150,$10:$10)-SUMIF($9:$9,$J$24,$10:$10)+100)/100</f>
        <v>0.04</v>
      </c>
      <c r="L150" s="965"/>
      <c r="M150" s="53">
        <f>(SUMIF($11:$11,L150,$12:$12)-SUMIF($11:$11,$L$24,$12:$12)+100)/100</f>
        <v>1</v>
      </c>
      <c r="N150" s="965"/>
      <c r="O150" s="53">
        <f>(SUMIF($13:$13,N150,$14:$14)-SUMIF($13:$13,$N$24,$14:$14)+100)/100</f>
        <v>1</v>
      </c>
      <c r="P150" s="965"/>
      <c r="Q150" s="53">
        <f>(SUMIF($15:$15,P150,$16:$16)-SUMIF($15:$15,$P$24,$16:$16)+100)/100</f>
        <v>1</v>
      </c>
      <c r="R150" s="965"/>
      <c r="S150" s="53">
        <f>(SUMIF($17:$17,R150,$18:$18)-SUMIF($17:$17,$R$24,$18:$18)+100)/100</f>
        <v>1</v>
      </c>
      <c r="T150" s="493">
        <f>IF(D150="",0,ROUND($T$24*E150*G150*I150*K150*M150*O150*Q150*S150,0))</f>
        <v>0</v>
      </c>
      <c r="U150" s="802">
        <f t="shared" si="14"/>
        <v>0</v>
      </c>
    </row>
    <row r="151" spans="3:21">
      <c r="C151" s="967"/>
      <c r="D151" s="137"/>
      <c r="E151" s="53">
        <f>IF(D151="",1,(LOOKUP(D151,$3:$3,$4:$4)-LOOKUP($D$24,$3:$3,$4:$4)+100)/100)</f>
        <v>1</v>
      </c>
      <c r="F151" s="965"/>
      <c r="G151" s="53">
        <f>(SUMIF($5:$5,F151,$6:$6)-SUMIF($5:$5,$F$24,$6:$6)+100)/100</f>
        <v>0.01</v>
      </c>
      <c r="H151" s="965"/>
      <c r="I151" s="53">
        <f>(SUMIF($7:$7,H151,$8:$8)-SUMIF($7:$7,$H$24,$8:$8)+100)/100</f>
        <v>0.04</v>
      </c>
      <c r="J151" s="965"/>
      <c r="K151" s="53">
        <f>(SUMIF($9:$9,J151,$10:$10)-SUMIF($9:$9,$J$24,$10:$10)+100)/100</f>
        <v>0.04</v>
      </c>
      <c r="L151" s="965"/>
      <c r="M151" s="53">
        <f>(SUMIF($11:$11,L151,$12:$12)-SUMIF($11:$11,$L$24,$12:$12)+100)/100</f>
        <v>1</v>
      </c>
      <c r="N151" s="965"/>
      <c r="O151" s="53">
        <f>(SUMIF($13:$13,N151,$14:$14)-SUMIF($13:$13,$N$24,$14:$14)+100)/100</f>
        <v>1</v>
      </c>
      <c r="P151" s="965"/>
      <c r="Q151" s="53">
        <f>(SUMIF($15:$15,P151,$16:$16)-SUMIF($15:$15,$P$24,$16:$16)+100)/100</f>
        <v>1</v>
      </c>
      <c r="R151" s="965"/>
      <c r="S151" s="53">
        <f>(SUMIF($17:$17,R151,$18:$18)-SUMIF($17:$17,$R$24,$18:$18)+100)/100</f>
        <v>1</v>
      </c>
      <c r="T151" s="493">
        <f>IF(D151="",0,ROUND($T$24*E151*G151*I151*K151*M151*O151*Q151*S151,0))</f>
        <v>0</v>
      </c>
      <c r="U151" s="802">
        <f t="shared" si="14"/>
        <v>0</v>
      </c>
    </row>
    <row r="152" spans="3:21">
      <c r="C152" s="967"/>
      <c r="D152" s="137"/>
      <c r="E152" s="53">
        <f>IF(D152="",1,(LOOKUP(D152,$3:$3,$4:$4)-LOOKUP($D$24,$3:$3,$4:$4)+100)/100)</f>
        <v>1</v>
      </c>
      <c r="F152" s="965"/>
      <c r="G152" s="53">
        <f>(SUMIF($5:$5,F152,$6:$6)-SUMIF($5:$5,$F$24,$6:$6)+100)/100</f>
        <v>0.01</v>
      </c>
      <c r="H152" s="965"/>
      <c r="I152" s="53">
        <f>(SUMIF($7:$7,H152,$8:$8)-SUMIF($7:$7,$H$24,$8:$8)+100)/100</f>
        <v>0.04</v>
      </c>
      <c r="J152" s="965"/>
      <c r="K152" s="53">
        <f>(SUMIF($9:$9,J152,$10:$10)-SUMIF($9:$9,$J$24,$10:$10)+100)/100</f>
        <v>0.04</v>
      </c>
      <c r="L152" s="965"/>
      <c r="M152" s="53">
        <f>(SUMIF($11:$11,L152,$12:$12)-SUMIF($11:$11,$L$24,$12:$12)+100)/100</f>
        <v>1</v>
      </c>
      <c r="N152" s="965"/>
      <c r="O152" s="53">
        <f>(SUMIF($13:$13,N152,$14:$14)-SUMIF($13:$13,$N$24,$14:$14)+100)/100</f>
        <v>1</v>
      </c>
      <c r="P152" s="965"/>
      <c r="Q152" s="53">
        <f>(SUMIF($15:$15,P152,$16:$16)-SUMIF($15:$15,$P$24,$16:$16)+100)/100</f>
        <v>1</v>
      </c>
      <c r="R152" s="965"/>
      <c r="S152" s="53">
        <f>(SUMIF($17:$17,R152,$18:$18)-SUMIF($17:$17,$R$24,$18:$18)+100)/100</f>
        <v>1</v>
      </c>
      <c r="T152" s="493">
        <f>IF(D152="",0,ROUND($T$24*E152*G152*I152*K152*M152*O152*Q152*S152,0))</f>
        <v>0</v>
      </c>
      <c r="U152" s="802">
        <f t="shared" si="14"/>
        <v>0</v>
      </c>
    </row>
    <row r="153" spans="3:21">
      <c r="C153" s="967"/>
      <c r="D153" s="137"/>
      <c r="E153" s="53">
        <f>IF(D153="",1,(LOOKUP(D153,$3:$3,$4:$4)-LOOKUP($D$24,$3:$3,$4:$4)+100)/100)</f>
        <v>1</v>
      </c>
      <c r="F153" s="965"/>
      <c r="G153" s="53">
        <f>(SUMIF($5:$5,F153,$6:$6)-SUMIF($5:$5,$F$24,$6:$6)+100)/100</f>
        <v>0.01</v>
      </c>
      <c r="H153" s="965"/>
      <c r="I153" s="53">
        <f>(SUMIF($7:$7,H153,$8:$8)-SUMIF($7:$7,$H$24,$8:$8)+100)/100</f>
        <v>0.04</v>
      </c>
      <c r="J153" s="965"/>
      <c r="K153" s="53">
        <f>(SUMIF($9:$9,J153,$10:$10)-SUMIF($9:$9,$J$24,$10:$10)+100)/100</f>
        <v>0.04</v>
      </c>
      <c r="L153" s="965"/>
      <c r="M153" s="53">
        <f>(SUMIF($11:$11,L153,$12:$12)-SUMIF($11:$11,$L$24,$12:$12)+100)/100</f>
        <v>1</v>
      </c>
      <c r="N153" s="965"/>
      <c r="O153" s="53">
        <f>(SUMIF($13:$13,N153,$14:$14)-SUMIF($13:$13,$N$24,$14:$14)+100)/100</f>
        <v>1</v>
      </c>
      <c r="P153" s="965"/>
      <c r="Q153" s="53">
        <f>(SUMIF($15:$15,P153,$16:$16)-SUMIF($15:$15,$P$24,$16:$16)+100)/100</f>
        <v>1</v>
      </c>
      <c r="R153" s="965"/>
      <c r="S153" s="53">
        <f>(SUMIF($17:$17,R153,$18:$18)-SUMIF($17:$17,$R$24,$18:$18)+100)/100</f>
        <v>1</v>
      </c>
      <c r="T153" s="493">
        <f>IF(D153="",0,ROUND($T$24*E153*G153*I153*K153*M153*O153*Q153*S153,0))</f>
        <v>0</v>
      </c>
      <c r="U153" s="802">
        <f t="shared" si="14"/>
        <v>0</v>
      </c>
    </row>
    <row r="154" spans="3:21">
      <c r="C154" s="967"/>
      <c r="D154" s="137"/>
      <c r="E154" s="53">
        <f>IF(D154="",1,(LOOKUP(D154,$3:$3,$4:$4)-LOOKUP($D$24,$3:$3,$4:$4)+100)/100)</f>
        <v>1</v>
      </c>
      <c r="F154" s="965"/>
      <c r="G154" s="53">
        <f>(SUMIF($5:$5,F154,$6:$6)-SUMIF($5:$5,$F$24,$6:$6)+100)/100</f>
        <v>0.01</v>
      </c>
      <c r="H154" s="965"/>
      <c r="I154" s="53">
        <f>(SUMIF($7:$7,H154,$8:$8)-SUMIF($7:$7,$H$24,$8:$8)+100)/100</f>
        <v>0.04</v>
      </c>
      <c r="J154" s="965"/>
      <c r="K154" s="53">
        <f>(SUMIF($9:$9,J154,$10:$10)-SUMIF($9:$9,$J$24,$10:$10)+100)/100</f>
        <v>0.04</v>
      </c>
      <c r="L154" s="965"/>
      <c r="M154" s="53">
        <f>(SUMIF($11:$11,L154,$12:$12)-SUMIF($11:$11,$L$24,$12:$12)+100)/100</f>
        <v>1</v>
      </c>
      <c r="N154" s="965"/>
      <c r="O154" s="53">
        <f>(SUMIF($13:$13,N154,$14:$14)-SUMIF($13:$13,$N$24,$14:$14)+100)/100</f>
        <v>1</v>
      </c>
      <c r="P154" s="965"/>
      <c r="Q154" s="53">
        <f>(SUMIF($15:$15,P154,$16:$16)-SUMIF($15:$15,$P$24,$16:$16)+100)/100</f>
        <v>1</v>
      </c>
      <c r="R154" s="965"/>
      <c r="S154" s="53">
        <f>(SUMIF($17:$17,R154,$18:$18)-SUMIF($17:$17,$R$24,$18:$18)+100)/100</f>
        <v>1</v>
      </c>
      <c r="T154" s="493">
        <f>IF(D154="",0,ROUND($T$24*E154*G154*I154*K154*M154*O154*Q154*S154,0))</f>
        <v>0</v>
      </c>
      <c r="U154" s="802">
        <f t="shared" si="14"/>
        <v>0</v>
      </c>
    </row>
    <row r="155" spans="3:21">
      <c r="C155" s="967"/>
      <c r="D155" s="137"/>
      <c r="E155" s="53">
        <f>IF(D155="",1,(LOOKUP(D155,$3:$3,$4:$4)-LOOKUP($D$24,$3:$3,$4:$4)+100)/100)</f>
        <v>1</v>
      </c>
      <c r="F155" s="965"/>
      <c r="G155" s="53">
        <f>(SUMIF($5:$5,F155,$6:$6)-SUMIF($5:$5,$F$24,$6:$6)+100)/100</f>
        <v>0.01</v>
      </c>
      <c r="H155" s="965"/>
      <c r="I155" s="53">
        <f>(SUMIF($7:$7,H155,$8:$8)-SUMIF($7:$7,$H$24,$8:$8)+100)/100</f>
        <v>0.04</v>
      </c>
      <c r="J155" s="965"/>
      <c r="K155" s="53">
        <f>(SUMIF($9:$9,J155,$10:$10)-SUMIF($9:$9,$J$24,$10:$10)+100)/100</f>
        <v>0.04</v>
      </c>
      <c r="L155" s="965"/>
      <c r="M155" s="53">
        <f>(SUMIF($11:$11,L155,$12:$12)-SUMIF($11:$11,$L$24,$12:$12)+100)/100</f>
        <v>1</v>
      </c>
      <c r="N155" s="965"/>
      <c r="O155" s="53">
        <f>(SUMIF($13:$13,N155,$14:$14)-SUMIF($13:$13,$N$24,$14:$14)+100)/100</f>
        <v>1</v>
      </c>
      <c r="P155" s="965"/>
      <c r="Q155" s="53">
        <f>(SUMIF($15:$15,P155,$16:$16)-SUMIF($15:$15,$P$24,$16:$16)+100)/100</f>
        <v>1</v>
      </c>
      <c r="R155" s="965"/>
      <c r="S155" s="53">
        <f>(SUMIF($17:$17,R155,$18:$18)-SUMIF($17:$17,$R$24,$18:$18)+100)/100</f>
        <v>1</v>
      </c>
      <c r="T155" s="493">
        <f>IF(D155="",0,ROUND($T$24*E155*G155*I155*K155*M155*O155*Q155*S155,0))</f>
        <v>0</v>
      </c>
      <c r="U155" s="802">
        <f t="shared" si="14"/>
        <v>0</v>
      </c>
    </row>
    <row r="156" spans="3:21">
      <c r="C156" s="967"/>
      <c r="D156" s="137"/>
      <c r="E156" s="53">
        <f>IF(D156="",1,(LOOKUP(D156,$3:$3,$4:$4)-LOOKUP($D$24,$3:$3,$4:$4)+100)/100)</f>
        <v>1</v>
      </c>
      <c r="F156" s="965"/>
      <c r="G156" s="53">
        <f>(SUMIF($5:$5,F156,$6:$6)-SUMIF($5:$5,$F$24,$6:$6)+100)/100</f>
        <v>0.01</v>
      </c>
      <c r="H156" s="965"/>
      <c r="I156" s="53">
        <f>(SUMIF($7:$7,H156,$8:$8)-SUMIF($7:$7,$H$24,$8:$8)+100)/100</f>
        <v>0.04</v>
      </c>
      <c r="J156" s="965"/>
      <c r="K156" s="53">
        <f>(SUMIF($9:$9,J156,$10:$10)-SUMIF($9:$9,$J$24,$10:$10)+100)/100</f>
        <v>0.04</v>
      </c>
      <c r="L156" s="965"/>
      <c r="M156" s="53">
        <f>(SUMIF($11:$11,L156,$12:$12)-SUMIF($11:$11,$L$24,$12:$12)+100)/100</f>
        <v>1</v>
      </c>
      <c r="N156" s="965"/>
      <c r="O156" s="53">
        <f>(SUMIF($13:$13,N156,$14:$14)-SUMIF($13:$13,$N$24,$14:$14)+100)/100</f>
        <v>1</v>
      </c>
      <c r="P156" s="965"/>
      <c r="Q156" s="53">
        <f>(SUMIF($15:$15,P156,$16:$16)-SUMIF($15:$15,$P$24,$16:$16)+100)/100</f>
        <v>1</v>
      </c>
      <c r="R156" s="965"/>
      <c r="S156" s="53">
        <f>(SUMIF($17:$17,R156,$18:$18)-SUMIF($17:$17,$R$24,$18:$18)+100)/100</f>
        <v>1</v>
      </c>
      <c r="T156" s="493">
        <f>IF(D156="",0,ROUND($T$24*E156*G156*I156*K156*M156*O156*Q156*S156,0))</f>
        <v>0</v>
      </c>
      <c r="U156" s="802">
        <f t="shared" si="14"/>
        <v>0</v>
      </c>
    </row>
    <row r="157" spans="3:21">
      <c r="C157" s="967"/>
      <c r="D157" s="137"/>
      <c r="E157" s="53">
        <f>IF(D157="",1,(LOOKUP(D157,$3:$3,$4:$4)-LOOKUP($D$24,$3:$3,$4:$4)+100)/100)</f>
        <v>1</v>
      </c>
      <c r="F157" s="965"/>
      <c r="G157" s="53">
        <f>(SUMIF($5:$5,F157,$6:$6)-SUMIF($5:$5,$F$24,$6:$6)+100)/100</f>
        <v>0.01</v>
      </c>
      <c r="H157" s="965"/>
      <c r="I157" s="53">
        <f>(SUMIF($7:$7,H157,$8:$8)-SUMIF($7:$7,$H$24,$8:$8)+100)/100</f>
        <v>0.04</v>
      </c>
      <c r="J157" s="965"/>
      <c r="K157" s="53">
        <f>(SUMIF($9:$9,J157,$10:$10)-SUMIF($9:$9,$J$24,$10:$10)+100)/100</f>
        <v>0.04</v>
      </c>
      <c r="L157" s="965"/>
      <c r="M157" s="53">
        <f>(SUMIF($11:$11,L157,$12:$12)-SUMIF($11:$11,$L$24,$12:$12)+100)/100</f>
        <v>1</v>
      </c>
      <c r="N157" s="965"/>
      <c r="O157" s="53">
        <f>(SUMIF($13:$13,N157,$14:$14)-SUMIF($13:$13,$N$24,$14:$14)+100)/100</f>
        <v>1</v>
      </c>
      <c r="P157" s="965"/>
      <c r="Q157" s="53">
        <f>(SUMIF($15:$15,P157,$16:$16)-SUMIF($15:$15,$P$24,$16:$16)+100)/100</f>
        <v>1</v>
      </c>
      <c r="R157" s="965"/>
      <c r="S157" s="53">
        <f>(SUMIF($17:$17,R157,$18:$18)-SUMIF($17:$17,$R$24,$18:$18)+100)/100</f>
        <v>1</v>
      </c>
      <c r="T157" s="493">
        <f>IF(D157="",0,ROUND($T$24*E157*G157*I157*K157*M157*O157*Q157*S157,0))</f>
        <v>0</v>
      </c>
      <c r="U157" s="802">
        <f t="shared" si="14"/>
        <v>0</v>
      </c>
    </row>
    <row r="158" spans="3:21">
      <c r="C158" s="967"/>
      <c r="D158" s="137"/>
      <c r="E158" s="53">
        <f>IF(D158="",1,(LOOKUP(D158,$3:$3,$4:$4)-LOOKUP($D$24,$3:$3,$4:$4)+100)/100)</f>
        <v>1</v>
      </c>
      <c r="F158" s="965"/>
      <c r="G158" s="53">
        <f>(SUMIF($5:$5,F158,$6:$6)-SUMIF($5:$5,$F$24,$6:$6)+100)/100</f>
        <v>0.01</v>
      </c>
      <c r="H158" s="965"/>
      <c r="I158" s="53">
        <f>(SUMIF($7:$7,H158,$8:$8)-SUMIF($7:$7,$H$24,$8:$8)+100)/100</f>
        <v>0.04</v>
      </c>
      <c r="J158" s="965"/>
      <c r="K158" s="53">
        <f>(SUMIF($9:$9,J158,$10:$10)-SUMIF($9:$9,$J$24,$10:$10)+100)/100</f>
        <v>0.04</v>
      </c>
      <c r="L158" s="965"/>
      <c r="M158" s="53">
        <f>(SUMIF($11:$11,L158,$12:$12)-SUMIF($11:$11,$L$24,$12:$12)+100)/100</f>
        <v>1</v>
      </c>
      <c r="N158" s="965"/>
      <c r="O158" s="53">
        <f>(SUMIF($13:$13,N158,$14:$14)-SUMIF($13:$13,$N$24,$14:$14)+100)/100</f>
        <v>1</v>
      </c>
      <c r="P158" s="965"/>
      <c r="Q158" s="53">
        <f>(SUMIF($15:$15,P158,$16:$16)-SUMIF($15:$15,$P$24,$16:$16)+100)/100</f>
        <v>1</v>
      </c>
      <c r="R158" s="965"/>
      <c r="S158" s="53">
        <f>(SUMIF($17:$17,R158,$18:$18)-SUMIF($17:$17,$R$24,$18:$18)+100)/100</f>
        <v>1</v>
      </c>
      <c r="T158" s="493">
        <f>IF(D158="",0,ROUND($T$24*E158*G158*I158*K158*M158*O158*Q158*S158,0))</f>
        <v>0</v>
      </c>
      <c r="U158" s="802">
        <f t="shared" si="14"/>
        <v>0</v>
      </c>
    </row>
    <row r="159" spans="3:21">
      <c r="C159" s="967"/>
      <c r="D159" s="137"/>
      <c r="E159" s="53">
        <f>IF(D159="",1,(LOOKUP(D159,$3:$3,$4:$4)-LOOKUP($D$24,$3:$3,$4:$4)+100)/100)</f>
        <v>1</v>
      </c>
      <c r="F159" s="965"/>
      <c r="G159" s="53">
        <f>(SUMIF($5:$5,F159,$6:$6)-SUMIF($5:$5,$F$24,$6:$6)+100)/100</f>
        <v>0.01</v>
      </c>
      <c r="H159" s="965"/>
      <c r="I159" s="53">
        <f>(SUMIF($7:$7,H159,$8:$8)-SUMIF($7:$7,$H$24,$8:$8)+100)/100</f>
        <v>0.04</v>
      </c>
      <c r="J159" s="965"/>
      <c r="K159" s="53">
        <f>(SUMIF($9:$9,J159,$10:$10)-SUMIF($9:$9,$J$24,$10:$10)+100)/100</f>
        <v>0.04</v>
      </c>
      <c r="L159" s="965"/>
      <c r="M159" s="53">
        <f>(SUMIF($11:$11,L159,$12:$12)-SUMIF($11:$11,$L$24,$12:$12)+100)/100</f>
        <v>1</v>
      </c>
      <c r="N159" s="965"/>
      <c r="O159" s="53">
        <f>(SUMIF($13:$13,N159,$14:$14)-SUMIF($13:$13,$N$24,$14:$14)+100)/100</f>
        <v>1</v>
      </c>
      <c r="P159" s="965"/>
      <c r="Q159" s="53">
        <f>(SUMIF($15:$15,P159,$16:$16)-SUMIF($15:$15,$P$24,$16:$16)+100)/100</f>
        <v>1</v>
      </c>
      <c r="R159" s="965"/>
      <c r="S159" s="53">
        <f>(SUMIF($17:$17,R159,$18:$18)-SUMIF($17:$17,$R$24,$18:$18)+100)/100</f>
        <v>1</v>
      </c>
      <c r="T159" s="493">
        <f>IF(D159="",0,ROUND($T$24*E159*G159*I159*K159*M159*O159*Q159*S159,0))</f>
        <v>0</v>
      </c>
      <c r="U159" s="802">
        <f t="shared" si="14"/>
        <v>0</v>
      </c>
    </row>
    <row r="160" spans="3:21">
      <c r="C160" s="967"/>
      <c r="D160" s="137"/>
      <c r="E160" s="53">
        <f>IF(D160="",1,(LOOKUP(D160,$3:$3,$4:$4)-LOOKUP($D$24,$3:$3,$4:$4)+100)/100)</f>
        <v>1</v>
      </c>
      <c r="F160" s="965"/>
      <c r="G160" s="53">
        <f>(SUMIF($5:$5,F160,$6:$6)-SUMIF($5:$5,$F$24,$6:$6)+100)/100</f>
        <v>0.01</v>
      </c>
      <c r="H160" s="965"/>
      <c r="I160" s="53">
        <f>(SUMIF($7:$7,H160,$8:$8)-SUMIF($7:$7,$H$24,$8:$8)+100)/100</f>
        <v>0.04</v>
      </c>
      <c r="J160" s="965"/>
      <c r="K160" s="53">
        <f>(SUMIF($9:$9,J160,$10:$10)-SUMIF($9:$9,$J$24,$10:$10)+100)/100</f>
        <v>0.04</v>
      </c>
      <c r="L160" s="965"/>
      <c r="M160" s="53">
        <f>(SUMIF($11:$11,L160,$12:$12)-SUMIF($11:$11,$L$24,$12:$12)+100)/100</f>
        <v>1</v>
      </c>
      <c r="N160" s="965"/>
      <c r="O160" s="53">
        <f>(SUMIF($13:$13,N160,$14:$14)-SUMIF($13:$13,$N$24,$14:$14)+100)/100</f>
        <v>1</v>
      </c>
      <c r="P160" s="965"/>
      <c r="Q160" s="53">
        <f>(SUMIF($15:$15,P160,$16:$16)-SUMIF($15:$15,$P$24,$16:$16)+100)/100</f>
        <v>1</v>
      </c>
      <c r="R160" s="965"/>
      <c r="S160" s="53">
        <f>(SUMIF($17:$17,R160,$18:$18)-SUMIF($17:$17,$R$24,$18:$18)+100)/100</f>
        <v>1</v>
      </c>
      <c r="T160" s="493">
        <f>IF(D160="",0,ROUND($T$24*E160*G160*I160*K160*M160*O160*Q160*S160,0))</f>
        <v>0</v>
      </c>
      <c r="U160" s="802">
        <f t="shared" si="14"/>
        <v>0</v>
      </c>
    </row>
    <row r="161" spans="3:21">
      <c r="C161" s="967"/>
      <c r="D161" s="137"/>
      <c r="E161" s="53">
        <f>IF(D161="",1,(LOOKUP(D161,$3:$3,$4:$4)-LOOKUP($D$24,$3:$3,$4:$4)+100)/100)</f>
        <v>1</v>
      </c>
      <c r="F161" s="965"/>
      <c r="G161" s="53">
        <f>(SUMIF($5:$5,F161,$6:$6)-SUMIF($5:$5,$F$24,$6:$6)+100)/100</f>
        <v>0.01</v>
      </c>
      <c r="H161" s="965"/>
      <c r="I161" s="53">
        <f>(SUMIF($7:$7,H161,$8:$8)-SUMIF($7:$7,$H$24,$8:$8)+100)/100</f>
        <v>0.04</v>
      </c>
      <c r="J161" s="965"/>
      <c r="K161" s="53">
        <f>(SUMIF($9:$9,J161,$10:$10)-SUMIF($9:$9,$J$24,$10:$10)+100)/100</f>
        <v>0.04</v>
      </c>
      <c r="L161" s="965"/>
      <c r="M161" s="53">
        <f>(SUMIF($11:$11,L161,$12:$12)-SUMIF($11:$11,$L$24,$12:$12)+100)/100</f>
        <v>1</v>
      </c>
      <c r="N161" s="965"/>
      <c r="O161" s="53">
        <f>(SUMIF($13:$13,N161,$14:$14)-SUMIF($13:$13,$N$24,$14:$14)+100)/100</f>
        <v>1</v>
      </c>
      <c r="P161" s="965"/>
      <c r="Q161" s="53">
        <f>(SUMIF($15:$15,P161,$16:$16)-SUMIF($15:$15,$P$24,$16:$16)+100)/100</f>
        <v>1</v>
      </c>
      <c r="R161" s="965"/>
      <c r="S161" s="53">
        <f>(SUMIF($17:$17,R161,$18:$18)-SUMIF($17:$17,$R$24,$18:$18)+100)/100</f>
        <v>1</v>
      </c>
      <c r="T161" s="493">
        <f>IF(D161="",0,ROUND($T$24*E161*G161*I161*K161*M161*O161*Q161*S161,0))</f>
        <v>0</v>
      </c>
      <c r="U161" s="802">
        <f t="shared" si="14"/>
        <v>0</v>
      </c>
    </row>
    <row r="162" spans="3:21">
      <c r="C162" s="967"/>
      <c r="D162" s="137"/>
      <c r="E162" s="53">
        <f>IF(D162="",1,(LOOKUP(D162,$3:$3,$4:$4)-LOOKUP($D$24,$3:$3,$4:$4)+100)/100)</f>
        <v>1</v>
      </c>
      <c r="F162" s="965"/>
      <c r="G162" s="53">
        <f>(SUMIF($5:$5,F162,$6:$6)-SUMIF($5:$5,$F$24,$6:$6)+100)/100</f>
        <v>0.01</v>
      </c>
      <c r="H162" s="965"/>
      <c r="I162" s="53">
        <f>(SUMIF($7:$7,H162,$8:$8)-SUMIF($7:$7,$H$24,$8:$8)+100)/100</f>
        <v>0.04</v>
      </c>
      <c r="J162" s="965"/>
      <c r="K162" s="53">
        <f>(SUMIF($9:$9,J162,$10:$10)-SUMIF($9:$9,$J$24,$10:$10)+100)/100</f>
        <v>0.04</v>
      </c>
      <c r="L162" s="965"/>
      <c r="M162" s="53">
        <f>(SUMIF($11:$11,L162,$12:$12)-SUMIF($11:$11,$L$24,$12:$12)+100)/100</f>
        <v>1</v>
      </c>
      <c r="N162" s="965"/>
      <c r="O162" s="53">
        <f>(SUMIF($13:$13,N162,$14:$14)-SUMIF($13:$13,$N$24,$14:$14)+100)/100</f>
        <v>1</v>
      </c>
      <c r="P162" s="965"/>
      <c r="Q162" s="53">
        <f>(SUMIF($15:$15,P162,$16:$16)-SUMIF($15:$15,$P$24,$16:$16)+100)/100</f>
        <v>1</v>
      </c>
      <c r="R162" s="965"/>
      <c r="S162" s="53">
        <f>(SUMIF($17:$17,R162,$18:$18)-SUMIF($17:$17,$R$24,$18:$18)+100)/100</f>
        <v>1</v>
      </c>
      <c r="T162" s="493">
        <f>IF(D162="",0,ROUND($T$24*E162*G162*I162*K162*M162*O162*Q162*S162,0))</f>
        <v>0</v>
      </c>
      <c r="U162" s="802">
        <f t="shared" si="14"/>
        <v>0</v>
      </c>
    </row>
    <row r="163" spans="3:21">
      <c r="C163" s="967"/>
      <c r="D163" s="137"/>
      <c r="E163" s="53">
        <f>IF(D163="",1,(LOOKUP(D163,$3:$3,$4:$4)-LOOKUP($D$24,$3:$3,$4:$4)+100)/100)</f>
        <v>1</v>
      </c>
      <c r="F163" s="965"/>
      <c r="G163" s="53">
        <f>(SUMIF($5:$5,F163,$6:$6)-SUMIF($5:$5,$F$24,$6:$6)+100)/100</f>
        <v>0.01</v>
      </c>
      <c r="H163" s="965"/>
      <c r="I163" s="53">
        <f>(SUMIF($7:$7,H163,$8:$8)-SUMIF($7:$7,$H$24,$8:$8)+100)/100</f>
        <v>0.04</v>
      </c>
      <c r="J163" s="965"/>
      <c r="K163" s="53">
        <f>(SUMIF($9:$9,J163,$10:$10)-SUMIF($9:$9,$J$24,$10:$10)+100)/100</f>
        <v>0.04</v>
      </c>
      <c r="L163" s="965"/>
      <c r="M163" s="53">
        <f>(SUMIF($11:$11,L163,$12:$12)-SUMIF($11:$11,$L$24,$12:$12)+100)/100</f>
        <v>1</v>
      </c>
      <c r="N163" s="965"/>
      <c r="O163" s="53">
        <f>(SUMIF($13:$13,N163,$14:$14)-SUMIF($13:$13,$N$24,$14:$14)+100)/100</f>
        <v>1</v>
      </c>
      <c r="P163" s="965"/>
      <c r="Q163" s="53">
        <f>(SUMIF($15:$15,P163,$16:$16)-SUMIF($15:$15,$P$24,$16:$16)+100)/100</f>
        <v>1</v>
      </c>
      <c r="R163" s="965"/>
      <c r="S163" s="53">
        <f>(SUMIF($17:$17,R163,$18:$18)-SUMIF($17:$17,$R$24,$18:$18)+100)/100</f>
        <v>1</v>
      </c>
      <c r="T163" s="493">
        <f>IF(D163="",0,ROUND($T$24*E163*G163*I163*K163*M163*O163*Q163*S163,0))</f>
        <v>0</v>
      </c>
      <c r="U163" s="802">
        <f t="shared" si="14"/>
        <v>0</v>
      </c>
    </row>
    <row r="164" spans="3:21">
      <c r="C164" s="967"/>
      <c r="D164" s="137"/>
      <c r="E164" s="53">
        <f>IF(D164="",1,(LOOKUP(D164,$3:$3,$4:$4)-LOOKUP($D$24,$3:$3,$4:$4)+100)/100)</f>
        <v>1</v>
      </c>
      <c r="F164" s="965"/>
      <c r="G164" s="53">
        <f>(SUMIF($5:$5,F164,$6:$6)-SUMIF($5:$5,$F$24,$6:$6)+100)/100</f>
        <v>0.01</v>
      </c>
      <c r="H164" s="965"/>
      <c r="I164" s="53">
        <f>(SUMIF($7:$7,H164,$8:$8)-SUMIF($7:$7,$H$24,$8:$8)+100)/100</f>
        <v>0.04</v>
      </c>
      <c r="J164" s="965"/>
      <c r="K164" s="53">
        <f>(SUMIF($9:$9,J164,$10:$10)-SUMIF($9:$9,$J$24,$10:$10)+100)/100</f>
        <v>0.04</v>
      </c>
      <c r="L164" s="965"/>
      <c r="M164" s="53">
        <f>(SUMIF($11:$11,L164,$12:$12)-SUMIF($11:$11,$L$24,$12:$12)+100)/100</f>
        <v>1</v>
      </c>
      <c r="N164" s="965"/>
      <c r="O164" s="53">
        <f>(SUMIF($13:$13,N164,$14:$14)-SUMIF($13:$13,$N$24,$14:$14)+100)/100</f>
        <v>1</v>
      </c>
      <c r="P164" s="965"/>
      <c r="Q164" s="53">
        <f>(SUMIF($15:$15,P164,$16:$16)-SUMIF($15:$15,$P$24,$16:$16)+100)/100</f>
        <v>1</v>
      </c>
      <c r="R164" s="965"/>
      <c r="S164" s="53">
        <f>(SUMIF($17:$17,R164,$18:$18)-SUMIF($17:$17,$R$24,$18:$18)+100)/100</f>
        <v>1</v>
      </c>
      <c r="T164" s="493">
        <f>IF(D164="",0,ROUND($T$24*E164*G164*I164*K164*M164*O164*Q164*S164,0))</f>
        <v>0</v>
      </c>
      <c r="U164" s="802">
        <f t="shared" si="14"/>
        <v>0</v>
      </c>
    </row>
    <row r="165" spans="3:21">
      <c r="C165" s="967"/>
      <c r="D165" s="137"/>
      <c r="E165" s="53">
        <f>IF(D165="",1,(LOOKUP(D165,$3:$3,$4:$4)-LOOKUP($D$24,$3:$3,$4:$4)+100)/100)</f>
        <v>1</v>
      </c>
      <c r="F165" s="965"/>
      <c r="G165" s="53">
        <f>(SUMIF($5:$5,F165,$6:$6)-SUMIF($5:$5,$F$24,$6:$6)+100)/100</f>
        <v>0.01</v>
      </c>
      <c r="H165" s="965"/>
      <c r="I165" s="53">
        <f>(SUMIF($7:$7,H165,$8:$8)-SUMIF($7:$7,$H$24,$8:$8)+100)/100</f>
        <v>0.04</v>
      </c>
      <c r="J165" s="965"/>
      <c r="K165" s="53">
        <f>(SUMIF($9:$9,J165,$10:$10)-SUMIF($9:$9,$J$24,$10:$10)+100)/100</f>
        <v>0.04</v>
      </c>
      <c r="L165" s="965"/>
      <c r="M165" s="53">
        <f>(SUMIF($11:$11,L165,$12:$12)-SUMIF($11:$11,$L$24,$12:$12)+100)/100</f>
        <v>1</v>
      </c>
      <c r="N165" s="965"/>
      <c r="O165" s="53">
        <f>(SUMIF($13:$13,N165,$14:$14)-SUMIF($13:$13,$N$24,$14:$14)+100)/100</f>
        <v>1</v>
      </c>
      <c r="P165" s="965"/>
      <c r="Q165" s="53">
        <f>(SUMIF($15:$15,P165,$16:$16)-SUMIF($15:$15,$P$24,$16:$16)+100)/100</f>
        <v>1</v>
      </c>
      <c r="R165" s="965"/>
      <c r="S165" s="53">
        <f>(SUMIF($17:$17,R165,$18:$18)-SUMIF($17:$17,$R$24,$18:$18)+100)/100</f>
        <v>1</v>
      </c>
      <c r="T165" s="493">
        <f>IF(D165="",0,ROUND($T$24*E165*G165*I165*K165*M165*O165*Q165*S165,0))</f>
        <v>0</v>
      </c>
      <c r="U165" s="802">
        <f t="shared" si="14"/>
        <v>0</v>
      </c>
    </row>
    <row r="166" spans="3:21">
      <c r="C166" s="967"/>
      <c r="D166" s="137"/>
      <c r="E166" s="53">
        <f>IF(D166="",1,(LOOKUP(D166,$3:$3,$4:$4)-LOOKUP($D$24,$3:$3,$4:$4)+100)/100)</f>
        <v>1</v>
      </c>
      <c r="F166" s="965"/>
      <c r="G166" s="53">
        <f>(SUMIF($5:$5,F166,$6:$6)-SUMIF($5:$5,$F$24,$6:$6)+100)/100</f>
        <v>0.01</v>
      </c>
      <c r="H166" s="965"/>
      <c r="I166" s="53">
        <f>(SUMIF($7:$7,H166,$8:$8)-SUMIF($7:$7,$H$24,$8:$8)+100)/100</f>
        <v>0.04</v>
      </c>
      <c r="J166" s="965"/>
      <c r="K166" s="53">
        <f>(SUMIF($9:$9,J166,$10:$10)-SUMIF($9:$9,$J$24,$10:$10)+100)/100</f>
        <v>0.04</v>
      </c>
      <c r="L166" s="965"/>
      <c r="M166" s="53">
        <f>(SUMIF($11:$11,L166,$12:$12)-SUMIF($11:$11,$L$24,$12:$12)+100)/100</f>
        <v>1</v>
      </c>
      <c r="N166" s="965"/>
      <c r="O166" s="53">
        <f>(SUMIF($13:$13,N166,$14:$14)-SUMIF($13:$13,$N$24,$14:$14)+100)/100</f>
        <v>1</v>
      </c>
      <c r="P166" s="965"/>
      <c r="Q166" s="53">
        <f>(SUMIF($15:$15,P166,$16:$16)-SUMIF($15:$15,$P$24,$16:$16)+100)/100</f>
        <v>1</v>
      </c>
      <c r="R166" s="965"/>
      <c r="S166" s="53">
        <f>(SUMIF($17:$17,R166,$18:$18)-SUMIF($17:$17,$R$24,$18:$18)+100)/100</f>
        <v>1</v>
      </c>
      <c r="T166" s="493">
        <f>IF(D166="",0,ROUND($T$24*E166*G166*I166*K166*M166*O166*Q166*S166,0))</f>
        <v>0</v>
      </c>
      <c r="U166" s="802">
        <f t="shared" si="14"/>
        <v>0</v>
      </c>
    </row>
    <row r="167" spans="3:21">
      <c r="C167" s="967"/>
      <c r="D167" s="137"/>
      <c r="E167" s="53">
        <f>IF(D167="",1,(LOOKUP(D167,$3:$3,$4:$4)-LOOKUP($D$24,$3:$3,$4:$4)+100)/100)</f>
        <v>1</v>
      </c>
      <c r="F167" s="965"/>
      <c r="G167" s="53">
        <f>(SUMIF($5:$5,F167,$6:$6)-SUMIF($5:$5,$F$24,$6:$6)+100)/100</f>
        <v>0.01</v>
      </c>
      <c r="H167" s="965"/>
      <c r="I167" s="53">
        <f>(SUMIF($7:$7,H167,$8:$8)-SUMIF($7:$7,$H$24,$8:$8)+100)/100</f>
        <v>0.04</v>
      </c>
      <c r="J167" s="965"/>
      <c r="K167" s="53">
        <f>(SUMIF($9:$9,J167,$10:$10)-SUMIF($9:$9,$J$24,$10:$10)+100)/100</f>
        <v>0.04</v>
      </c>
      <c r="L167" s="965"/>
      <c r="M167" s="53">
        <f>(SUMIF($11:$11,L167,$12:$12)-SUMIF($11:$11,$L$24,$12:$12)+100)/100</f>
        <v>1</v>
      </c>
      <c r="N167" s="965"/>
      <c r="O167" s="53">
        <f>(SUMIF($13:$13,N167,$14:$14)-SUMIF($13:$13,$N$24,$14:$14)+100)/100</f>
        <v>1</v>
      </c>
      <c r="P167" s="965"/>
      <c r="Q167" s="53">
        <f>(SUMIF($15:$15,P167,$16:$16)-SUMIF($15:$15,$P$24,$16:$16)+100)/100</f>
        <v>1</v>
      </c>
      <c r="R167" s="965"/>
      <c r="S167" s="53">
        <f>(SUMIF($17:$17,R167,$18:$18)-SUMIF($17:$17,$R$24,$18:$18)+100)/100</f>
        <v>1</v>
      </c>
      <c r="T167" s="493">
        <f>IF(D167="",0,ROUND($T$24*E167*G167*I167*K167*M167*O167*Q167*S167,0))</f>
        <v>0</v>
      </c>
      <c r="U167" s="802">
        <f t="shared" si="14"/>
        <v>0</v>
      </c>
    </row>
    <row r="168" spans="3:21">
      <c r="C168" s="967"/>
      <c r="D168" s="137"/>
      <c r="E168" s="53">
        <f>IF(D168="",1,(LOOKUP(D168,$3:$3,$4:$4)-LOOKUP($D$24,$3:$3,$4:$4)+100)/100)</f>
        <v>1</v>
      </c>
      <c r="F168" s="965"/>
      <c r="G168" s="53">
        <f>(SUMIF($5:$5,F168,$6:$6)-SUMIF($5:$5,$F$24,$6:$6)+100)/100</f>
        <v>0.01</v>
      </c>
      <c r="H168" s="965"/>
      <c r="I168" s="53">
        <f>(SUMIF($7:$7,H168,$8:$8)-SUMIF($7:$7,$H$24,$8:$8)+100)/100</f>
        <v>0.04</v>
      </c>
      <c r="J168" s="965"/>
      <c r="K168" s="53">
        <f>(SUMIF($9:$9,J168,$10:$10)-SUMIF($9:$9,$J$24,$10:$10)+100)/100</f>
        <v>0.04</v>
      </c>
      <c r="L168" s="965"/>
      <c r="M168" s="53">
        <f>(SUMIF($11:$11,L168,$12:$12)-SUMIF($11:$11,$L$24,$12:$12)+100)/100</f>
        <v>1</v>
      </c>
      <c r="N168" s="965"/>
      <c r="O168" s="53">
        <f>(SUMIF($13:$13,N168,$14:$14)-SUMIF($13:$13,$N$24,$14:$14)+100)/100</f>
        <v>1</v>
      </c>
      <c r="P168" s="965"/>
      <c r="Q168" s="53">
        <f>(SUMIF($15:$15,P168,$16:$16)-SUMIF($15:$15,$P$24,$16:$16)+100)/100</f>
        <v>1</v>
      </c>
      <c r="R168" s="965"/>
      <c r="S168" s="53">
        <f>(SUMIF($17:$17,R168,$18:$18)-SUMIF($17:$17,$R$24,$18:$18)+100)/100</f>
        <v>1</v>
      </c>
      <c r="T168" s="493">
        <f>IF(D168="",0,ROUND($T$24*E168*G168*I168*K168*M168*O168*Q168*S168,0))</f>
        <v>0</v>
      </c>
      <c r="U168" s="802">
        <f t="shared" si="14"/>
        <v>0</v>
      </c>
    </row>
    <row r="169" spans="3:21">
      <c r="C169" s="967"/>
      <c r="D169" s="137"/>
      <c r="E169" s="53">
        <f>IF(D169="",1,(LOOKUP(D169,$3:$3,$4:$4)-LOOKUP($D$24,$3:$3,$4:$4)+100)/100)</f>
        <v>1</v>
      </c>
      <c r="F169" s="965"/>
      <c r="G169" s="53">
        <f>(SUMIF($5:$5,F169,$6:$6)-SUMIF($5:$5,$F$24,$6:$6)+100)/100</f>
        <v>0.01</v>
      </c>
      <c r="H169" s="965"/>
      <c r="I169" s="53">
        <f>(SUMIF($7:$7,H169,$8:$8)-SUMIF($7:$7,$H$24,$8:$8)+100)/100</f>
        <v>0.04</v>
      </c>
      <c r="J169" s="965"/>
      <c r="K169" s="53">
        <f>(SUMIF($9:$9,J169,$10:$10)-SUMIF($9:$9,$J$24,$10:$10)+100)/100</f>
        <v>0.04</v>
      </c>
      <c r="L169" s="965"/>
      <c r="M169" s="53">
        <f>(SUMIF($11:$11,L169,$12:$12)-SUMIF($11:$11,$L$24,$12:$12)+100)/100</f>
        <v>1</v>
      </c>
      <c r="N169" s="965"/>
      <c r="O169" s="53">
        <f>(SUMIF($13:$13,N169,$14:$14)-SUMIF($13:$13,$N$24,$14:$14)+100)/100</f>
        <v>1</v>
      </c>
      <c r="P169" s="965"/>
      <c r="Q169" s="53">
        <f>(SUMIF($15:$15,P169,$16:$16)-SUMIF($15:$15,$P$24,$16:$16)+100)/100</f>
        <v>1</v>
      </c>
      <c r="R169" s="965"/>
      <c r="S169" s="53">
        <f>(SUMIF($17:$17,R169,$18:$18)-SUMIF($17:$17,$R$24,$18:$18)+100)/100</f>
        <v>1</v>
      </c>
      <c r="T169" s="493">
        <f>IF(D169="",0,ROUND($T$24*E169*G169*I169*K169*M169*O169*Q169*S169,0))</f>
        <v>0</v>
      </c>
      <c r="U169" s="802">
        <f t="shared" si="14"/>
        <v>0</v>
      </c>
    </row>
    <row r="170" spans="3:21">
      <c r="C170" s="967"/>
      <c r="D170" s="137"/>
      <c r="E170" s="53">
        <f>IF(D170="",1,(LOOKUP(D170,$3:$3,$4:$4)-LOOKUP($D$24,$3:$3,$4:$4)+100)/100)</f>
        <v>1</v>
      </c>
      <c r="F170" s="965"/>
      <c r="G170" s="53">
        <f>(SUMIF($5:$5,F170,$6:$6)-SUMIF($5:$5,$F$24,$6:$6)+100)/100</f>
        <v>0.01</v>
      </c>
      <c r="H170" s="965"/>
      <c r="I170" s="53">
        <f>(SUMIF($7:$7,H170,$8:$8)-SUMIF($7:$7,$H$24,$8:$8)+100)/100</f>
        <v>0.04</v>
      </c>
      <c r="J170" s="965"/>
      <c r="K170" s="53">
        <f>(SUMIF($9:$9,J170,$10:$10)-SUMIF($9:$9,$J$24,$10:$10)+100)/100</f>
        <v>0.04</v>
      </c>
      <c r="L170" s="965"/>
      <c r="M170" s="53">
        <f>(SUMIF($11:$11,L170,$12:$12)-SUMIF($11:$11,$L$24,$12:$12)+100)/100</f>
        <v>1</v>
      </c>
      <c r="N170" s="965"/>
      <c r="O170" s="53">
        <f>(SUMIF($13:$13,N170,$14:$14)-SUMIF($13:$13,$N$24,$14:$14)+100)/100</f>
        <v>1</v>
      </c>
      <c r="P170" s="965"/>
      <c r="Q170" s="53">
        <f>(SUMIF($15:$15,P170,$16:$16)-SUMIF($15:$15,$P$24,$16:$16)+100)/100</f>
        <v>1</v>
      </c>
      <c r="R170" s="965"/>
      <c r="S170" s="53">
        <f>(SUMIF($17:$17,R170,$18:$18)-SUMIF($17:$17,$R$24,$18:$18)+100)/100</f>
        <v>1</v>
      </c>
      <c r="T170" s="493">
        <f>IF(D170="",0,ROUND($T$24*E170*G170*I170*K170*M170*O170*Q170*S170,0))</f>
        <v>0</v>
      </c>
      <c r="U170" s="802">
        <f t="shared" si="14"/>
        <v>0</v>
      </c>
    </row>
    <row r="171" spans="3:21">
      <c r="C171" s="967"/>
      <c r="D171" s="137"/>
      <c r="E171" s="53">
        <f>IF(D171="",1,(LOOKUP(D171,$3:$3,$4:$4)-LOOKUP($D$24,$3:$3,$4:$4)+100)/100)</f>
        <v>1</v>
      </c>
      <c r="F171" s="965"/>
      <c r="G171" s="53">
        <f>(SUMIF($5:$5,F171,$6:$6)-SUMIF($5:$5,$F$24,$6:$6)+100)/100</f>
        <v>0.01</v>
      </c>
      <c r="H171" s="965"/>
      <c r="I171" s="53">
        <f>(SUMIF($7:$7,H171,$8:$8)-SUMIF($7:$7,$H$24,$8:$8)+100)/100</f>
        <v>0.04</v>
      </c>
      <c r="J171" s="965"/>
      <c r="K171" s="53">
        <f>(SUMIF($9:$9,J171,$10:$10)-SUMIF($9:$9,$J$24,$10:$10)+100)/100</f>
        <v>0.04</v>
      </c>
      <c r="L171" s="965"/>
      <c r="M171" s="53">
        <f>(SUMIF($11:$11,L171,$12:$12)-SUMIF($11:$11,$L$24,$12:$12)+100)/100</f>
        <v>1</v>
      </c>
      <c r="N171" s="965"/>
      <c r="O171" s="53">
        <f>(SUMIF($13:$13,N171,$14:$14)-SUMIF($13:$13,$N$24,$14:$14)+100)/100</f>
        <v>1</v>
      </c>
      <c r="P171" s="965"/>
      <c r="Q171" s="53">
        <f>(SUMIF($15:$15,P171,$16:$16)-SUMIF($15:$15,$P$24,$16:$16)+100)/100</f>
        <v>1</v>
      </c>
      <c r="R171" s="965"/>
      <c r="S171" s="53">
        <f>(SUMIF($17:$17,R171,$18:$18)-SUMIF($17:$17,$R$24,$18:$18)+100)/100</f>
        <v>1</v>
      </c>
      <c r="T171" s="493">
        <f>IF(D171="",0,ROUND($T$24*E171*G171*I171*K171*M171*O171*Q171*S171,0))</f>
        <v>0</v>
      </c>
      <c r="U171" s="802">
        <f t="shared" si="14"/>
        <v>0</v>
      </c>
    </row>
    <row r="172" spans="3:21">
      <c r="C172" s="967"/>
      <c r="D172" s="137"/>
      <c r="E172" s="53">
        <f>IF(D172="",1,(LOOKUP(D172,$3:$3,$4:$4)-LOOKUP($D$24,$3:$3,$4:$4)+100)/100)</f>
        <v>1</v>
      </c>
      <c r="F172" s="965"/>
      <c r="G172" s="53">
        <f>(SUMIF($5:$5,F172,$6:$6)-SUMIF($5:$5,$F$24,$6:$6)+100)/100</f>
        <v>0.01</v>
      </c>
      <c r="H172" s="965"/>
      <c r="I172" s="53">
        <f>(SUMIF($7:$7,H172,$8:$8)-SUMIF($7:$7,$H$24,$8:$8)+100)/100</f>
        <v>0.04</v>
      </c>
      <c r="J172" s="965"/>
      <c r="K172" s="53">
        <f>(SUMIF($9:$9,J172,$10:$10)-SUMIF($9:$9,$J$24,$10:$10)+100)/100</f>
        <v>0.04</v>
      </c>
      <c r="L172" s="965"/>
      <c r="M172" s="53">
        <f>(SUMIF($11:$11,L172,$12:$12)-SUMIF($11:$11,$L$24,$12:$12)+100)/100</f>
        <v>1</v>
      </c>
      <c r="N172" s="965"/>
      <c r="O172" s="53">
        <f>(SUMIF($13:$13,N172,$14:$14)-SUMIF($13:$13,$N$24,$14:$14)+100)/100</f>
        <v>1</v>
      </c>
      <c r="P172" s="965"/>
      <c r="Q172" s="53">
        <f>(SUMIF($15:$15,P172,$16:$16)-SUMIF($15:$15,$P$24,$16:$16)+100)/100</f>
        <v>1</v>
      </c>
      <c r="R172" s="965"/>
      <c r="S172" s="53">
        <f>(SUMIF($17:$17,R172,$18:$18)-SUMIF($17:$17,$R$24,$18:$18)+100)/100</f>
        <v>1</v>
      </c>
      <c r="T172" s="493">
        <f>IF(D172="",0,ROUND($T$24*E172*G172*I172*K172*M172*O172*Q172*S172,0))</f>
        <v>0</v>
      </c>
      <c r="U172" s="802">
        <f t="shared" si="14"/>
        <v>0</v>
      </c>
    </row>
    <row r="173" spans="3:21">
      <c r="C173" s="967"/>
      <c r="D173" s="137"/>
      <c r="E173" s="53">
        <f>IF(D173="",1,(LOOKUP(D173,$3:$3,$4:$4)-LOOKUP($D$24,$3:$3,$4:$4)+100)/100)</f>
        <v>1</v>
      </c>
      <c r="F173" s="965"/>
      <c r="G173" s="53">
        <f>(SUMIF($5:$5,F173,$6:$6)-SUMIF($5:$5,$F$24,$6:$6)+100)/100</f>
        <v>0.01</v>
      </c>
      <c r="H173" s="965"/>
      <c r="I173" s="53">
        <f>(SUMIF($7:$7,H173,$8:$8)-SUMIF($7:$7,$H$24,$8:$8)+100)/100</f>
        <v>0.04</v>
      </c>
      <c r="J173" s="965"/>
      <c r="K173" s="53">
        <f>(SUMIF($9:$9,J173,$10:$10)-SUMIF($9:$9,$J$24,$10:$10)+100)/100</f>
        <v>0.04</v>
      </c>
      <c r="L173" s="965"/>
      <c r="M173" s="53">
        <f>(SUMIF($11:$11,L173,$12:$12)-SUMIF($11:$11,$L$24,$12:$12)+100)/100</f>
        <v>1</v>
      </c>
      <c r="N173" s="965"/>
      <c r="O173" s="53">
        <f>(SUMIF($13:$13,N173,$14:$14)-SUMIF($13:$13,$N$24,$14:$14)+100)/100</f>
        <v>1</v>
      </c>
      <c r="P173" s="965"/>
      <c r="Q173" s="53">
        <f>(SUMIF($15:$15,P173,$16:$16)-SUMIF($15:$15,$P$24,$16:$16)+100)/100</f>
        <v>1</v>
      </c>
      <c r="R173" s="965"/>
      <c r="S173" s="53">
        <f>(SUMIF($17:$17,R173,$18:$18)-SUMIF($17:$17,$R$24,$18:$18)+100)/100</f>
        <v>1</v>
      </c>
      <c r="T173" s="493">
        <f>IF(D173="",0,ROUND($T$24*E173*G173*I173*K173*M173*O173*Q173*S173,0))</f>
        <v>0</v>
      </c>
      <c r="U173" s="802">
        <f t="shared" si="14"/>
        <v>0</v>
      </c>
    </row>
    <row r="174" spans="3:21">
      <c r="C174" s="967"/>
      <c r="D174" s="137"/>
      <c r="E174" s="53">
        <f>IF(D174="",1,(LOOKUP(D174,$3:$3,$4:$4)-LOOKUP($D$24,$3:$3,$4:$4)+100)/100)</f>
        <v>1</v>
      </c>
      <c r="F174" s="965"/>
      <c r="G174" s="53">
        <f>(SUMIF($5:$5,F174,$6:$6)-SUMIF($5:$5,$F$24,$6:$6)+100)/100</f>
        <v>0.01</v>
      </c>
      <c r="H174" s="965"/>
      <c r="I174" s="53">
        <f>(SUMIF($7:$7,H174,$8:$8)-SUMIF($7:$7,$H$24,$8:$8)+100)/100</f>
        <v>0.04</v>
      </c>
      <c r="J174" s="965"/>
      <c r="K174" s="53">
        <f>(SUMIF($9:$9,J174,$10:$10)-SUMIF($9:$9,$J$24,$10:$10)+100)/100</f>
        <v>0.04</v>
      </c>
      <c r="L174" s="965"/>
      <c r="M174" s="53">
        <f>(SUMIF($11:$11,L174,$12:$12)-SUMIF($11:$11,$L$24,$12:$12)+100)/100</f>
        <v>1</v>
      </c>
      <c r="N174" s="965"/>
      <c r="O174" s="53">
        <f>(SUMIF($13:$13,N174,$14:$14)-SUMIF($13:$13,$N$24,$14:$14)+100)/100</f>
        <v>1</v>
      </c>
      <c r="P174" s="965"/>
      <c r="Q174" s="53">
        <f>(SUMIF($15:$15,P174,$16:$16)-SUMIF($15:$15,$P$24,$16:$16)+100)/100</f>
        <v>1</v>
      </c>
      <c r="R174" s="965"/>
      <c r="S174" s="53">
        <f>(SUMIF($17:$17,R174,$18:$18)-SUMIF($17:$17,$R$24,$18:$18)+100)/100</f>
        <v>1</v>
      </c>
      <c r="T174" s="493">
        <f>IF(D174="",0,ROUND($T$24*E174*G174*I174*K174*M174*O174*Q174*S174,0))</f>
        <v>0</v>
      </c>
      <c r="U174" s="802">
        <f t="shared" si="14"/>
        <v>0</v>
      </c>
    </row>
    <row r="175" spans="3:21">
      <c r="C175" s="967"/>
      <c r="D175" s="137"/>
      <c r="E175" s="53">
        <f>IF(D175="",1,(LOOKUP(D175,$3:$3,$4:$4)-LOOKUP($D$24,$3:$3,$4:$4)+100)/100)</f>
        <v>1</v>
      </c>
      <c r="F175" s="965"/>
      <c r="G175" s="53">
        <f>(SUMIF($5:$5,F175,$6:$6)-SUMIF($5:$5,$F$24,$6:$6)+100)/100</f>
        <v>0.01</v>
      </c>
      <c r="H175" s="965"/>
      <c r="I175" s="53">
        <f>(SUMIF($7:$7,H175,$8:$8)-SUMIF($7:$7,$H$24,$8:$8)+100)/100</f>
        <v>0.04</v>
      </c>
      <c r="J175" s="965"/>
      <c r="K175" s="53">
        <f>(SUMIF($9:$9,J175,$10:$10)-SUMIF($9:$9,$J$24,$10:$10)+100)/100</f>
        <v>0.04</v>
      </c>
      <c r="L175" s="965"/>
      <c r="M175" s="53">
        <f>(SUMIF($11:$11,L175,$12:$12)-SUMIF($11:$11,$L$24,$12:$12)+100)/100</f>
        <v>1</v>
      </c>
      <c r="N175" s="965"/>
      <c r="O175" s="53">
        <f>(SUMIF($13:$13,N175,$14:$14)-SUMIF($13:$13,$N$24,$14:$14)+100)/100</f>
        <v>1</v>
      </c>
      <c r="P175" s="965"/>
      <c r="Q175" s="53">
        <f>(SUMIF($15:$15,P175,$16:$16)-SUMIF($15:$15,$P$24,$16:$16)+100)/100</f>
        <v>1</v>
      </c>
      <c r="R175" s="965"/>
      <c r="S175" s="53">
        <f>(SUMIF($17:$17,R175,$18:$18)-SUMIF($17:$17,$R$24,$18:$18)+100)/100</f>
        <v>1</v>
      </c>
      <c r="T175" s="493">
        <f>IF(D175="",0,ROUND($T$24*E175*G175*I175*K175*M175*O175*Q175*S175,0))</f>
        <v>0</v>
      </c>
      <c r="U175" s="802">
        <f t="shared" si="14"/>
        <v>0</v>
      </c>
    </row>
    <row r="176" spans="3:21">
      <c r="C176" s="967"/>
      <c r="D176" s="137"/>
      <c r="E176" s="53">
        <f>IF(D176="",1,(LOOKUP(D176,$3:$3,$4:$4)-LOOKUP($D$24,$3:$3,$4:$4)+100)/100)</f>
        <v>1</v>
      </c>
      <c r="F176" s="965"/>
      <c r="G176" s="53">
        <f>(SUMIF($5:$5,F176,$6:$6)-SUMIF($5:$5,$F$24,$6:$6)+100)/100</f>
        <v>0.01</v>
      </c>
      <c r="H176" s="965"/>
      <c r="I176" s="53">
        <f>(SUMIF($7:$7,H176,$8:$8)-SUMIF($7:$7,$H$24,$8:$8)+100)/100</f>
        <v>0.04</v>
      </c>
      <c r="J176" s="965"/>
      <c r="K176" s="53">
        <f>(SUMIF($9:$9,J176,$10:$10)-SUMIF($9:$9,$J$24,$10:$10)+100)/100</f>
        <v>0.04</v>
      </c>
      <c r="L176" s="965"/>
      <c r="M176" s="53">
        <f>(SUMIF($11:$11,L176,$12:$12)-SUMIF($11:$11,$L$24,$12:$12)+100)/100</f>
        <v>1</v>
      </c>
      <c r="N176" s="965"/>
      <c r="O176" s="53">
        <f>(SUMIF($13:$13,N176,$14:$14)-SUMIF($13:$13,$N$24,$14:$14)+100)/100</f>
        <v>1</v>
      </c>
      <c r="P176" s="965"/>
      <c r="Q176" s="53">
        <f>(SUMIF($15:$15,P176,$16:$16)-SUMIF($15:$15,$P$24,$16:$16)+100)/100</f>
        <v>1</v>
      </c>
      <c r="R176" s="965"/>
      <c r="S176" s="53">
        <f>(SUMIF($17:$17,R176,$18:$18)-SUMIF($17:$17,$R$24,$18:$18)+100)/100</f>
        <v>1</v>
      </c>
      <c r="T176" s="493">
        <f>IF(D176="",0,ROUND($T$24*E176*G176*I176*K176*M176*O176*Q176*S176,0))</f>
        <v>0</v>
      </c>
      <c r="U176" s="802">
        <f t="shared" si="14"/>
        <v>0</v>
      </c>
    </row>
    <row r="177" spans="3:21">
      <c r="C177" s="967"/>
      <c r="D177" s="137"/>
      <c r="E177" s="53">
        <f>IF(D177="",1,(LOOKUP(D177,$3:$3,$4:$4)-LOOKUP($D$24,$3:$3,$4:$4)+100)/100)</f>
        <v>1</v>
      </c>
      <c r="F177" s="965"/>
      <c r="G177" s="53">
        <f>(SUMIF($5:$5,F177,$6:$6)-SUMIF($5:$5,$F$24,$6:$6)+100)/100</f>
        <v>0.01</v>
      </c>
      <c r="H177" s="965"/>
      <c r="I177" s="53">
        <f>(SUMIF($7:$7,H177,$8:$8)-SUMIF($7:$7,$H$24,$8:$8)+100)/100</f>
        <v>0.04</v>
      </c>
      <c r="J177" s="965"/>
      <c r="K177" s="53">
        <f>(SUMIF($9:$9,J177,$10:$10)-SUMIF($9:$9,$J$24,$10:$10)+100)/100</f>
        <v>0.04</v>
      </c>
      <c r="L177" s="965"/>
      <c r="M177" s="53">
        <f>(SUMIF($11:$11,L177,$12:$12)-SUMIF($11:$11,$L$24,$12:$12)+100)/100</f>
        <v>1</v>
      </c>
      <c r="N177" s="965"/>
      <c r="O177" s="53">
        <f>(SUMIF($13:$13,N177,$14:$14)-SUMIF($13:$13,$N$24,$14:$14)+100)/100</f>
        <v>1</v>
      </c>
      <c r="P177" s="965"/>
      <c r="Q177" s="53">
        <f>(SUMIF($15:$15,P177,$16:$16)-SUMIF($15:$15,$P$24,$16:$16)+100)/100</f>
        <v>1</v>
      </c>
      <c r="R177" s="965"/>
      <c r="S177" s="53">
        <f>(SUMIF($17:$17,R177,$18:$18)-SUMIF($17:$17,$R$24,$18:$18)+100)/100</f>
        <v>1</v>
      </c>
      <c r="T177" s="493">
        <f>IF(D177="",0,ROUND($T$24*E177*G177*I177*K177*M177*O177*Q177*S177,0))</f>
        <v>0</v>
      </c>
      <c r="U177" s="802">
        <f t="shared" si="14"/>
        <v>0</v>
      </c>
    </row>
    <row r="178" spans="3:21">
      <c r="C178" s="967"/>
      <c r="D178" s="137"/>
      <c r="E178" s="53">
        <f>IF(D178="",1,(LOOKUP(D178,$3:$3,$4:$4)-LOOKUP($D$24,$3:$3,$4:$4)+100)/100)</f>
        <v>1</v>
      </c>
      <c r="F178" s="965"/>
      <c r="G178" s="53">
        <f>(SUMIF($5:$5,F178,$6:$6)-SUMIF($5:$5,$F$24,$6:$6)+100)/100</f>
        <v>0.01</v>
      </c>
      <c r="H178" s="965"/>
      <c r="I178" s="53">
        <f>(SUMIF($7:$7,H178,$8:$8)-SUMIF($7:$7,$H$24,$8:$8)+100)/100</f>
        <v>0.04</v>
      </c>
      <c r="J178" s="965"/>
      <c r="K178" s="53">
        <f>(SUMIF($9:$9,J178,$10:$10)-SUMIF($9:$9,$J$24,$10:$10)+100)/100</f>
        <v>0.04</v>
      </c>
      <c r="L178" s="965"/>
      <c r="M178" s="53">
        <f>(SUMIF($11:$11,L178,$12:$12)-SUMIF($11:$11,$L$24,$12:$12)+100)/100</f>
        <v>1</v>
      </c>
      <c r="N178" s="965"/>
      <c r="O178" s="53">
        <f>(SUMIF($13:$13,N178,$14:$14)-SUMIF($13:$13,$N$24,$14:$14)+100)/100</f>
        <v>1</v>
      </c>
      <c r="P178" s="965"/>
      <c r="Q178" s="53">
        <f>(SUMIF($15:$15,P178,$16:$16)-SUMIF($15:$15,$P$24,$16:$16)+100)/100</f>
        <v>1</v>
      </c>
      <c r="R178" s="965"/>
      <c r="S178" s="53">
        <f>(SUMIF($17:$17,R178,$18:$18)-SUMIF($17:$17,$R$24,$18:$18)+100)/100</f>
        <v>1</v>
      </c>
      <c r="T178" s="493">
        <f>IF(D178="",0,ROUND($T$24*E178*G178*I178*K178*M178*O178*Q178*S178,0))</f>
        <v>0</v>
      </c>
      <c r="U178" s="802">
        <f t="shared" si="14"/>
        <v>0</v>
      </c>
    </row>
    <row r="179" spans="3:21">
      <c r="C179" s="967"/>
      <c r="D179" s="137"/>
      <c r="E179" s="53">
        <f>IF(D179="",1,(LOOKUP(D179,$3:$3,$4:$4)-LOOKUP($D$24,$3:$3,$4:$4)+100)/100)</f>
        <v>1</v>
      </c>
      <c r="F179" s="965"/>
      <c r="G179" s="53">
        <f>(SUMIF($5:$5,F179,$6:$6)-SUMIF($5:$5,$F$24,$6:$6)+100)/100</f>
        <v>0.01</v>
      </c>
      <c r="H179" s="965"/>
      <c r="I179" s="53">
        <f>(SUMIF($7:$7,H179,$8:$8)-SUMIF($7:$7,$H$24,$8:$8)+100)/100</f>
        <v>0.04</v>
      </c>
      <c r="J179" s="965"/>
      <c r="K179" s="53">
        <f>(SUMIF($9:$9,J179,$10:$10)-SUMIF($9:$9,$J$24,$10:$10)+100)/100</f>
        <v>0.04</v>
      </c>
      <c r="L179" s="965"/>
      <c r="M179" s="53">
        <f>(SUMIF($11:$11,L179,$12:$12)-SUMIF($11:$11,$L$24,$12:$12)+100)/100</f>
        <v>1</v>
      </c>
      <c r="N179" s="965"/>
      <c r="O179" s="53">
        <f>(SUMIF($13:$13,N179,$14:$14)-SUMIF($13:$13,$N$24,$14:$14)+100)/100</f>
        <v>1</v>
      </c>
      <c r="P179" s="965"/>
      <c r="Q179" s="53">
        <f>(SUMIF($15:$15,P179,$16:$16)-SUMIF($15:$15,$P$24,$16:$16)+100)/100</f>
        <v>1</v>
      </c>
      <c r="R179" s="965"/>
      <c r="S179" s="53">
        <f>(SUMIF($17:$17,R179,$18:$18)-SUMIF($17:$17,$R$24,$18:$18)+100)/100</f>
        <v>1</v>
      </c>
      <c r="T179" s="493">
        <f>IF(D179="",0,ROUND($T$24*E179*G179*I179*K179*M179*O179*Q179*S179,0))</f>
        <v>0</v>
      </c>
      <c r="U179" s="802">
        <f t="shared" si="14"/>
        <v>0</v>
      </c>
    </row>
    <row r="180" spans="3:21">
      <c r="C180" s="967"/>
      <c r="D180" s="137"/>
      <c r="E180" s="53">
        <f>IF(D180="",1,(LOOKUP(D180,$3:$3,$4:$4)-LOOKUP($D$24,$3:$3,$4:$4)+100)/100)</f>
        <v>1</v>
      </c>
      <c r="F180" s="965"/>
      <c r="G180" s="53">
        <f>(SUMIF($5:$5,F180,$6:$6)-SUMIF($5:$5,$F$24,$6:$6)+100)/100</f>
        <v>0.01</v>
      </c>
      <c r="H180" s="965"/>
      <c r="I180" s="53">
        <f>(SUMIF($7:$7,H180,$8:$8)-SUMIF($7:$7,$H$24,$8:$8)+100)/100</f>
        <v>0.04</v>
      </c>
      <c r="J180" s="965"/>
      <c r="K180" s="53">
        <f>(SUMIF($9:$9,J180,$10:$10)-SUMIF($9:$9,$J$24,$10:$10)+100)/100</f>
        <v>0.04</v>
      </c>
      <c r="L180" s="965"/>
      <c r="M180" s="53">
        <f>(SUMIF($11:$11,L180,$12:$12)-SUMIF($11:$11,$L$24,$12:$12)+100)/100</f>
        <v>1</v>
      </c>
      <c r="N180" s="965"/>
      <c r="O180" s="53">
        <f>(SUMIF($13:$13,N180,$14:$14)-SUMIF($13:$13,$N$24,$14:$14)+100)/100</f>
        <v>1</v>
      </c>
      <c r="P180" s="965"/>
      <c r="Q180" s="53">
        <f>(SUMIF($15:$15,P180,$16:$16)-SUMIF($15:$15,$P$24,$16:$16)+100)/100</f>
        <v>1</v>
      </c>
      <c r="R180" s="965"/>
      <c r="S180" s="53">
        <f>(SUMIF($17:$17,R180,$18:$18)-SUMIF($17:$17,$R$24,$18:$18)+100)/100</f>
        <v>1</v>
      </c>
      <c r="T180" s="493">
        <f>IF(D180="",0,ROUND($T$24*E180*G180*I180*K180*M180*O180*Q180*S180,0))</f>
        <v>0</v>
      </c>
      <c r="U180" s="802">
        <f t="shared" si="14"/>
        <v>0</v>
      </c>
    </row>
    <row r="181" spans="3:21">
      <c r="C181" s="967"/>
      <c r="D181" s="137"/>
      <c r="E181" s="53">
        <f>IF(D181="",1,(LOOKUP(D181,$3:$3,$4:$4)-LOOKUP($D$24,$3:$3,$4:$4)+100)/100)</f>
        <v>1</v>
      </c>
      <c r="F181" s="965"/>
      <c r="G181" s="53">
        <f>(SUMIF($5:$5,F181,$6:$6)-SUMIF($5:$5,$F$24,$6:$6)+100)/100</f>
        <v>0.01</v>
      </c>
      <c r="H181" s="965"/>
      <c r="I181" s="53">
        <f>(SUMIF($7:$7,H181,$8:$8)-SUMIF($7:$7,$H$24,$8:$8)+100)/100</f>
        <v>0.04</v>
      </c>
      <c r="J181" s="965"/>
      <c r="K181" s="53">
        <f>(SUMIF($9:$9,J181,$10:$10)-SUMIF($9:$9,$J$24,$10:$10)+100)/100</f>
        <v>0.04</v>
      </c>
      <c r="L181" s="965"/>
      <c r="M181" s="53">
        <f>(SUMIF($11:$11,L181,$12:$12)-SUMIF($11:$11,$L$24,$12:$12)+100)/100</f>
        <v>1</v>
      </c>
      <c r="N181" s="965"/>
      <c r="O181" s="53">
        <f>(SUMIF($13:$13,N181,$14:$14)-SUMIF($13:$13,$N$24,$14:$14)+100)/100</f>
        <v>1</v>
      </c>
      <c r="P181" s="965"/>
      <c r="Q181" s="53">
        <f>(SUMIF($15:$15,P181,$16:$16)-SUMIF($15:$15,$P$24,$16:$16)+100)/100</f>
        <v>1</v>
      </c>
      <c r="R181" s="965"/>
      <c r="S181" s="53">
        <f>(SUMIF($17:$17,R181,$18:$18)-SUMIF($17:$17,$R$24,$18:$18)+100)/100</f>
        <v>1</v>
      </c>
      <c r="T181" s="493">
        <f>IF(D181="",0,ROUND($T$24*E181*G181*I181*K181*M181*O181*Q181*S181,0))</f>
        <v>0</v>
      </c>
      <c r="U181" s="802">
        <f t="shared" si="14"/>
        <v>0</v>
      </c>
    </row>
    <row r="182" spans="3:21">
      <c r="C182" s="967"/>
      <c r="D182" s="137"/>
      <c r="E182" s="53">
        <f>IF(D182="",1,(LOOKUP(D182,$3:$3,$4:$4)-LOOKUP($D$24,$3:$3,$4:$4)+100)/100)</f>
        <v>1</v>
      </c>
      <c r="F182" s="965"/>
      <c r="G182" s="53">
        <f>(SUMIF($5:$5,F182,$6:$6)-SUMIF($5:$5,$F$24,$6:$6)+100)/100</f>
        <v>0.01</v>
      </c>
      <c r="H182" s="965"/>
      <c r="I182" s="53">
        <f>(SUMIF($7:$7,H182,$8:$8)-SUMIF($7:$7,$H$24,$8:$8)+100)/100</f>
        <v>0.04</v>
      </c>
      <c r="J182" s="965"/>
      <c r="K182" s="53">
        <f>(SUMIF($9:$9,J182,$10:$10)-SUMIF($9:$9,$J$24,$10:$10)+100)/100</f>
        <v>0.04</v>
      </c>
      <c r="L182" s="965"/>
      <c r="M182" s="53">
        <f>(SUMIF($11:$11,L182,$12:$12)-SUMIF($11:$11,$L$24,$12:$12)+100)/100</f>
        <v>1</v>
      </c>
      <c r="N182" s="965"/>
      <c r="O182" s="53">
        <f>(SUMIF($13:$13,N182,$14:$14)-SUMIF($13:$13,$N$24,$14:$14)+100)/100</f>
        <v>1</v>
      </c>
      <c r="P182" s="965"/>
      <c r="Q182" s="53">
        <f>(SUMIF($15:$15,P182,$16:$16)-SUMIF($15:$15,$P$24,$16:$16)+100)/100</f>
        <v>1</v>
      </c>
      <c r="R182" s="965"/>
      <c r="S182" s="53">
        <f>(SUMIF($17:$17,R182,$18:$18)-SUMIF($17:$17,$R$24,$18:$18)+100)/100</f>
        <v>1</v>
      </c>
      <c r="T182" s="493">
        <f>IF(D182="",0,ROUND($T$24*E182*G182*I182*K182*M182*O182*Q182*S182,0))</f>
        <v>0</v>
      </c>
      <c r="U182" s="802">
        <f t="shared" si="14"/>
        <v>0</v>
      </c>
    </row>
    <row r="183" spans="3:21">
      <c r="C183" s="967"/>
      <c r="D183" s="137"/>
      <c r="E183" s="53">
        <f>IF(D183="",1,(LOOKUP(D183,$3:$3,$4:$4)-LOOKUP($D$24,$3:$3,$4:$4)+100)/100)</f>
        <v>1</v>
      </c>
      <c r="F183" s="965"/>
      <c r="G183" s="53">
        <f>(SUMIF($5:$5,F183,$6:$6)-SUMIF($5:$5,$F$24,$6:$6)+100)/100</f>
        <v>0.01</v>
      </c>
      <c r="H183" s="965"/>
      <c r="I183" s="53">
        <f>(SUMIF($7:$7,H183,$8:$8)-SUMIF($7:$7,$H$24,$8:$8)+100)/100</f>
        <v>0.04</v>
      </c>
      <c r="J183" s="965"/>
      <c r="K183" s="53">
        <f>(SUMIF($9:$9,J183,$10:$10)-SUMIF($9:$9,$J$24,$10:$10)+100)/100</f>
        <v>0.04</v>
      </c>
      <c r="L183" s="965"/>
      <c r="M183" s="53">
        <f>(SUMIF($11:$11,L183,$12:$12)-SUMIF($11:$11,$L$24,$12:$12)+100)/100</f>
        <v>1</v>
      </c>
      <c r="N183" s="965"/>
      <c r="O183" s="53">
        <f>(SUMIF($13:$13,N183,$14:$14)-SUMIF($13:$13,$N$24,$14:$14)+100)/100</f>
        <v>1</v>
      </c>
      <c r="P183" s="965"/>
      <c r="Q183" s="53">
        <f>(SUMIF($15:$15,P183,$16:$16)-SUMIF($15:$15,$P$24,$16:$16)+100)/100</f>
        <v>1</v>
      </c>
      <c r="R183" s="965"/>
      <c r="S183" s="53">
        <f>(SUMIF($17:$17,R183,$18:$18)-SUMIF($17:$17,$R$24,$18:$18)+100)/100</f>
        <v>1</v>
      </c>
      <c r="T183" s="493">
        <f>IF(D183="",0,ROUND($T$24*E183*G183*I183*K183*M183*O183*Q183*S183,0))</f>
        <v>0</v>
      </c>
      <c r="U183" s="802">
        <f t="shared" si="14"/>
        <v>0</v>
      </c>
    </row>
    <row r="184" spans="3:21">
      <c r="C184" s="967"/>
      <c r="D184" s="137"/>
      <c r="E184" s="53">
        <f>IF(D184="",1,(LOOKUP(D184,$3:$3,$4:$4)-LOOKUP($D$24,$3:$3,$4:$4)+100)/100)</f>
        <v>1</v>
      </c>
      <c r="F184" s="965"/>
      <c r="G184" s="53">
        <f>(SUMIF($5:$5,F184,$6:$6)-SUMIF($5:$5,$F$24,$6:$6)+100)/100</f>
        <v>0.01</v>
      </c>
      <c r="H184" s="965"/>
      <c r="I184" s="53">
        <f>(SUMIF($7:$7,H184,$8:$8)-SUMIF($7:$7,$H$24,$8:$8)+100)/100</f>
        <v>0.04</v>
      </c>
      <c r="J184" s="965"/>
      <c r="K184" s="53">
        <f>(SUMIF($9:$9,J184,$10:$10)-SUMIF($9:$9,$J$24,$10:$10)+100)/100</f>
        <v>0.04</v>
      </c>
      <c r="L184" s="965"/>
      <c r="M184" s="53">
        <f>(SUMIF($11:$11,L184,$12:$12)-SUMIF($11:$11,$L$24,$12:$12)+100)/100</f>
        <v>1</v>
      </c>
      <c r="N184" s="965"/>
      <c r="O184" s="53">
        <f>(SUMIF($13:$13,N184,$14:$14)-SUMIF($13:$13,$N$24,$14:$14)+100)/100</f>
        <v>1</v>
      </c>
      <c r="P184" s="965"/>
      <c r="Q184" s="53">
        <f>(SUMIF($15:$15,P184,$16:$16)-SUMIF($15:$15,$P$24,$16:$16)+100)/100</f>
        <v>1</v>
      </c>
      <c r="R184" s="965"/>
      <c r="S184" s="53">
        <f>(SUMIF($17:$17,R184,$18:$18)-SUMIF($17:$17,$R$24,$18:$18)+100)/100</f>
        <v>1</v>
      </c>
      <c r="T184" s="493">
        <f>IF(D184="",0,ROUND($T$24*E184*G184*I184*K184*M184*O184*Q184*S184,0))</f>
        <v>0</v>
      </c>
      <c r="U184" s="802">
        <f t="shared" si="14"/>
        <v>0</v>
      </c>
    </row>
    <row r="185" spans="3:21">
      <c r="C185" s="967"/>
      <c r="D185" s="137"/>
      <c r="E185" s="53">
        <f>IF(D185="",1,(LOOKUP(D185,$3:$3,$4:$4)-LOOKUP($D$24,$3:$3,$4:$4)+100)/100)</f>
        <v>1</v>
      </c>
      <c r="F185" s="965"/>
      <c r="G185" s="53">
        <f>(SUMIF($5:$5,F185,$6:$6)-SUMIF($5:$5,$F$24,$6:$6)+100)/100</f>
        <v>0.01</v>
      </c>
      <c r="H185" s="965"/>
      <c r="I185" s="53">
        <f>(SUMIF($7:$7,H185,$8:$8)-SUMIF($7:$7,$H$24,$8:$8)+100)/100</f>
        <v>0.04</v>
      </c>
      <c r="J185" s="965"/>
      <c r="K185" s="53">
        <f>(SUMIF($9:$9,J185,$10:$10)-SUMIF($9:$9,$J$24,$10:$10)+100)/100</f>
        <v>0.04</v>
      </c>
      <c r="L185" s="965"/>
      <c r="M185" s="53">
        <f>(SUMIF($11:$11,L185,$12:$12)-SUMIF($11:$11,$L$24,$12:$12)+100)/100</f>
        <v>1</v>
      </c>
      <c r="N185" s="965"/>
      <c r="O185" s="53">
        <f>(SUMIF($13:$13,N185,$14:$14)-SUMIF($13:$13,$N$24,$14:$14)+100)/100</f>
        <v>1</v>
      </c>
      <c r="P185" s="965"/>
      <c r="Q185" s="53">
        <f>(SUMIF($15:$15,P185,$16:$16)-SUMIF($15:$15,$P$24,$16:$16)+100)/100</f>
        <v>1</v>
      </c>
      <c r="R185" s="965"/>
      <c r="S185" s="53">
        <f>(SUMIF($17:$17,R185,$18:$18)-SUMIF($17:$17,$R$24,$18:$18)+100)/100</f>
        <v>1</v>
      </c>
      <c r="T185" s="493">
        <f>IF(D185="",0,ROUND($T$24*E185*G185*I185*K185*M185*O185*Q185*S185,0))</f>
        <v>0</v>
      </c>
      <c r="U185" s="802">
        <f t="shared" si="14"/>
        <v>0</v>
      </c>
    </row>
    <row r="186" spans="3:21">
      <c r="C186" s="967"/>
      <c r="D186" s="137"/>
      <c r="E186" s="53">
        <f>IF(D186="",1,(LOOKUP(D186,$3:$3,$4:$4)-LOOKUP($D$24,$3:$3,$4:$4)+100)/100)</f>
        <v>1</v>
      </c>
      <c r="F186" s="965"/>
      <c r="G186" s="53">
        <f>(SUMIF($5:$5,F186,$6:$6)-SUMIF($5:$5,$F$24,$6:$6)+100)/100</f>
        <v>0.01</v>
      </c>
      <c r="H186" s="965"/>
      <c r="I186" s="53">
        <f>(SUMIF($7:$7,H186,$8:$8)-SUMIF($7:$7,$H$24,$8:$8)+100)/100</f>
        <v>0.04</v>
      </c>
      <c r="J186" s="965"/>
      <c r="K186" s="53">
        <f>(SUMIF($9:$9,J186,$10:$10)-SUMIF($9:$9,$J$24,$10:$10)+100)/100</f>
        <v>0.04</v>
      </c>
      <c r="L186" s="965"/>
      <c r="M186" s="53">
        <f>(SUMIF($11:$11,L186,$12:$12)-SUMIF($11:$11,$L$24,$12:$12)+100)/100</f>
        <v>1</v>
      </c>
      <c r="N186" s="965"/>
      <c r="O186" s="53">
        <f>(SUMIF($13:$13,N186,$14:$14)-SUMIF($13:$13,$N$24,$14:$14)+100)/100</f>
        <v>1</v>
      </c>
      <c r="P186" s="965"/>
      <c r="Q186" s="53">
        <f>(SUMIF($15:$15,P186,$16:$16)-SUMIF($15:$15,$P$24,$16:$16)+100)/100</f>
        <v>1</v>
      </c>
      <c r="R186" s="965"/>
      <c r="S186" s="53">
        <f>(SUMIF($17:$17,R186,$18:$18)-SUMIF($17:$17,$R$24,$18:$18)+100)/100</f>
        <v>1</v>
      </c>
      <c r="T186" s="493">
        <f>IF(D186="",0,ROUND($T$24*E186*G186*I186*K186*M186*O186*Q186*S186,0))</f>
        <v>0</v>
      </c>
      <c r="U186" s="802">
        <f t="shared" si="14"/>
        <v>0</v>
      </c>
    </row>
    <row r="187" spans="3:21">
      <c r="C187" s="967"/>
      <c r="D187" s="137"/>
      <c r="E187" s="53">
        <f>IF(D187="",1,(LOOKUP(D187,$3:$3,$4:$4)-LOOKUP($D$24,$3:$3,$4:$4)+100)/100)</f>
        <v>1</v>
      </c>
      <c r="F187" s="965"/>
      <c r="G187" s="53">
        <f>(SUMIF($5:$5,F187,$6:$6)-SUMIF($5:$5,$F$24,$6:$6)+100)/100</f>
        <v>0.01</v>
      </c>
      <c r="H187" s="965"/>
      <c r="I187" s="53">
        <f>(SUMIF($7:$7,H187,$8:$8)-SUMIF($7:$7,$H$24,$8:$8)+100)/100</f>
        <v>0.04</v>
      </c>
      <c r="J187" s="965"/>
      <c r="K187" s="53">
        <f>(SUMIF($9:$9,J187,$10:$10)-SUMIF($9:$9,$J$24,$10:$10)+100)/100</f>
        <v>0.04</v>
      </c>
      <c r="L187" s="965"/>
      <c r="M187" s="53">
        <f>(SUMIF($11:$11,L187,$12:$12)-SUMIF($11:$11,$L$24,$12:$12)+100)/100</f>
        <v>1</v>
      </c>
      <c r="N187" s="965"/>
      <c r="O187" s="53">
        <f>(SUMIF($13:$13,N187,$14:$14)-SUMIF($13:$13,$N$24,$14:$14)+100)/100</f>
        <v>1</v>
      </c>
      <c r="P187" s="965"/>
      <c r="Q187" s="53">
        <f>(SUMIF($15:$15,P187,$16:$16)-SUMIF($15:$15,$P$24,$16:$16)+100)/100</f>
        <v>1</v>
      </c>
      <c r="R187" s="965"/>
      <c r="S187" s="53">
        <f>(SUMIF($17:$17,R187,$18:$18)-SUMIF($17:$17,$R$24,$18:$18)+100)/100</f>
        <v>1</v>
      </c>
      <c r="T187" s="493">
        <f>IF(D187="",0,ROUND($T$24*E187*G187*I187*K187*M187*O187*Q187*S187,0))</f>
        <v>0</v>
      </c>
      <c r="U187" s="802">
        <f t="shared" ref="U187:U222" si="15">ROUND(T187*D187/10000,0)</f>
        <v>0</v>
      </c>
    </row>
    <row r="188" spans="3:21">
      <c r="C188" s="967"/>
      <c r="D188" s="137"/>
      <c r="E188" s="53">
        <f>IF(D188="",1,(LOOKUP(D188,$3:$3,$4:$4)-LOOKUP($D$24,$3:$3,$4:$4)+100)/100)</f>
        <v>1</v>
      </c>
      <c r="F188" s="965"/>
      <c r="G188" s="53">
        <f>(SUMIF($5:$5,F188,$6:$6)-SUMIF($5:$5,$F$24,$6:$6)+100)/100</f>
        <v>0.01</v>
      </c>
      <c r="H188" s="965"/>
      <c r="I188" s="53">
        <f>(SUMIF($7:$7,H188,$8:$8)-SUMIF($7:$7,$H$24,$8:$8)+100)/100</f>
        <v>0.04</v>
      </c>
      <c r="J188" s="965"/>
      <c r="K188" s="53">
        <f>(SUMIF($9:$9,J188,$10:$10)-SUMIF($9:$9,$J$24,$10:$10)+100)/100</f>
        <v>0.04</v>
      </c>
      <c r="L188" s="965"/>
      <c r="M188" s="53">
        <f>(SUMIF($11:$11,L188,$12:$12)-SUMIF($11:$11,$L$24,$12:$12)+100)/100</f>
        <v>1</v>
      </c>
      <c r="N188" s="965"/>
      <c r="O188" s="53">
        <f>(SUMIF($13:$13,N188,$14:$14)-SUMIF($13:$13,$N$24,$14:$14)+100)/100</f>
        <v>1</v>
      </c>
      <c r="P188" s="965"/>
      <c r="Q188" s="53">
        <f>(SUMIF($15:$15,P188,$16:$16)-SUMIF($15:$15,$P$24,$16:$16)+100)/100</f>
        <v>1</v>
      </c>
      <c r="R188" s="965"/>
      <c r="S188" s="53">
        <f>(SUMIF($17:$17,R188,$18:$18)-SUMIF($17:$17,$R$24,$18:$18)+100)/100</f>
        <v>1</v>
      </c>
      <c r="T188" s="493">
        <f>IF(D188="",0,ROUND($T$24*E188*G188*I188*K188*M188*O188*Q188*S188,0))</f>
        <v>0</v>
      </c>
      <c r="U188" s="802">
        <f t="shared" si="15"/>
        <v>0</v>
      </c>
    </row>
    <row r="189" spans="3:21">
      <c r="C189" s="967"/>
      <c r="D189" s="137"/>
      <c r="E189" s="53">
        <f>IF(D189="",1,(LOOKUP(D189,$3:$3,$4:$4)-LOOKUP($D$24,$3:$3,$4:$4)+100)/100)</f>
        <v>1</v>
      </c>
      <c r="F189" s="965"/>
      <c r="G189" s="53">
        <f>(SUMIF($5:$5,F189,$6:$6)-SUMIF($5:$5,$F$24,$6:$6)+100)/100</f>
        <v>0.01</v>
      </c>
      <c r="H189" s="965"/>
      <c r="I189" s="53">
        <f>(SUMIF($7:$7,H189,$8:$8)-SUMIF($7:$7,$H$24,$8:$8)+100)/100</f>
        <v>0.04</v>
      </c>
      <c r="J189" s="965"/>
      <c r="K189" s="53">
        <f>(SUMIF($9:$9,J189,$10:$10)-SUMIF($9:$9,$J$24,$10:$10)+100)/100</f>
        <v>0.04</v>
      </c>
      <c r="L189" s="965"/>
      <c r="M189" s="53">
        <f>(SUMIF($11:$11,L189,$12:$12)-SUMIF($11:$11,$L$24,$12:$12)+100)/100</f>
        <v>1</v>
      </c>
      <c r="N189" s="965"/>
      <c r="O189" s="53">
        <f>(SUMIF($13:$13,N189,$14:$14)-SUMIF($13:$13,$N$24,$14:$14)+100)/100</f>
        <v>1</v>
      </c>
      <c r="P189" s="965"/>
      <c r="Q189" s="53">
        <f>(SUMIF($15:$15,P189,$16:$16)-SUMIF($15:$15,$P$24,$16:$16)+100)/100</f>
        <v>1</v>
      </c>
      <c r="R189" s="965"/>
      <c r="S189" s="53">
        <f>(SUMIF($17:$17,R189,$18:$18)-SUMIF($17:$17,$R$24,$18:$18)+100)/100</f>
        <v>1</v>
      </c>
      <c r="T189" s="493">
        <f>IF(D189="",0,ROUND($T$24*E189*G189*I189*K189*M189*O189*Q189*S189,0))</f>
        <v>0</v>
      </c>
      <c r="U189" s="802">
        <f t="shared" si="15"/>
        <v>0</v>
      </c>
    </row>
    <row r="190" spans="3:21">
      <c r="C190" s="967"/>
      <c r="D190" s="137"/>
      <c r="E190" s="53">
        <f>IF(D190="",1,(LOOKUP(D190,$3:$3,$4:$4)-LOOKUP($D$24,$3:$3,$4:$4)+100)/100)</f>
        <v>1</v>
      </c>
      <c r="F190" s="965"/>
      <c r="G190" s="53">
        <f>(SUMIF($5:$5,F190,$6:$6)-SUMIF($5:$5,$F$24,$6:$6)+100)/100</f>
        <v>0.01</v>
      </c>
      <c r="H190" s="965"/>
      <c r="I190" s="53">
        <f>(SUMIF($7:$7,H190,$8:$8)-SUMIF($7:$7,$H$24,$8:$8)+100)/100</f>
        <v>0.04</v>
      </c>
      <c r="J190" s="965"/>
      <c r="K190" s="53">
        <f>(SUMIF($9:$9,J190,$10:$10)-SUMIF($9:$9,$J$24,$10:$10)+100)/100</f>
        <v>0.04</v>
      </c>
      <c r="L190" s="965"/>
      <c r="M190" s="53">
        <f>(SUMIF($11:$11,L190,$12:$12)-SUMIF($11:$11,$L$24,$12:$12)+100)/100</f>
        <v>1</v>
      </c>
      <c r="N190" s="965"/>
      <c r="O190" s="53">
        <f>(SUMIF($13:$13,N190,$14:$14)-SUMIF($13:$13,$N$24,$14:$14)+100)/100</f>
        <v>1</v>
      </c>
      <c r="P190" s="965"/>
      <c r="Q190" s="53">
        <f>(SUMIF($15:$15,P190,$16:$16)-SUMIF($15:$15,$P$24,$16:$16)+100)/100</f>
        <v>1</v>
      </c>
      <c r="R190" s="965"/>
      <c r="S190" s="53">
        <f>(SUMIF($17:$17,R190,$18:$18)-SUMIF($17:$17,$R$24,$18:$18)+100)/100</f>
        <v>1</v>
      </c>
      <c r="T190" s="493">
        <f>IF(D190="",0,ROUND($T$24*E190*G190*I190*K190*M190*O190*Q190*S190,0))</f>
        <v>0</v>
      </c>
      <c r="U190" s="802">
        <f t="shared" si="15"/>
        <v>0</v>
      </c>
    </row>
    <row r="191" spans="3:21">
      <c r="C191" s="967"/>
      <c r="D191" s="137"/>
      <c r="E191" s="53">
        <f>IF(D191="",1,(LOOKUP(D191,$3:$3,$4:$4)-LOOKUP($D$24,$3:$3,$4:$4)+100)/100)</f>
        <v>1</v>
      </c>
      <c r="F191" s="965"/>
      <c r="G191" s="53">
        <f>(SUMIF($5:$5,F191,$6:$6)-SUMIF($5:$5,$F$24,$6:$6)+100)/100</f>
        <v>0.01</v>
      </c>
      <c r="H191" s="965"/>
      <c r="I191" s="53">
        <f>(SUMIF($7:$7,H191,$8:$8)-SUMIF($7:$7,$H$24,$8:$8)+100)/100</f>
        <v>0.04</v>
      </c>
      <c r="J191" s="965"/>
      <c r="K191" s="53">
        <f>(SUMIF($9:$9,J191,$10:$10)-SUMIF($9:$9,$J$24,$10:$10)+100)/100</f>
        <v>0.04</v>
      </c>
      <c r="L191" s="965"/>
      <c r="M191" s="53">
        <f>(SUMIF($11:$11,L191,$12:$12)-SUMIF($11:$11,$L$24,$12:$12)+100)/100</f>
        <v>1</v>
      </c>
      <c r="N191" s="965"/>
      <c r="O191" s="53">
        <f>(SUMIF($13:$13,N191,$14:$14)-SUMIF($13:$13,$N$24,$14:$14)+100)/100</f>
        <v>1</v>
      </c>
      <c r="P191" s="965"/>
      <c r="Q191" s="53">
        <f>(SUMIF($15:$15,P191,$16:$16)-SUMIF($15:$15,$P$24,$16:$16)+100)/100</f>
        <v>1</v>
      </c>
      <c r="R191" s="965"/>
      <c r="S191" s="53">
        <f>(SUMIF($17:$17,R191,$18:$18)-SUMIF($17:$17,$R$24,$18:$18)+100)/100</f>
        <v>1</v>
      </c>
      <c r="T191" s="493">
        <f>IF(D191="",0,ROUND($T$24*E191*G191*I191*K191*M191*O191*Q191*S191,0))</f>
        <v>0</v>
      </c>
      <c r="U191" s="802">
        <f t="shared" si="15"/>
        <v>0</v>
      </c>
    </row>
    <row r="192" spans="3:21">
      <c r="C192" s="967"/>
      <c r="D192" s="137"/>
      <c r="E192" s="53">
        <f>IF(D192="",1,(LOOKUP(D192,$3:$3,$4:$4)-LOOKUP($D$24,$3:$3,$4:$4)+100)/100)</f>
        <v>1</v>
      </c>
      <c r="F192" s="965"/>
      <c r="G192" s="53">
        <f>(SUMIF($5:$5,F192,$6:$6)-SUMIF($5:$5,$F$24,$6:$6)+100)/100</f>
        <v>0.01</v>
      </c>
      <c r="H192" s="965"/>
      <c r="I192" s="53">
        <f>(SUMIF($7:$7,H192,$8:$8)-SUMIF($7:$7,$H$24,$8:$8)+100)/100</f>
        <v>0.04</v>
      </c>
      <c r="J192" s="965"/>
      <c r="K192" s="53">
        <f>(SUMIF($9:$9,J192,$10:$10)-SUMIF($9:$9,$J$24,$10:$10)+100)/100</f>
        <v>0.04</v>
      </c>
      <c r="L192" s="965"/>
      <c r="M192" s="53">
        <f>(SUMIF($11:$11,L192,$12:$12)-SUMIF($11:$11,$L$24,$12:$12)+100)/100</f>
        <v>1</v>
      </c>
      <c r="N192" s="965"/>
      <c r="O192" s="53">
        <f>(SUMIF($13:$13,N192,$14:$14)-SUMIF($13:$13,$N$24,$14:$14)+100)/100</f>
        <v>1</v>
      </c>
      <c r="P192" s="965"/>
      <c r="Q192" s="53">
        <f>(SUMIF($15:$15,P192,$16:$16)-SUMIF($15:$15,$P$24,$16:$16)+100)/100</f>
        <v>1</v>
      </c>
      <c r="R192" s="965"/>
      <c r="S192" s="53">
        <f>(SUMIF($17:$17,R192,$18:$18)-SUMIF($17:$17,$R$24,$18:$18)+100)/100</f>
        <v>1</v>
      </c>
      <c r="T192" s="493">
        <f>IF(D192="",0,ROUND($T$24*E192*G192*I192*K192*M192*O192*Q192*S192,0))</f>
        <v>0</v>
      </c>
      <c r="U192" s="802">
        <f t="shared" si="15"/>
        <v>0</v>
      </c>
    </row>
    <row r="193" spans="3:21">
      <c r="C193" s="967"/>
      <c r="D193" s="137"/>
      <c r="E193" s="53">
        <f>IF(D193="",1,(LOOKUP(D193,$3:$3,$4:$4)-LOOKUP($D$24,$3:$3,$4:$4)+100)/100)</f>
        <v>1</v>
      </c>
      <c r="F193" s="965"/>
      <c r="G193" s="53">
        <f>(SUMIF($5:$5,F193,$6:$6)-SUMIF($5:$5,$F$24,$6:$6)+100)/100</f>
        <v>0.01</v>
      </c>
      <c r="H193" s="965"/>
      <c r="I193" s="53">
        <f>(SUMIF($7:$7,H193,$8:$8)-SUMIF($7:$7,$H$24,$8:$8)+100)/100</f>
        <v>0.04</v>
      </c>
      <c r="J193" s="965"/>
      <c r="K193" s="53">
        <f>(SUMIF($9:$9,J193,$10:$10)-SUMIF($9:$9,$J$24,$10:$10)+100)/100</f>
        <v>0.04</v>
      </c>
      <c r="L193" s="965"/>
      <c r="M193" s="53">
        <f>(SUMIF($11:$11,L193,$12:$12)-SUMIF($11:$11,$L$24,$12:$12)+100)/100</f>
        <v>1</v>
      </c>
      <c r="N193" s="965"/>
      <c r="O193" s="53">
        <f>(SUMIF($13:$13,N193,$14:$14)-SUMIF($13:$13,$N$24,$14:$14)+100)/100</f>
        <v>1</v>
      </c>
      <c r="P193" s="965"/>
      <c r="Q193" s="53">
        <f>(SUMIF($15:$15,P193,$16:$16)-SUMIF($15:$15,$P$24,$16:$16)+100)/100</f>
        <v>1</v>
      </c>
      <c r="R193" s="965"/>
      <c r="S193" s="53">
        <f>(SUMIF($17:$17,R193,$18:$18)-SUMIF($17:$17,$R$24,$18:$18)+100)/100</f>
        <v>1</v>
      </c>
      <c r="T193" s="493">
        <f>IF(D193="",0,ROUND($T$24*E193*G193*I193*K193*M193*O193*Q193*S193,0))</f>
        <v>0</v>
      </c>
      <c r="U193" s="802">
        <f t="shared" si="15"/>
        <v>0</v>
      </c>
    </row>
    <row r="194" spans="3:21">
      <c r="C194" s="967"/>
      <c r="D194" s="137"/>
      <c r="E194" s="53">
        <f>IF(D194="",1,(LOOKUP(D194,$3:$3,$4:$4)-LOOKUP($D$24,$3:$3,$4:$4)+100)/100)</f>
        <v>1</v>
      </c>
      <c r="F194" s="965"/>
      <c r="G194" s="53">
        <f>(SUMIF($5:$5,F194,$6:$6)-SUMIF($5:$5,$F$24,$6:$6)+100)/100</f>
        <v>0.01</v>
      </c>
      <c r="H194" s="965"/>
      <c r="I194" s="53">
        <f>(SUMIF($7:$7,H194,$8:$8)-SUMIF($7:$7,$H$24,$8:$8)+100)/100</f>
        <v>0.04</v>
      </c>
      <c r="J194" s="965"/>
      <c r="K194" s="53">
        <f>(SUMIF($9:$9,J194,$10:$10)-SUMIF($9:$9,$J$24,$10:$10)+100)/100</f>
        <v>0.04</v>
      </c>
      <c r="L194" s="965"/>
      <c r="M194" s="53">
        <f>(SUMIF($11:$11,L194,$12:$12)-SUMIF($11:$11,$L$24,$12:$12)+100)/100</f>
        <v>1</v>
      </c>
      <c r="N194" s="965"/>
      <c r="O194" s="53">
        <f>(SUMIF($13:$13,N194,$14:$14)-SUMIF($13:$13,$N$24,$14:$14)+100)/100</f>
        <v>1</v>
      </c>
      <c r="P194" s="965"/>
      <c r="Q194" s="53">
        <f>(SUMIF($15:$15,P194,$16:$16)-SUMIF($15:$15,$P$24,$16:$16)+100)/100</f>
        <v>1</v>
      </c>
      <c r="R194" s="965"/>
      <c r="S194" s="53">
        <f>(SUMIF($17:$17,R194,$18:$18)-SUMIF($17:$17,$R$24,$18:$18)+100)/100</f>
        <v>1</v>
      </c>
      <c r="T194" s="493">
        <f>IF(D194="",0,ROUND($T$24*E194*G194*I194*K194*M194*O194*Q194*S194,0))</f>
        <v>0</v>
      </c>
      <c r="U194" s="802">
        <f t="shared" si="15"/>
        <v>0</v>
      </c>
    </row>
    <row r="195" spans="3:21">
      <c r="C195" s="967"/>
      <c r="D195" s="137"/>
      <c r="E195" s="53">
        <f>IF(D195="",1,(LOOKUP(D195,$3:$3,$4:$4)-LOOKUP($D$24,$3:$3,$4:$4)+100)/100)</f>
        <v>1</v>
      </c>
      <c r="F195" s="965"/>
      <c r="G195" s="53">
        <f>(SUMIF($5:$5,F195,$6:$6)-SUMIF($5:$5,$F$24,$6:$6)+100)/100</f>
        <v>0.01</v>
      </c>
      <c r="H195" s="965"/>
      <c r="I195" s="53">
        <f>(SUMIF($7:$7,H195,$8:$8)-SUMIF($7:$7,$H$24,$8:$8)+100)/100</f>
        <v>0.04</v>
      </c>
      <c r="J195" s="965"/>
      <c r="K195" s="53">
        <f>(SUMIF($9:$9,J195,$10:$10)-SUMIF($9:$9,$J$24,$10:$10)+100)/100</f>
        <v>0.04</v>
      </c>
      <c r="L195" s="965"/>
      <c r="M195" s="53">
        <f>(SUMIF($11:$11,L195,$12:$12)-SUMIF($11:$11,$L$24,$12:$12)+100)/100</f>
        <v>1</v>
      </c>
      <c r="N195" s="965"/>
      <c r="O195" s="53">
        <f>(SUMIF($13:$13,N195,$14:$14)-SUMIF($13:$13,$N$24,$14:$14)+100)/100</f>
        <v>1</v>
      </c>
      <c r="P195" s="965"/>
      <c r="Q195" s="53">
        <f>(SUMIF($15:$15,P195,$16:$16)-SUMIF($15:$15,$P$24,$16:$16)+100)/100</f>
        <v>1</v>
      </c>
      <c r="R195" s="965"/>
      <c r="S195" s="53">
        <f>(SUMIF($17:$17,R195,$18:$18)-SUMIF($17:$17,$R$24,$18:$18)+100)/100</f>
        <v>1</v>
      </c>
      <c r="T195" s="493">
        <f>IF(D195="",0,ROUND($T$24*E195*G195*I195*K195*M195*O195*Q195*S195,0))</f>
        <v>0</v>
      </c>
      <c r="U195" s="802">
        <f t="shared" si="15"/>
        <v>0</v>
      </c>
    </row>
    <row r="196" spans="3:21">
      <c r="C196" s="967"/>
      <c r="D196" s="137"/>
      <c r="E196" s="53">
        <f>IF(D196="",1,(LOOKUP(D196,$3:$3,$4:$4)-LOOKUP($D$24,$3:$3,$4:$4)+100)/100)</f>
        <v>1</v>
      </c>
      <c r="F196" s="965"/>
      <c r="G196" s="53">
        <f>(SUMIF($5:$5,F196,$6:$6)-SUMIF($5:$5,$F$24,$6:$6)+100)/100</f>
        <v>0.01</v>
      </c>
      <c r="H196" s="965"/>
      <c r="I196" s="53">
        <f>(SUMIF($7:$7,H196,$8:$8)-SUMIF($7:$7,$H$24,$8:$8)+100)/100</f>
        <v>0.04</v>
      </c>
      <c r="J196" s="965"/>
      <c r="K196" s="53">
        <f>(SUMIF($9:$9,J196,$10:$10)-SUMIF($9:$9,$J$24,$10:$10)+100)/100</f>
        <v>0.04</v>
      </c>
      <c r="L196" s="965"/>
      <c r="M196" s="53">
        <f>(SUMIF($11:$11,L196,$12:$12)-SUMIF($11:$11,$L$24,$12:$12)+100)/100</f>
        <v>1</v>
      </c>
      <c r="N196" s="965"/>
      <c r="O196" s="53">
        <f>(SUMIF($13:$13,N196,$14:$14)-SUMIF($13:$13,$N$24,$14:$14)+100)/100</f>
        <v>1</v>
      </c>
      <c r="P196" s="965"/>
      <c r="Q196" s="53">
        <f>(SUMIF($15:$15,P196,$16:$16)-SUMIF($15:$15,$P$24,$16:$16)+100)/100</f>
        <v>1</v>
      </c>
      <c r="R196" s="965"/>
      <c r="S196" s="53">
        <f>(SUMIF($17:$17,R196,$18:$18)-SUMIF($17:$17,$R$24,$18:$18)+100)/100</f>
        <v>1</v>
      </c>
      <c r="T196" s="493">
        <f>IF(D196="",0,ROUND($T$24*E196*G196*I196*K196*M196*O196*Q196*S196,0))</f>
        <v>0</v>
      </c>
      <c r="U196" s="802">
        <f t="shared" si="15"/>
        <v>0</v>
      </c>
    </row>
    <row r="197" spans="3:21">
      <c r="C197" s="967"/>
      <c r="D197" s="137"/>
      <c r="E197" s="53">
        <f>IF(D197="",1,(LOOKUP(D197,$3:$3,$4:$4)-LOOKUP($D$24,$3:$3,$4:$4)+100)/100)</f>
        <v>1</v>
      </c>
      <c r="F197" s="965"/>
      <c r="G197" s="53">
        <f>(SUMIF($5:$5,F197,$6:$6)-SUMIF($5:$5,$F$24,$6:$6)+100)/100</f>
        <v>0.01</v>
      </c>
      <c r="H197" s="965"/>
      <c r="I197" s="53">
        <f>(SUMIF($7:$7,H197,$8:$8)-SUMIF($7:$7,$H$24,$8:$8)+100)/100</f>
        <v>0.04</v>
      </c>
      <c r="J197" s="965"/>
      <c r="K197" s="53">
        <f>(SUMIF($9:$9,J197,$10:$10)-SUMIF($9:$9,$J$24,$10:$10)+100)/100</f>
        <v>0.04</v>
      </c>
      <c r="L197" s="965"/>
      <c r="M197" s="53">
        <f>(SUMIF($11:$11,L197,$12:$12)-SUMIF($11:$11,$L$24,$12:$12)+100)/100</f>
        <v>1</v>
      </c>
      <c r="N197" s="965"/>
      <c r="O197" s="53">
        <f>(SUMIF($13:$13,N197,$14:$14)-SUMIF($13:$13,$N$24,$14:$14)+100)/100</f>
        <v>1</v>
      </c>
      <c r="P197" s="965"/>
      <c r="Q197" s="53">
        <f>(SUMIF($15:$15,P197,$16:$16)-SUMIF($15:$15,$P$24,$16:$16)+100)/100</f>
        <v>1</v>
      </c>
      <c r="R197" s="965"/>
      <c r="S197" s="53">
        <f>(SUMIF($17:$17,R197,$18:$18)-SUMIF($17:$17,$R$24,$18:$18)+100)/100</f>
        <v>1</v>
      </c>
      <c r="T197" s="493">
        <f>IF(D197="",0,ROUND($T$24*E197*G197*I197*K197*M197*O197*Q197*S197,0))</f>
        <v>0</v>
      </c>
      <c r="U197" s="802">
        <f t="shared" si="15"/>
        <v>0</v>
      </c>
    </row>
    <row r="198" spans="3:21">
      <c r="C198" s="967"/>
      <c r="D198" s="137"/>
      <c r="E198" s="53">
        <f>IF(D198="",1,(LOOKUP(D198,$3:$3,$4:$4)-LOOKUP($D$24,$3:$3,$4:$4)+100)/100)</f>
        <v>1</v>
      </c>
      <c r="F198" s="965"/>
      <c r="G198" s="53">
        <f>(SUMIF($5:$5,F198,$6:$6)-SUMIF($5:$5,$F$24,$6:$6)+100)/100</f>
        <v>0.01</v>
      </c>
      <c r="H198" s="965"/>
      <c r="I198" s="53">
        <f>(SUMIF($7:$7,H198,$8:$8)-SUMIF($7:$7,$H$24,$8:$8)+100)/100</f>
        <v>0.04</v>
      </c>
      <c r="J198" s="965"/>
      <c r="K198" s="53">
        <f>(SUMIF($9:$9,J198,$10:$10)-SUMIF($9:$9,$J$24,$10:$10)+100)/100</f>
        <v>0.04</v>
      </c>
      <c r="L198" s="965"/>
      <c r="M198" s="53">
        <f>(SUMIF($11:$11,L198,$12:$12)-SUMIF($11:$11,$L$24,$12:$12)+100)/100</f>
        <v>1</v>
      </c>
      <c r="N198" s="965"/>
      <c r="O198" s="53">
        <f>(SUMIF($13:$13,N198,$14:$14)-SUMIF($13:$13,$N$24,$14:$14)+100)/100</f>
        <v>1</v>
      </c>
      <c r="P198" s="965"/>
      <c r="Q198" s="53">
        <f>(SUMIF($15:$15,P198,$16:$16)-SUMIF($15:$15,$P$24,$16:$16)+100)/100</f>
        <v>1</v>
      </c>
      <c r="R198" s="965"/>
      <c r="S198" s="53">
        <f>(SUMIF($17:$17,R198,$18:$18)-SUMIF($17:$17,$R$24,$18:$18)+100)/100</f>
        <v>1</v>
      </c>
      <c r="T198" s="493">
        <f>IF(D198="",0,ROUND($T$24*E198*G198*I198*K198*M198*O198*Q198*S198,0))</f>
        <v>0</v>
      </c>
      <c r="U198" s="802">
        <f t="shared" si="15"/>
        <v>0</v>
      </c>
    </row>
    <row r="199" spans="3:21">
      <c r="C199" s="967"/>
      <c r="D199" s="137"/>
      <c r="E199" s="53">
        <f>IF(D199="",1,(LOOKUP(D199,$3:$3,$4:$4)-LOOKUP($D$24,$3:$3,$4:$4)+100)/100)</f>
        <v>1</v>
      </c>
      <c r="F199" s="965"/>
      <c r="G199" s="53">
        <f>(SUMIF($5:$5,F199,$6:$6)-SUMIF($5:$5,$F$24,$6:$6)+100)/100</f>
        <v>0.01</v>
      </c>
      <c r="H199" s="965"/>
      <c r="I199" s="53">
        <f>(SUMIF($7:$7,H199,$8:$8)-SUMIF($7:$7,$H$24,$8:$8)+100)/100</f>
        <v>0.04</v>
      </c>
      <c r="J199" s="965"/>
      <c r="K199" s="53">
        <f>(SUMIF($9:$9,J199,$10:$10)-SUMIF($9:$9,$J$24,$10:$10)+100)/100</f>
        <v>0.04</v>
      </c>
      <c r="L199" s="965"/>
      <c r="M199" s="53">
        <f>(SUMIF($11:$11,L199,$12:$12)-SUMIF($11:$11,$L$24,$12:$12)+100)/100</f>
        <v>1</v>
      </c>
      <c r="N199" s="965"/>
      <c r="O199" s="53">
        <f>(SUMIF($13:$13,N199,$14:$14)-SUMIF($13:$13,$N$24,$14:$14)+100)/100</f>
        <v>1</v>
      </c>
      <c r="P199" s="965"/>
      <c r="Q199" s="53">
        <f>(SUMIF($15:$15,P199,$16:$16)-SUMIF($15:$15,$P$24,$16:$16)+100)/100</f>
        <v>1</v>
      </c>
      <c r="R199" s="965"/>
      <c r="S199" s="53">
        <f>(SUMIF($17:$17,R199,$18:$18)-SUMIF($17:$17,$R$24,$18:$18)+100)/100</f>
        <v>1</v>
      </c>
      <c r="T199" s="493">
        <f>IF(D199="",0,ROUND($T$24*E199*G199*I199*K199*M199*O199*Q199*S199,0))</f>
        <v>0</v>
      </c>
      <c r="U199" s="802">
        <f t="shared" si="15"/>
        <v>0</v>
      </c>
    </row>
    <row r="200" spans="3:21">
      <c r="C200" s="967"/>
      <c r="D200" s="137"/>
      <c r="E200" s="53">
        <f>IF(D200="",1,(LOOKUP(D200,$3:$3,$4:$4)-LOOKUP($D$24,$3:$3,$4:$4)+100)/100)</f>
        <v>1</v>
      </c>
      <c r="F200" s="965"/>
      <c r="G200" s="53">
        <f>(SUMIF($5:$5,F200,$6:$6)-SUMIF($5:$5,$F$24,$6:$6)+100)/100</f>
        <v>0.01</v>
      </c>
      <c r="H200" s="965"/>
      <c r="I200" s="53">
        <f>(SUMIF($7:$7,H200,$8:$8)-SUMIF($7:$7,$H$24,$8:$8)+100)/100</f>
        <v>0.04</v>
      </c>
      <c r="J200" s="965"/>
      <c r="K200" s="53">
        <f>(SUMIF($9:$9,J200,$10:$10)-SUMIF($9:$9,$J$24,$10:$10)+100)/100</f>
        <v>0.04</v>
      </c>
      <c r="L200" s="965"/>
      <c r="M200" s="53">
        <f>(SUMIF($11:$11,L200,$12:$12)-SUMIF($11:$11,$L$24,$12:$12)+100)/100</f>
        <v>1</v>
      </c>
      <c r="N200" s="965"/>
      <c r="O200" s="53">
        <f>(SUMIF($13:$13,N200,$14:$14)-SUMIF($13:$13,$N$24,$14:$14)+100)/100</f>
        <v>1</v>
      </c>
      <c r="P200" s="965"/>
      <c r="Q200" s="53">
        <f>(SUMIF($15:$15,P200,$16:$16)-SUMIF($15:$15,$P$24,$16:$16)+100)/100</f>
        <v>1</v>
      </c>
      <c r="R200" s="965"/>
      <c r="S200" s="53">
        <f>(SUMIF($17:$17,R200,$18:$18)-SUMIF($17:$17,$R$24,$18:$18)+100)/100</f>
        <v>1</v>
      </c>
      <c r="T200" s="493">
        <f>IF(D200="",0,ROUND($T$24*E200*G200*I200*K200*M200*O200*Q200*S200,0))</f>
        <v>0</v>
      </c>
      <c r="U200" s="802">
        <f t="shared" si="15"/>
        <v>0</v>
      </c>
    </row>
    <row r="201" spans="3:21">
      <c r="C201" s="967"/>
      <c r="D201" s="137"/>
      <c r="E201" s="53">
        <f>IF(D201="",1,(LOOKUP(D201,$3:$3,$4:$4)-LOOKUP($D$24,$3:$3,$4:$4)+100)/100)</f>
        <v>1</v>
      </c>
      <c r="F201" s="965"/>
      <c r="G201" s="53">
        <f>(SUMIF($5:$5,F201,$6:$6)-SUMIF($5:$5,$F$24,$6:$6)+100)/100</f>
        <v>0.01</v>
      </c>
      <c r="H201" s="965"/>
      <c r="I201" s="53">
        <f>(SUMIF($7:$7,H201,$8:$8)-SUMIF($7:$7,$H$24,$8:$8)+100)/100</f>
        <v>0.04</v>
      </c>
      <c r="J201" s="965"/>
      <c r="K201" s="53">
        <f>(SUMIF($9:$9,J201,$10:$10)-SUMIF($9:$9,$J$24,$10:$10)+100)/100</f>
        <v>0.04</v>
      </c>
      <c r="L201" s="965"/>
      <c r="M201" s="53">
        <f>(SUMIF($11:$11,L201,$12:$12)-SUMIF($11:$11,$L$24,$12:$12)+100)/100</f>
        <v>1</v>
      </c>
      <c r="N201" s="965"/>
      <c r="O201" s="53">
        <f>(SUMIF($13:$13,N201,$14:$14)-SUMIF($13:$13,$N$24,$14:$14)+100)/100</f>
        <v>1</v>
      </c>
      <c r="P201" s="965"/>
      <c r="Q201" s="53">
        <f>(SUMIF($15:$15,P201,$16:$16)-SUMIF($15:$15,$P$24,$16:$16)+100)/100</f>
        <v>1</v>
      </c>
      <c r="R201" s="965"/>
      <c r="S201" s="53">
        <f>(SUMIF($17:$17,R201,$18:$18)-SUMIF($17:$17,$R$24,$18:$18)+100)/100</f>
        <v>1</v>
      </c>
      <c r="T201" s="493">
        <f>IF(D201="",0,ROUND($T$24*E201*G201*I201*K201*M201*O201*Q201*S201,0))</f>
        <v>0</v>
      </c>
      <c r="U201" s="802">
        <f t="shared" si="15"/>
        <v>0</v>
      </c>
    </row>
    <row r="202" spans="3:21">
      <c r="C202" s="967"/>
      <c r="D202" s="137"/>
      <c r="E202" s="53">
        <f>IF(D202="",1,(LOOKUP(D202,$3:$3,$4:$4)-LOOKUP($D$24,$3:$3,$4:$4)+100)/100)</f>
        <v>1</v>
      </c>
      <c r="F202" s="965"/>
      <c r="G202" s="53">
        <f>(SUMIF($5:$5,F202,$6:$6)-SUMIF($5:$5,$F$24,$6:$6)+100)/100</f>
        <v>0.01</v>
      </c>
      <c r="H202" s="965"/>
      <c r="I202" s="53">
        <f>(SUMIF($7:$7,H202,$8:$8)-SUMIF($7:$7,$H$24,$8:$8)+100)/100</f>
        <v>0.04</v>
      </c>
      <c r="J202" s="965"/>
      <c r="K202" s="53">
        <f>(SUMIF($9:$9,J202,$10:$10)-SUMIF($9:$9,$J$24,$10:$10)+100)/100</f>
        <v>0.04</v>
      </c>
      <c r="L202" s="965"/>
      <c r="M202" s="53">
        <f>(SUMIF($11:$11,L202,$12:$12)-SUMIF($11:$11,$L$24,$12:$12)+100)/100</f>
        <v>1</v>
      </c>
      <c r="N202" s="965"/>
      <c r="O202" s="53">
        <f>(SUMIF($13:$13,N202,$14:$14)-SUMIF($13:$13,$N$24,$14:$14)+100)/100</f>
        <v>1</v>
      </c>
      <c r="P202" s="965"/>
      <c r="Q202" s="53">
        <f>(SUMIF($15:$15,P202,$16:$16)-SUMIF($15:$15,$P$24,$16:$16)+100)/100</f>
        <v>1</v>
      </c>
      <c r="R202" s="965"/>
      <c r="S202" s="53">
        <f>(SUMIF($17:$17,R202,$18:$18)-SUMIF($17:$17,$R$24,$18:$18)+100)/100</f>
        <v>1</v>
      </c>
      <c r="T202" s="493">
        <f>IF(D202="",0,ROUND($T$24*E202*G202*I202*K202*M202*O202*Q202*S202,0))</f>
        <v>0</v>
      </c>
      <c r="U202" s="802">
        <f t="shared" si="15"/>
        <v>0</v>
      </c>
    </row>
    <row r="203" spans="3:21">
      <c r="C203" s="967"/>
      <c r="D203" s="137"/>
      <c r="E203" s="53">
        <f>IF(D203="",1,(LOOKUP(D203,$3:$3,$4:$4)-LOOKUP($D$24,$3:$3,$4:$4)+100)/100)</f>
        <v>1</v>
      </c>
      <c r="F203" s="965"/>
      <c r="G203" s="53">
        <f>(SUMIF($5:$5,F203,$6:$6)-SUMIF($5:$5,$F$24,$6:$6)+100)/100</f>
        <v>0.01</v>
      </c>
      <c r="H203" s="965"/>
      <c r="I203" s="53">
        <f>(SUMIF($7:$7,H203,$8:$8)-SUMIF($7:$7,$H$24,$8:$8)+100)/100</f>
        <v>0.04</v>
      </c>
      <c r="J203" s="965"/>
      <c r="K203" s="53">
        <f>(SUMIF($9:$9,J203,$10:$10)-SUMIF($9:$9,$J$24,$10:$10)+100)/100</f>
        <v>0.04</v>
      </c>
      <c r="L203" s="965"/>
      <c r="M203" s="53">
        <f>(SUMIF($11:$11,L203,$12:$12)-SUMIF($11:$11,$L$24,$12:$12)+100)/100</f>
        <v>1</v>
      </c>
      <c r="N203" s="965"/>
      <c r="O203" s="53">
        <f>(SUMIF($13:$13,N203,$14:$14)-SUMIF($13:$13,$N$24,$14:$14)+100)/100</f>
        <v>1</v>
      </c>
      <c r="P203" s="965"/>
      <c r="Q203" s="53">
        <f>(SUMIF($15:$15,P203,$16:$16)-SUMIF($15:$15,$P$24,$16:$16)+100)/100</f>
        <v>1</v>
      </c>
      <c r="R203" s="965"/>
      <c r="S203" s="53">
        <f>(SUMIF($17:$17,R203,$18:$18)-SUMIF($17:$17,$R$24,$18:$18)+100)/100</f>
        <v>1</v>
      </c>
      <c r="T203" s="493">
        <f>IF(D203="",0,ROUND($T$24*E203*G203*I203*K203*M203*O203*Q203*S203,0))</f>
        <v>0</v>
      </c>
      <c r="U203" s="802">
        <f t="shared" si="15"/>
        <v>0</v>
      </c>
    </row>
    <row r="204" spans="3:21">
      <c r="C204" s="967"/>
      <c r="D204" s="137"/>
      <c r="E204" s="53">
        <f>IF(D204="",1,(LOOKUP(D204,$3:$3,$4:$4)-LOOKUP($D$24,$3:$3,$4:$4)+100)/100)</f>
        <v>1</v>
      </c>
      <c r="F204" s="965"/>
      <c r="G204" s="53">
        <f>(SUMIF($5:$5,F204,$6:$6)-SUMIF($5:$5,$F$24,$6:$6)+100)/100</f>
        <v>0.01</v>
      </c>
      <c r="H204" s="965"/>
      <c r="I204" s="53">
        <f>(SUMIF($7:$7,H204,$8:$8)-SUMIF($7:$7,$H$24,$8:$8)+100)/100</f>
        <v>0.04</v>
      </c>
      <c r="J204" s="965"/>
      <c r="K204" s="53">
        <f>(SUMIF($9:$9,J204,$10:$10)-SUMIF($9:$9,$J$24,$10:$10)+100)/100</f>
        <v>0.04</v>
      </c>
      <c r="L204" s="965"/>
      <c r="M204" s="53">
        <f>(SUMIF($11:$11,L204,$12:$12)-SUMIF($11:$11,$L$24,$12:$12)+100)/100</f>
        <v>1</v>
      </c>
      <c r="N204" s="965"/>
      <c r="O204" s="53">
        <f>(SUMIF($13:$13,N204,$14:$14)-SUMIF($13:$13,$N$24,$14:$14)+100)/100</f>
        <v>1</v>
      </c>
      <c r="P204" s="965"/>
      <c r="Q204" s="53">
        <f>(SUMIF($15:$15,P204,$16:$16)-SUMIF($15:$15,$P$24,$16:$16)+100)/100</f>
        <v>1</v>
      </c>
      <c r="R204" s="965"/>
      <c r="S204" s="53">
        <f>(SUMIF($17:$17,R204,$18:$18)-SUMIF($17:$17,$R$24,$18:$18)+100)/100</f>
        <v>1</v>
      </c>
      <c r="T204" s="493">
        <f>IF(D204="",0,ROUND($T$24*E204*G204*I204*K204*M204*O204*Q204*S204,0))</f>
        <v>0</v>
      </c>
      <c r="U204" s="802">
        <f t="shared" si="15"/>
        <v>0</v>
      </c>
    </row>
    <row r="205" spans="3:21">
      <c r="C205" s="967"/>
      <c r="D205" s="137"/>
      <c r="E205" s="53">
        <f>IF(D205="",1,(LOOKUP(D205,$3:$3,$4:$4)-LOOKUP($D$24,$3:$3,$4:$4)+100)/100)</f>
        <v>1</v>
      </c>
      <c r="F205" s="965"/>
      <c r="G205" s="53">
        <f>(SUMIF($5:$5,F205,$6:$6)-SUMIF($5:$5,$F$24,$6:$6)+100)/100</f>
        <v>0.01</v>
      </c>
      <c r="H205" s="965"/>
      <c r="I205" s="53">
        <f>(SUMIF($7:$7,H205,$8:$8)-SUMIF($7:$7,$H$24,$8:$8)+100)/100</f>
        <v>0.04</v>
      </c>
      <c r="J205" s="965"/>
      <c r="K205" s="53">
        <f>(SUMIF($9:$9,J205,$10:$10)-SUMIF($9:$9,$J$24,$10:$10)+100)/100</f>
        <v>0.04</v>
      </c>
      <c r="L205" s="965"/>
      <c r="M205" s="53">
        <f>(SUMIF($11:$11,L205,$12:$12)-SUMIF($11:$11,$L$24,$12:$12)+100)/100</f>
        <v>1</v>
      </c>
      <c r="N205" s="965"/>
      <c r="O205" s="53">
        <f>(SUMIF($13:$13,N205,$14:$14)-SUMIF($13:$13,$N$24,$14:$14)+100)/100</f>
        <v>1</v>
      </c>
      <c r="P205" s="965"/>
      <c r="Q205" s="53">
        <f>(SUMIF($15:$15,P205,$16:$16)-SUMIF($15:$15,$P$24,$16:$16)+100)/100</f>
        <v>1</v>
      </c>
      <c r="R205" s="965"/>
      <c r="S205" s="53">
        <f>(SUMIF($17:$17,R205,$18:$18)-SUMIF($17:$17,$R$24,$18:$18)+100)/100</f>
        <v>1</v>
      </c>
      <c r="T205" s="493">
        <f>IF(D205="",0,ROUND($T$24*E205*G205*I205*K205*M205*O205*Q205*S205,0))</f>
        <v>0</v>
      </c>
      <c r="U205" s="802">
        <f t="shared" si="15"/>
        <v>0</v>
      </c>
    </row>
    <row r="206" spans="3:21">
      <c r="C206" s="967"/>
      <c r="D206" s="137"/>
      <c r="E206" s="53">
        <f>IF(D206="",1,(LOOKUP(D206,$3:$3,$4:$4)-LOOKUP($D$24,$3:$3,$4:$4)+100)/100)</f>
        <v>1</v>
      </c>
      <c r="F206" s="965"/>
      <c r="G206" s="53">
        <f>(SUMIF($5:$5,F206,$6:$6)-SUMIF($5:$5,$F$24,$6:$6)+100)/100</f>
        <v>0.01</v>
      </c>
      <c r="H206" s="965"/>
      <c r="I206" s="53">
        <f>(SUMIF($7:$7,H206,$8:$8)-SUMIF($7:$7,$H$24,$8:$8)+100)/100</f>
        <v>0.04</v>
      </c>
      <c r="J206" s="965"/>
      <c r="K206" s="53">
        <f>(SUMIF($9:$9,J206,$10:$10)-SUMIF($9:$9,$J$24,$10:$10)+100)/100</f>
        <v>0.04</v>
      </c>
      <c r="L206" s="965"/>
      <c r="M206" s="53">
        <f>(SUMIF($11:$11,L206,$12:$12)-SUMIF($11:$11,$L$24,$12:$12)+100)/100</f>
        <v>1</v>
      </c>
      <c r="N206" s="965"/>
      <c r="O206" s="53">
        <f>(SUMIF($13:$13,N206,$14:$14)-SUMIF($13:$13,$N$24,$14:$14)+100)/100</f>
        <v>1</v>
      </c>
      <c r="P206" s="965"/>
      <c r="Q206" s="53">
        <f>(SUMIF($15:$15,P206,$16:$16)-SUMIF($15:$15,$P$24,$16:$16)+100)/100</f>
        <v>1</v>
      </c>
      <c r="R206" s="965"/>
      <c r="S206" s="53">
        <f>(SUMIF($17:$17,R206,$18:$18)-SUMIF($17:$17,$R$24,$18:$18)+100)/100</f>
        <v>1</v>
      </c>
      <c r="T206" s="493">
        <f>IF(D206="",0,ROUND($T$24*E206*G206*I206*K206*M206*O206*Q206*S206,0))</f>
        <v>0</v>
      </c>
      <c r="U206" s="802">
        <f t="shared" si="15"/>
        <v>0</v>
      </c>
    </row>
    <row r="207" spans="3:21">
      <c r="C207" s="967"/>
      <c r="D207" s="137"/>
      <c r="E207" s="53">
        <f>IF(D207="",1,(LOOKUP(D207,$3:$3,$4:$4)-LOOKUP($D$24,$3:$3,$4:$4)+100)/100)</f>
        <v>1</v>
      </c>
      <c r="F207" s="965"/>
      <c r="G207" s="53">
        <f>(SUMIF($5:$5,F207,$6:$6)-SUMIF($5:$5,$F$24,$6:$6)+100)/100</f>
        <v>0.01</v>
      </c>
      <c r="H207" s="965"/>
      <c r="I207" s="53">
        <f>(SUMIF($7:$7,H207,$8:$8)-SUMIF($7:$7,$H$24,$8:$8)+100)/100</f>
        <v>0.04</v>
      </c>
      <c r="J207" s="965"/>
      <c r="K207" s="53">
        <f>(SUMIF($9:$9,J207,$10:$10)-SUMIF($9:$9,$J$24,$10:$10)+100)/100</f>
        <v>0.04</v>
      </c>
      <c r="L207" s="965"/>
      <c r="M207" s="53">
        <f>(SUMIF($11:$11,L207,$12:$12)-SUMIF($11:$11,$L$24,$12:$12)+100)/100</f>
        <v>1</v>
      </c>
      <c r="N207" s="965"/>
      <c r="O207" s="53">
        <f>(SUMIF($13:$13,N207,$14:$14)-SUMIF($13:$13,$N$24,$14:$14)+100)/100</f>
        <v>1</v>
      </c>
      <c r="P207" s="965"/>
      <c r="Q207" s="53">
        <f>(SUMIF($15:$15,P207,$16:$16)-SUMIF($15:$15,$P$24,$16:$16)+100)/100</f>
        <v>1</v>
      </c>
      <c r="R207" s="965"/>
      <c r="S207" s="53">
        <f>(SUMIF($17:$17,R207,$18:$18)-SUMIF($17:$17,$R$24,$18:$18)+100)/100</f>
        <v>1</v>
      </c>
      <c r="T207" s="493">
        <f>IF(D207="",0,ROUND($T$24*E207*G207*I207*K207*M207*O207*Q207*S207,0))</f>
        <v>0</v>
      </c>
      <c r="U207" s="802">
        <f t="shared" si="15"/>
        <v>0</v>
      </c>
    </row>
    <row r="208" spans="3:21">
      <c r="C208" s="967"/>
      <c r="D208" s="137"/>
      <c r="E208" s="53">
        <f>IF(D208="",1,(LOOKUP(D208,$3:$3,$4:$4)-LOOKUP($D$24,$3:$3,$4:$4)+100)/100)</f>
        <v>1</v>
      </c>
      <c r="F208" s="965"/>
      <c r="G208" s="53">
        <f>(SUMIF($5:$5,F208,$6:$6)-SUMIF($5:$5,$F$24,$6:$6)+100)/100</f>
        <v>0.01</v>
      </c>
      <c r="H208" s="965"/>
      <c r="I208" s="53">
        <f>(SUMIF($7:$7,H208,$8:$8)-SUMIF($7:$7,$H$24,$8:$8)+100)/100</f>
        <v>0.04</v>
      </c>
      <c r="J208" s="965"/>
      <c r="K208" s="53">
        <f>(SUMIF($9:$9,J208,$10:$10)-SUMIF($9:$9,$J$24,$10:$10)+100)/100</f>
        <v>0.04</v>
      </c>
      <c r="L208" s="965"/>
      <c r="M208" s="53">
        <f>(SUMIF($11:$11,L208,$12:$12)-SUMIF($11:$11,$L$24,$12:$12)+100)/100</f>
        <v>1</v>
      </c>
      <c r="N208" s="965"/>
      <c r="O208" s="53">
        <f>(SUMIF($13:$13,N208,$14:$14)-SUMIF($13:$13,$N$24,$14:$14)+100)/100</f>
        <v>1</v>
      </c>
      <c r="P208" s="965"/>
      <c r="Q208" s="53">
        <f>(SUMIF($15:$15,P208,$16:$16)-SUMIF($15:$15,$P$24,$16:$16)+100)/100</f>
        <v>1</v>
      </c>
      <c r="R208" s="965"/>
      <c r="S208" s="53">
        <f>(SUMIF($17:$17,R208,$18:$18)-SUMIF($17:$17,$R$24,$18:$18)+100)/100</f>
        <v>1</v>
      </c>
      <c r="T208" s="493">
        <f>IF(D208="",0,ROUND($T$24*E208*G208*I208*K208*M208*O208*Q208*S208,0))</f>
        <v>0</v>
      </c>
      <c r="U208" s="802">
        <f t="shared" si="15"/>
        <v>0</v>
      </c>
    </row>
    <row r="209" spans="3:21">
      <c r="C209" s="967"/>
      <c r="D209" s="137"/>
      <c r="E209" s="53">
        <f>IF(D209="",1,(LOOKUP(D209,$3:$3,$4:$4)-LOOKUP($D$24,$3:$3,$4:$4)+100)/100)</f>
        <v>1</v>
      </c>
      <c r="F209" s="965"/>
      <c r="G209" s="53">
        <f>(SUMIF($5:$5,F209,$6:$6)-SUMIF($5:$5,$F$24,$6:$6)+100)/100</f>
        <v>0.01</v>
      </c>
      <c r="H209" s="965"/>
      <c r="I209" s="53">
        <f>(SUMIF($7:$7,H209,$8:$8)-SUMIF($7:$7,$H$24,$8:$8)+100)/100</f>
        <v>0.04</v>
      </c>
      <c r="J209" s="965"/>
      <c r="K209" s="53">
        <f>(SUMIF($9:$9,J209,$10:$10)-SUMIF($9:$9,$J$24,$10:$10)+100)/100</f>
        <v>0.04</v>
      </c>
      <c r="L209" s="965"/>
      <c r="M209" s="53">
        <f>(SUMIF($11:$11,L209,$12:$12)-SUMIF($11:$11,$L$24,$12:$12)+100)/100</f>
        <v>1</v>
      </c>
      <c r="N209" s="965"/>
      <c r="O209" s="53">
        <f>(SUMIF($13:$13,N209,$14:$14)-SUMIF($13:$13,$N$24,$14:$14)+100)/100</f>
        <v>1</v>
      </c>
      <c r="P209" s="965"/>
      <c r="Q209" s="53">
        <f>(SUMIF($15:$15,P209,$16:$16)-SUMIF($15:$15,$P$24,$16:$16)+100)/100</f>
        <v>1</v>
      </c>
      <c r="R209" s="965"/>
      <c r="S209" s="53">
        <f>(SUMIF($17:$17,R209,$18:$18)-SUMIF($17:$17,$R$24,$18:$18)+100)/100</f>
        <v>1</v>
      </c>
      <c r="T209" s="493">
        <f>IF(D209="",0,ROUND($T$24*E209*G209*I209*K209*M209*O209*Q209*S209,0))</f>
        <v>0</v>
      </c>
      <c r="U209" s="802">
        <f t="shared" si="15"/>
        <v>0</v>
      </c>
    </row>
    <row r="210" spans="3:21">
      <c r="C210" s="967"/>
      <c r="D210" s="137"/>
      <c r="E210" s="53">
        <f>IF(D210="",1,(LOOKUP(D210,$3:$3,$4:$4)-LOOKUP($D$24,$3:$3,$4:$4)+100)/100)</f>
        <v>1</v>
      </c>
      <c r="F210" s="965"/>
      <c r="G210" s="53">
        <f>(SUMIF($5:$5,F210,$6:$6)-SUMIF($5:$5,$F$24,$6:$6)+100)/100</f>
        <v>0.01</v>
      </c>
      <c r="H210" s="965"/>
      <c r="I210" s="53">
        <f>(SUMIF($7:$7,H210,$8:$8)-SUMIF($7:$7,$H$24,$8:$8)+100)/100</f>
        <v>0.04</v>
      </c>
      <c r="J210" s="965"/>
      <c r="K210" s="53">
        <f>(SUMIF($9:$9,J210,$10:$10)-SUMIF($9:$9,$J$24,$10:$10)+100)/100</f>
        <v>0.04</v>
      </c>
      <c r="L210" s="965"/>
      <c r="M210" s="53">
        <f>(SUMIF($11:$11,L210,$12:$12)-SUMIF($11:$11,$L$24,$12:$12)+100)/100</f>
        <v>1</v>
      </c>
      <c r="N210" s="965"/>
      <c r="O210" s="53">
        <f>(SUMIF($13:$13,N210,$14:$14)-SUMIF($13:$13,$N$24,$14:$14)+100)/100</f>
        <v>1</v>
      </c>
      <c r="P210" s="965"/>
      <c r="Q210" s="53">
        <f>(SUMIF($15:$15,P210,$16:$16)-SUMIF($15:$15,$P$24,$16:$16)+100)/100</f>
        <v>1</v>
      </c>
      <c r="R210" s="965"/>
      <c r="S210" s="53">
        <f>(SUMIF($17:$17,R210,$18:$18)-SUMIF($17:$17,$R$24,$18:$18)+100)/100</f>
        <v>1</v>
      </c>
      <c r="T210" s="493">
        <f>IF(D210="",0,ROUND($T$24*E210*G210*I210*K210*M210*O210*Q210*S210,0))</f>
        <v>0</v>
      </c>
      <c r="U210" s="802">
        <f t="shared" si="15"/>
        <v>0</v>
      </c>
    </row>
    <row r="211" spans="3:21">
      <c r="C211" s="967"/>
      <c r="D211" s="137"/>
      <c r="E211" s="53">
        <f>IF(D211="",1,(LOOKUP(D211,$3:$3,$4:$4)-LOOKUP($D$24,$3:$3,$4:$4)+100)/100)</f>
        <v>1</v>
      </c>
      <c r="F211" s="965"/>
      <c r="G211" s="53">
        <f>(SUMIF($5:$5,F211,$6:$6)-SUMIF($5:$5,$F$24,$6:$6)+100)/100</f>
        <v>0.01</v>
      </c>
      <c r="H211" s="965"/>
      <c r="I211" s="53">
        <f>(SUMIF($7:$7,H211,$8:$8)-SUMIF($7:$7,$H$24,$8:$8)+100)/100</f>
        <v>0.04</v>
      </c>
      <c r="J211" s="965"/>
      <c r="K211" s="53">
        <f>(SUMIF($9:$9,J211,$10:$10)-SUMIF($9:$9,$J$24,$10:$10)+100)/100</f>
        <v>0.04</v>
      </c>
      <c r="L211" s="965"/>
      <c r="M211" s="53">
        <f>(SUMIF($11:$11,L211,$12:$12)-SUMIF($11:$11,$L$24,$12:$12)+100)/100</f>
        <v>1</v>
      </c>
      <c r="N211" s="965"/>
      <c r="O211" s="53">
        <f>(SUMIF($13:$13,N211,$14:$14)-SUMIF($13:$13,$N$24,$14:$14)+100)/100</f>
        <v>1</v>
      </c>
      <c r="P211" s="965"/>
      <c r="Q211" s="53">
        <f>(SUMIF($15:$15,P211,$16:$16)-SUMIF($15:$15,$P$24,$16:$16)+100)/100</f>
        <v>1</v>
      </c>
      <c r="R211" s="965"/>
      <c r="S211" s="53">
        <f>(SUMIF($17:$17,R211,$18:$18)-SUMIF($17:$17,$R$24,$18:$18)+100)/100</f>
        <v>1</v>
      </c>
      <c r="T211" s="493">
        <f>IF(D211="",0,ROUND($T$24*E211*G211*I211*K211*M211*O211*Q211*S211,0))</f>
        <v>0</v>
      </c>
      <c r="U211" s="802">
        <f t="shared" si="15"/>
        <v>0</v>
      </c>
    </row>
    <row r="212" spans="3:21">
      <c r="C212" s="967"/>
      <c r="D212" s="137"/>
      <c r="E212" s="53">
        <f>IF(D212="",1,(LOOKUP(D212,$3:$3,$4:$4)-LOOKUP($D$24,$3:$3,$4:$4)+100)/100)</f>
        <v>1</v>
      </c>
      <c r="F212" s="965"/>
      <c r="G212" s="53">
        <f>(SUMIF($5:$5,F212,$6:$6)-SUMIF($5:$5,$F$24,$6:$6)+100)/100</f>
        <v>0.01</v>
      </c>
      <c r="H212" s="965"/>
      <c r="I212" s="53">
        <f>(SUMIF($7:$7,H212,$8:$8)-SUMIF($7:$7,$H$24,$8:$8)+100)/100</f>
        <v>0.04</v>
      </c>
      <c r="J212" s="965"/>
      <c r="K212" s="53">
        <f>(SUMIF($9:$9,J212,$10:$10)-SUMIF($9:$9,$J$24,$10:$10)+100)/100</f>
        <v>0.04</v>
      </c>
      <c r="L212" s="965"/>
      <c r="M212" s="53">
        <f>(SUMIF($11:$11,L212,$12:$12)-SUMIF($11:$11,$L$24,$12:$12)+100)/100</f>
        <v>1</v>
      </c>
      <c r="N212" s="965"/>
      <c r="O212" s="53">
        <f>(SUMIF($13:$13,N212,$14:$14)-SUMIF($13:$13,$N$24,$14:$14)+100)/100</f>
        <v>1</v>
      </c>
      <c r="P212" s="965"/>
      <c r="Q212" s="53">
        <f>(SUMIF($15:$15,P212,$16:$16)-SUMIF($15:$15,$P$24,$16:$16)+100)/100</f>
        <v>1</v>
      </c>
      <c r="R212" s="965"/>
      <c r="S212" s="53">
        <f>(SUMIF($17:$17,R212,$18:$18)-SUMIF($17:$17,$R$24,$18:$18)+100)/100</f>
        <v>1</v>
      </c>
      <c r="T212" s="493">
        <f>IF(D212="",0,ROUND($T$24*E212*G212*I212*K212*M212*O212*Q212*S212,0))</f>
        <v>0</v>
      </c>
      <c r="U212" s="802">
        <f t="shared" si="15"/>
        <v>0</v>
      </c>
    </row>
    <row r="213" spans="3:21">
      <c r="C213" s="967"/>
      <c r="D213" s="137"/>
      <c r="E213" s="53">
        <f>IF(D213="",1,(LOOKUP(D213,$3:$3,$4:$4)-LOOKUP($D$24,$3:$3,$4:$4)+100)/100)</f>
        <v>1</v>
      </c>
      <c r="F213" s="965"/>
      <c r="G213" s="53">
        <f>(SUMIF($5:$5,F213,$6:$6)-SUMIF($5:$5,$F$24,$6:$6)+100)/100</f>
        <v>0.01</v>
      </c>
      <c r="H213" s="965"/>
      <c r="I213" s="53">
        <f>(SUMIF($7:$7,H213,$8:$8)-SUMIF($7:$7,$H$24,$8:$8)+100)/100</f>
        <v>0.04</v>
      </c>
      <c r="J213" s="965"/>
      <c r="K213" s="53">
        <f>(SUMIF($9:$9,J213,$10:$10)-SUMIF($9:$9,$J$24,$10:$10)+100)/100</f>
        <v>0.04</v>
      </c>
      <c r="L213" s="965"/>
      <c r="M213" s="53">
        <f>(SUMIF($11:$11,L213,$12:$12)-SUMIF($11:$11,$L$24,$12:$12)+100)/100</f>
        <v>1</v>
      </c>
      <c r="N213" s="965"/>
      <c r="O213" s="53">
        <f>(SUMIF($13:$13,N213,$14:$14)-SUMIF($13:$13,$N$24,$14:$14)+100)/100</f>
        <v>1</v>
      </c>
      <c r="P213" s="965"/>
      <c r="Q213" s="53">
        <f>(SUMIF($15:$15,P213,$16:$16)-SUMIF($15:$15,$P$24,$16:$16)+100)/100</f>
        <v>1</v>
      </c>
      <c r="R213" s="965"/>
      <c r="S213" s="53">
        <f>(SUMIF($17:$17,R213,$18:$18)-SUMIF($17:$17,$R$24,$18:$18)+100)/100</f>
        <v>1</v>
      </c>
      <c r="T213" s="493">
        <f>IF(D213="",0,ROUND($T$24*E213*G213*I213*K213*M213*O213*Q213*S213,0))</f>
        <v>0</v>
      </c>
      <c r="U213" s="802">
        <f t="shared" si="15"/>
        <v>0</v>
      </c>
    </row>
    <row r="214" spans="3:21">
      <c r="C214" s="967"/>
      <c r="D214" s="137"/>
      <c r="E214" s="53">
        <f>IF(D214="",1,(LOOKUP(D214,$3:$3,$4:$4)-LOOKUP($D$24,$3:$3,$4:$4)+100)/100)</f>
        <v>1</v>
      </c>
      <c r="F214" s="965"/>
      <c r="G214" s="53">
        <f>(SUMIF($5:$5,F214,$6:$6)-SUMIF($5:$5,$F$24,$6:$6)+100)/100</f>
        <v>0.01</v>
      </c>
      <c r="H214" s="965"/>
      <c r="I214" s="53">
        <f>(SUMIF($7:$7,H214,$8:$8)-SUMIF($7:$7,$H$24,$8:$8)+100)/100</f>
        <v>0.04</v>
      </c>
      <c r="J214" s="965"/>
      <c r="K214" s="53">
        <f>(SUMIF($9:$9,J214,$10:$10)-SUMIF($9:$9,$J$24,$10:$10)+100)/100</f>
        <v>0.04</v>
      </c>
      <c r="L214" s="965"/>
      <c r="M214" s="53">
        <f>(SUMIF($11:$11,L214,$12:$12)-SUMIF($11:$11,$L$24,$12:$12)+100)/100</f>
        <v>1</v>
      </c>
      <c r="N214" s="965"/>
      <c r="O214" s="53">
        <f>(SUMIF($13:$13,N214,$14:$14)-SUMIF($13:$13,$N$24,$14:$14)+100)/100</f>
        <v>1</v>
      </c>
      <c r="P214" s="965"/>
      <c r="Q214" s="53">
        <f>(SUMIF($15:$15,P214,$16:$16)-SUMIF($15:$15,$P$24,$16:$16)+100)/100</f>
        <v>1</v>
      </c>
      <c r="R214" s="965"/>
      <c r="S214" s="53">
        <f>(SUMIF($17:$17,R214,$18:$18)-SUMIF($17:$17,$R$24,$18:$18)+100)/100</f>
        <v>1</v>
      </c>
      <c r="T214" s="493">
        <f>IF(D214="",0,ROUND($T$24*E214*G214*I214*K214*M214*O214*Q214*S214,0))</f>
        <v>0</v>
      </c>
      <c r="U214" s="802">
        <f t="shared" si="15"/>
        <v>0</v>
      </c>
    </row>
    <row r="215" spans="3:21">
      <c r="C215" s="967"/>
      <c r="D215" s="137"/>
      <c r="E215" s="53">
        <f>IF(D215="",1,(LOOKUP(D215,$3:$3,$4:$4)-LOOKUP($D$24,$3:$3,$4:$4)+100)/100)</f>
        <v>1</v>
      </c>
      <c r="F215" s="965"/>
      <c r="G215" s="53">
        <f>(SUMIF($5:$5,F215,$6:$6)-SUMIF($5:$5,$F$24,$6:$6)+100)/100</f>
        <v>0.01</v>
      </c>
      <c r="H215" s="965"/>
      <c r="I215" s="53">
        <f>(SUMIF($7:$7,H215,$8:$8)-SUMIF($7:$7,$H$24,$8:$8)+100)/100</f>
        <v>0.04</v>
      </c>
      <c r="J215" s="965"/>
      <c r="K215" s="53">
        <f>(SUMIF($9:$9,J215,$10:$10)-SUMIF($9:$9,$J$24,$10:$10)+100)/100</f>
        <v>0.04</v>
      </c>
      <c r="L215" s="965"/>
      <c r="M215" s="53">
        <f>(SUMIF($11:$11,L215,$12:$12)-SUMIF($11:$11,$L$24,$12:$12)+100)/100</f>
        <v>1</v>
      </c>
      <c r="N215" s="965"/>
      <c r="O215" s="53">
        <f>(SUMIF($13:$13,N215,$14:$14)-SUMIF($13:$13,$N$24,$14:$14)+100)/100</f>
        <v>1</v>
      </c>
      <c r="P215" s="965"/>
      <c r="Q215" s="53">
        <f>(SUMIF($15:$15,P215,$16:$16)-SUMIF($15:$15,$P$24,$16:$16)+100)/100</f>
        <v>1</v>
      </c>
      <c r="R215" s="965"/>
      <c r="S215" s="53">
        <f>(SUMIF($17:$17,R215,$18:$18)-SUMIF($17:$17,$R$24,$18:$18)+100)/100</f>
        <v>1</v>
      </c>
      <c r="T215" s="493">
        <f>IF(D215="",0,ROUND($T$24*E215*G215*I215*K215*M215*O215*Q215*S215,0))</f>
        <v>0</v>
      </c>
      <c r="U215" s="802">
        <f t="shared" si="15"/>
        <v>0</v>
      </c>
    </row>
    <row r="216" spans="3:21">
      <c r="C216" s="967"/>
      <c r="D216" s="137"/>
      <c r="E216" s="53">
        <f>IF(D216="",1,(LOOKUP(D216,$3:$3,$4:$4)-LOOKUP($D$24,$3:$3,$4:$4)+100)/100)</f>
        <v>1</v>
      </c>
      <c r="F216" s="965"/>
      <c r="G216" s="53">
        <f>(SUMIF($5:$5,F216,$6:$6)-SUMIF($5:$5,$F$24,$6:$6)+100)/100</f>
        <v>0.01</v>
      </c>
      <c r="H216" s="965"/>
      <c r="I216" s="53">
        <f>(SUMIF($7:$7,H216,$8:$8)-SUMIF($7:$7,$H$24,$8:$8)+100)/100</f>
        <v>0.04</v>
      </c>
      <c r="J216" s="965"/>
      <c r="K216" s="53">
        <f>(SUMIF($9:$9,J216,$10:$10)-SUMIF($9:$9,$J$24,$10:$10)+100)/100</f>
        <v>0.04</v>
      </c>
      <c r="L216" s="965"/>
      <c r="M216" s="53">
        <f>(SUMIF($11:$11,L216,$12:$12)-SUMIF($11:$11,$L$24,$12:$12)+100)/100</f>
        <v>1</v>
      </c>
      <c r="N216" s="965"/>
      <c r="O216" s="53">
        <f>(SUMIF($13:$13,N216,$14:$14)-SUMIF($13:$13,$N$24,$14:$14)+100)/100</f>
        <v>1</v>
      </c>
      <c r="P216" s="965"/>
      <c r="Q216" s="53">
        <f>(SUMIF($15:$15,P216,$16:$16)-SUMIF($15:$15,$P$24,$16:$16)+100)/100</f>
        <v>1</v>
      </c>
      <c r="R216" s="965"/>
      <c r="S216" s="53">
        <f>(SUMIF($17:$17,R216,$18:$18)-SUMIF($17:$17,$R$24,$18:$18)+100)/100</f>
        <v>1</v>
      </c>
      <c r="T216" s="493">
        <f>IF(D216="",0,ROUND($T$24*E216*G216*I216*K216*M216*O216*Q216*S216,0))</f>
        <v>0</v>
      </c>
      <c r="U216" s="802">
        <f t="shared" si="15"/>
        <v>0</v>
      </c>
    </row>
    <row r="217" spans="3:21">
      <c r="C217" s="967"/>
      <c r="D217" s="137"/>
      <c r="E217" s="53">
        <f>IF(D217="",1,(LOOKUP(D217,$3:$3,$4:$4)-LOOKUP($D$24,$3:$3,$4:$4)+100)/100)</f>
        <v>1</v>
      </c>
      <c r="F217" s="965"/>
      <c r="G217" s="53">
        <f>(SUMIF($5:$5,F217,$6:$6)-SUMIF($5:$5,$F$24,$6:$6)+100)/100</f>
        <v>0.01</v>
      </c>
      <c r="H217" s="965"/>
      <c r="I217" s="53">
        <f>(SUMIF($7:$7,H217,$8:$8)-SUMIF($7:$7,$H$24,$8:$8)+100)/100</f>
        <v>0.04</v>
      </c>
      <c r="J217" s="965"/>
      <c r="K217" s="53">
        <f>(SUMIF($9:$9,J217,$10:$10)-SUMIF($9:$9,$J$24,$10:$10)+100)/100</f>
        <v>0.04</v>
      </c>
      <c r="L217" s="965"/>
      <c r="M217" s="53">
        <f>(SUMIF($11:$11,L217,$12:$12)-SUMIF($11:$11,$L$24,$12:$12)+100)/100</f>
        <v>1</v>
      </c>
      <c r="N217" s="965"/>
      <c r="O217" s="53">
        <f>(SUMIF($13:$13,N217,$14:$14)-SUMIF($13:$13,$N$24,$14:$14)+100)/100</f>
        <v>1</v>
      </c>
      <c r="P217" s="965"/>
      <c r="Q217" s="53">
        <f>(SUMIF($15:$15,P217,$16:$16)-SUMIF($15:$15,$P$24,$16:$16)+100)/100</f>
        <v>1</v>
      </c>
      <c r="R217" s="965"/>
      <c r="S217" s="53">
        <f>(SUMIF($17:$17,R217,$18:$18)-SUMIF($17:$17,$R$24,$18:$18)+100)/100</f>
        <v>1</v>
      </c>
      <c r="T217" s="493">
        <f>IF(D217="",0,ROUND($T$24*E217*G217*I217*K217*M217*O217*Q217*S217,0))</f>
        <v>0</v>
      </c>
      <c r="U217" s="802">
        <f t="shared" si="15"/>
        <v>0</v>
      </c>
    </row>
    <row r="218" spans="3:21">
      <c r="C218" s="967"/>
      <c r="D218" s="137"/>
      <c r="E218" s="53">
        <f>IF(D218="",1,(LOOKUP(D218,$3:$3,$4:$4)-LOOKUP($D$24,$3:$3,$4:$4)+100)/100)</f>
        <v>1</v>
      </c>
      <c r="F218" s="965"/>
      <c r="G218" s="53">
        <f>(SUMIF($5:$5,F218,$6:$6)-SUMIF($5:$5,$F$24,$6:$6)+100)/100</f>
        <v>0.01</v>
      </c>
      <c r="H218" s="965"/>
      <c r="I218" s="53">
        <f>(SUMIF($7:$7,H218,$8:$8)-SUMIF($7:$7,$H$24,$8:$8)+100)/100</f>
        <v>0.04</v>
      </c>
      <c r="J218" s="965"/>
      <c r="K218" s="53">
        <f>(SUMIF($9:$9,J218,$10:$10)-SUMIF($9:$9,$J$24,$10:$10)+100)/100</f>
        <v>0.04</v>
      </c>
      <c r="L218" s="965"/>
      <c r="M218" s="53">
        <f>(SUMIF($11:$11,L218,$12:$12)-SUMIF($11:$11,$L$24,$12:$12)+100)/100</f>
        <v>1</v>
      </c>
      <c r="N218" s="965"/>
      <c r="O218" s="53">
        <f>(SUMIF($13:$13,N218,$14:$14)-SUMIF($13:$13,$N$24,$14:$14)+100)/100</f>
        <v>1</v>
      </c>
      <c r="P218" s="965"/>
      <c r="Q218" s="53">
        <f>(SUMIF($15:$15,P218,$16:$16)-SUMIF($15:$15,$P$24,$16:$16)+100)/100</f>
        <v>1</v>
      </c>
      <c r="R218" s="965"/>
      <c r="S218" s="53">
        <f>(SUMIF($17:$17,R218,$18:$18)-SUMIF($17:$17,$R$24,$18:$18)+100)/100</f>
        <v>1</v>
      </c>
      <c r="T218" s="493">
        <f>IF(D218="",0,ROUND($T$24*E218*G218*I218*K218*M218*O218*Q218*S218,0))</f>
        <v>0</v>
      </c>
      <c r="U218" s="802">
        <f t="shared" si="15"/>
        <v>0</v>
      </c>
    </row>
    <row r="219" spans="3:21">
      <c r="C219" s="967"/>
      <c r="D219" s="137"/>
      <c r="E219" s="53">
        <f>IF(D219="",1,(LOOKUP(D219,$3:$3,$4:$4)-LOOKUP($D$24,$3:$3,$4:$4)+100)/100)</f>
        <v>1</v>
      </c>
      <c r="F219" s="965"/>
      <c r="G219" s="53">
        <f>(SUMIF($5:$5,F219,$6:$6)-SUMIF($5:$5,$F$24,$6:$6)+100)/100</f>
        <v>0.01</v>
      </c>
      <c r="H219" s="965"/>
      <c r="I219" s="53">
        <f>(SUMIF($7:$7,H219,$8:$8)-SUMIF($7:$7,$H$24,$8:$8)+100)/100</f>
        <v>0.04</v>
      </c>
      <c r="J219" s="965"/>
      <c r="K219" s="53">
        <f>(SUMIF($9:$9,J219,$10:$10)-SUMIF($9:$9,$J$24,$10:$10)+100)/100</f>
        <v>0.04</v>
      </c>
      <c r="L219" s="965"/>
      <c r="M219" s="53">
        <f>(SUMIF($11:$11,L219,$12:$12)-SUMIF($11:$11,$L$24,$12:$12)+100)/100</f>
        <v>1</v>
      </c>
      <c r="N219" s="965"/>
      <c r="O219" s="53">
        <f>(SUMIF($13:$13,N219,$14:$14)-SUMIF($13:$13,$N$24,$14:$14)+100)/100</f>
        <v>1</v>
      </c>
      <c r="P219" s="965"/>
      <c r="Q219" s="53">
        <f>(SUMIF($15:$15,P219,$16:$16)-SUMIF($15:$15,$P$24,$16:$16)+100)/100</f>
        <v>1</v>
      </c>
      <c r="R219" s="965"/>
      <c r="S219" s="53">
        <f>(SUMIF($17:$17,R219,$18:$18)-SUMIF($17:$17,$R$24,$18:$18)+100)/100</f>
        <v>1</v>
      </c>
      <c r="T219" s="493">
        <f>IF(D219="",0,ROUND($T$24*E219*G219*I219*K219*M219*O219*Q219*S219,0))</f>
        <v>0</v>
      </c>
      <c r="U219" s="802">
        <f t="shared" si="15"/>
        <v>0</v>
      </c>
    </row>
    <row r="220" spans="3:21">
      <c r="C220" s="967"/>
      <c r="D220" s="137"/>
      <c r="E220" s="53">
        <f>IF(D220="",1,(LOOKUP(D220,$3:$3,$4:$4)-LOOKUP($D$24,$3:$3,$4:$4)+100)/100)</f>
        <v>1</v>
      </c>
      <c r="F220" s="965"/>
      <c r="G220" s="53">
        <f>(SUMIF($5:$5,F220,$6:$6)-SUMIF($5:$5,$F$24,$6:$6)+100)/100</f>
        <v>0.01</v>
      </c>
      <c r="H220" s="965"/>
      <c r="I220" s="53">
        <f>(SUMIF($7:$7,H220,$8:$8)-SUMIF($7:$7,$H$24,$8:$8)+100)/100</f>
        <v>0.04</v>
      </c>
      <c r="J220" s="965"/>
      <c r="K220" s="53">
        <f>(SUMIF($9:$9,J220,$10:$10)-SUMIF($9:$9,$J$24,$10:$10)+100)/100</f>
        <v>0.04</v>
      </c>
      <c r="L220" s="965"/>
      <c r="M220" s="53">
        <f>(SUMIF($11:$11,L220,$12:$12)-SUMIF($11:$11,$L$24,$12:$12)+100)/100</f>
        <v>1</v>
      </c>
      <c r="N220" s="965"/>
      <c r="O220" s="53">
        <f>(SUMIF($13:$13,N220,$14:$14)-SUMIF($13:$13,$N$24,$14:$14)+100)/100</f>
        <v>1</v>
      </c>
      <c r="P220" s="965"/>
      <c r="Q220" s="53">
        <f>(SUMIF($15:$15,P220,$16:$16)-SUMIF($15:$15,$P$24,$16:$16)+100)/100</f>
        <v>1</v>
      </c>
      <c r="R220" s="965"/>
      <c r="S220" s="53">
        <f>(SUMIF($17:$17,R220,$18:$18)-SUMIF($17:$17,$R$24,$18:$18)+100)/100</f>
        <v>1</v>
      </c>
      <c r="T220" s="493">
        <f>IF(D220="",0,ROUND($T$24*E220*G220*I220*K220*M220*O220*Q220*S220,0))</f>
        <v>0</v>
      </c>
      <c r="U220" s="802">
        <f t="shared" si="15"/>
        <v>0</v>
      </c>
    </row>
    <row r="221" spans="3:21">
      <c r="C221" s="967"/>
      <c r="D221" s="137"/>
      <c r="E221" s="53">
        <f>IF(D221="",1,(LOOKUP(D221,$3:$3,$4:$4)-LOOKUP($D$24,$3:$3,$4:$4)+100)/100)</f>
        <v>1</v>
      </c>
      <c r="F221" s="965"/>
      <c r="G221" s="53">
        <f>(SUMIF($5:$5,F221,$6:$6)-SUMIF($5:$5,$F$24,$6:$6)+100)/100</f>
        <v>0.01</v>
      </c>
      <c r="H221" s="965"/>
      <c r="I221" s="53">
        <f>(SUMIF($7:$7,H221,$8:$8)-SUMIF($7:$7,$H$24,$8:$8)+100)/100</f>
        <v>0.04</v>
      </c>
      <c r="J221" s="965"/>
      <c r="K221" s="53">
        <f>(SUMIF($9:$9,J221,$10:$10)-SUMIF($9:$9,$J$24,$10:$10)+100)/100</f>
        <v>0.04</v>
      </c>
      <c r="L221" s="965"/>
      <c r="M221" s="53">
        <f>(SUMIF($11:$11,L221,$12:$12)-SUMIF($11:$11,$L$24,$12:$12)+100)/100</f>
        <v>1</v>
      </c>
      <c r="N221" s="965"/>
      <c r="O221" s="53">
        <f>(SUMIF($13:$13,N221,$14:$14)-SUMIF($13:$13,$N$24,$14:$14)+100)/100</f>
        <v>1</v>
      </c>
      <c r="P221" s="965"/>
      <c r="Q221" s="53">
        <f>(SUMIF($15:$15,P221,$16:$16)-SUMIF($15:$15,$P$24,$16:$16)+100)/100</f>
        <v>1</v>
      </c>
      <c r="R221" s="965"/>
      <c r="S221" s="53">
        <f>(SUMIF($17:$17,R221,$18:$18)-SUMIF($17:$17,$R$24,$18:$18)+100)/100</f>
        <v>1</v>
      </c>
      <c r="T221" s="493">
        <f>IF(D221="",0,ROUND($T$24*E221*G221*I221*K221*M221*O221*Q221*S221,0))</f>
        <v>0</v>
      </c>
      <c r="U221" s="802">
        <f t="shared" si="15"/>
        <v>0</v>
      </c>
    </row>
    <row r="222" spans="3:21">
      <c r="C222" s="967"/>
      <c r="D222" s="137"/>
      <c r="E222" s="53">
        <f>IF(D222="",1,(LOOKUP(D222,$3:$3,$4:$4)-LOOKUP($D$24,$3:$3,$4:$4)+100)/100)</f>
        <v>1</v>
      </c>
      <c r="F222" s="965"/>
      <c r="G222" s="53">
        <f>(SUMIF($5:$5,F222,$6:$6)-SUMIF($5:$5,$F$24,$6:$6)+100)/100</f>
        <v>0.01</v>
      </c>
      <c r="H222" s="965"/>
      <c r="I222" s="53">
        <f>(SUMIF($7:$7,H222,$8:$8)-SUMIF($7:$7,$H$24,$8:$8)+100)/100</f>
        <v>0.04</v>
      </c>
      <c r="J222" s="965"/>
      <c r="K222" s="53">
        <f>(SUMIF($9:$9,J222,$10:$10)-SUMIF($9:$9,$J$24,$10:$10)+100)/100</f>
        <v>0.04</v>
      </c>
      <c r="L222" s="965"/>
      <c r="M222" s="53">
        <f>(SUMIF($11:$11,L222,$12:$12)-SUMIF($11:$11,$L$24,$12:$12)+100)/100</f>
        <v>1</v>
      </c>
      <c r="N222" s="965"/>
      <c r="O222" s="53">
        <f>(SUMIF($13:$13,N222,$14:$14)-SUMIF($13:$13,$N$24,$14:$14)+100)/100</f>
        <v>1</v>
      </c>
      <c r="P222" s="965"/>
      <c r="Q222" s="53">
        <f>(SUMIF($15:$15,P222,$16:$16)-SUMIF($15:$15,$P$24,$16:$16)+100)/100</f>
        <v>1</v>
      </c>
      <c r="R222" s="965"/>
      <c r="S222" s="53">
        <f>(SUMIF($17:$17,R222,$18:$18)-SUMIF($17:$17,$R$24,$18:$18)+100)/100</f>
        <v>1</v>
      </c>
      <c r="T222" s="493">
        <f>IF(D222="",0,ROUND($T$24*E222*G222*I222*K222*M222*O222*Q222*S222,0))</f>
        <v>0</v>
      </c>
      <c r="U222" s="802">
        <f t="shared" si="15"/>
        <v>0</v>
      </c>
    </row>
    <row r="223" spans="3:21">
      <c r="C223" s="967"/>
      <c r="D223" s="137"/>
      <c r="E223" s="53">
        <f>IF(D223="",1,(LOOKUP(D223,$3:$3,$4:$4)-LOOKUP($D$24,$3:$3,$4:$4)+100)/100)</f>
        <v>1</v>
      </c>
      <c r="F223" s="965"/>
      <c r="G223" s="53">
        <f>(SUMIF($5:$5,F223,$6:$6)-SUMIF($5:$5,$F$24,$6:$6)+100)/100</f>
        <v>0.01</v>
      </c>
      <c r="H223" s="965"/>
      <c r="I223" s="53">
        <f>(SUMIF($7:$7,H223,$8:$8)-SUMIF($7:$7,$H$24,$8:$8)+100)/100</f>
        <v>0.04</v>
      </c>
      <c r="J223" s="965"/>
      <c r="K223" s="53">
        <f>(SUMIF($9:$9,J223,$10:$10)-SUMIF($9:$9,$J$24,$10:$10)+100)/100</f>
        <v>0.04</v>
      </c>
      <c r="L223" s="965"/>
      <c r="M223" s="53">
        <f>(SUMIF($11:$11,L223,$12:$12)-SUMIF($11:$11,$L$24,$12:$12)+100)/100</f>
        <v>1</v>
      </c>
      <c r="N223" s="965"/>
      <c r="O223" s="53">
        <f>(SUMIF($13:$13,N223,$14:$14)-SUMIF($13:$13,$N$24,$14:$14)+100)/100</f>
        <v>1</v>
      </c>
      <c r="P223" s="965"/>
      <c r="Q223" s="53">
        <f>(SUMIF($15:$15,P223,$16:$16)-SUMIF($15:$15,$P$24,$16:$16)+100)/100</f>
        <v>1</v>
      </c>
      <c r="R223" s="965"/>
      <c r="S223" s="53">
        <f>(SUMIF($17:$17,R223,$18:$18)-SUMIF($17:$17,$R$24,$18:$18)+100)/100</f>
        <v>1</v>
      </c>
      <c r="T223" s="493">
        <f>IF(D223="",0,ROUND($T$24*E223*G223*I223*K223*M223*O223*Q223*S223,0))</f>
        <v>0</v>
      </c>
      <c r="U223" s="802">
        <f t="shared" ref="U223:U286" si="16">ROUND(T223*D223/10000,0)</f>
        <v>0</v>
      </c>
    </row>
    <row r="224" spans="3:21">
      <c r="C224" s="967"/>
      <c r="D224" s="137"/>
      <c r="E224" s="53">
        <f>IF(D224="",1,(LOOKUP(D224,$3:$3,$4:$4)-LOOKUP($D$24,$3:$3,$4:$4)+100)/100)</f>
        <v>1</v>
      </c>
      <c r="F224" s="965"/>
      <c r="G224" s="53">
        <f>(SUMIF($5:$5,F224,$6:$6)-SUMIF($5:$5,$F$24,$6:$6)+100)/100</f>
        <v>0.01</v>
      </c>
      <c r="H224" s="965"/>
      <c r="I224" s="53">
        <f>(SUMIF($7:$7,H224,$8:$8)-SUMIF($7:$7,$H$24,$8:$8)+100)/100</f>
        <v>0.04</v>
      </c>
      <c r="J224" s="965"/>
      <c r="K224" s="53">
        <f>(SUMIF($9:$9,J224,$10:$10)-SUMIF($9:$9,$J$24,$10:$10)+100)/100</f>
        <v>0.04</v>
      </c>
      <c r="L224" s="965"/>
      <c r="M224" s="53">
        <f>(SUMIF($11:$11,L224,$12:$12)-SUMIF($11:$11,$L$24,$12:$12)+100)/100</f>
        <v>1</v>
      </c>
      <c r="N224" s="965"/>
      <c r="O224" s="53">
        <f>(SUMIF($13:$13,N224,$14:$14)-SUMIF($13:$13,$N$24,$14:$14)+100)/100</f>
        <v>1</v>
      </c>
      <c r="P224" s="965"/>
      <c r="Q224" s="53">
        <f>(SUMIF($15:$15,P224,$16:$16)-SUMIF($15:$15,$P$24,$16:$16)+100)/100</f>
        <v>1</v>
      </c>
      <c r="R224" s="965"/>
      <c r="S224" s="53">
        <f>(SUMIF($17:$17,R224,$18:$18)-SUMIF($17:$17,$R$24,$18:$18)+100)/100</f>
        <v>1</v>
      </c>
      <c r="T224" s="493">
        <f>IF(D224="",0,ROUND($T$24*E224*G224*I224*K224*M224*O224*Q224*S224,0))</f>
        <v>0</v>
      </c>
      <c r="U224" s="802">
        <f t="shared" si="16"/>
        <v>0</v>
      </c>
    </row>
    <row r="225" spans="3:21">
      <c r="C225" s="967"/>
      <c r="D225" s="137"/>
      <c r="E225" s="53">
        <f>IF(D225="",1,(LOOKUP(D225,$3:$3,$4:$4)-LOOKUP($D$24,$3:$3,$4:$4)+100)/100)</f>
        <v>1</v>
      </c>
      <c r="F225" s="965"/>
      <c r="G225" s="53">
        <f>(SUMIF($5:$5,F225,$6:$6)-SUMIF($5:$5,$F$24,$6:$6)+100)/100</f>
        <v>0.01</v>
      </c>
      <c r="H225" s="965"/>
      <c r="I225" s="53">
        <f>(SUMIF($7:$7,H225,$8:$8)-SUMIF($7:$7,$H$24,$8:$8)+100)/100</f>
        <v>0.04</v>
      </c>
      <c r="J225" s="965"/>
      <c r="K225" s="53">
        <f>(SUMIF($9:$9,J225,$10:$10)-SUMIF($9:$9,$J$24,$10:$10)+100)/100</f>
        <v>0.04</v>
      </c>
      <c r="L225" s="965"/>
      <c r="M225" s="53">
        <f>(SUMIF($11:$11,L225,$12:$12)-SUMIF($11:$11,$L$24,$12:$12)+100)/100</f>
        <v>1</v>
      </c>
      <c r="N225" s="965"/>
      <c r="O225" s="53">
        <f>(SUMIF($13:$13,N225,$14:$14)-SUMIF($13:$13,$N$24,$14:$14)+100)/100</f>
        <v>1</v>
      </c>
      <c r="P225" s="965"/>
      <c r="Q225" s="53">
        <f>(SUMIF($15:$15,P225,$16:$16)-SUMIF($15:$15,$P$24,$16:$16)+100)/100</f>
        <v>1</v>
      </c>
      <c r="R225" s="965"/>
      <c r="S225" s="53">
        <f>(SUMIF($17:$17,R225,$18:$18)-SUMIF($17:$17,$R$24,$18:$18)+100)/100</f>
        <v>1</v>
      </c>
      <c r="T225" s="493">
        <f>IF(D225="",0,ROUND($T$24*E225*G225*I225*K225*M225*O225*Q225*S225,0))</f>
        <v>0</v>
      </c>
      <c r="U225" s="802">
        <f t="shared" si="16"/>
        <v>0</v>
      </c>
    </row>
    <row r="226" spans="3:21">
      <c r="C226" s="967"/>
      <c r="D226" s="137"/>
      <c r="E226" s="53">
        <f>IF(D226="",1,(LOOKUP(D226,$3:$3,$4:$4)-LOOKUP($D$24,$3:$3,$4:$4)+100)/100)</f>
        <v>1</v>
      </c>
      <c r="F226" s="965"/>
      <c r="G226" s="53">
        <f>(SUMIF($5:$5,F226,$6:$6)-SUMIF($5:$5,$F$24,$6:$6)+100)/100</f>
        <v>0.01</v>
      </c>
      <c r="H226" s="965"/>
      <c r="I226" s="53">
        <f>(SUMIF($7:$7,H226,$8:$8)-SUMIF($7:$7,$H$24,$8:$8)+100)/100</f>
        <v>0.04</v>
      </c>
      <c r="J226" s="965"/>
      <c r="K226" s="53">
        <f>(SUMIF($9:$9,J226,$10:$10)-SUMIF($9:$9,$J$24,$10:$10)+100)/100</f>
        <v>0.04</v>
      </c>
      <c r="L226" s="965"/>
      <c r="M226" s="53">
        <f>(SUMIF($11:$11,L226,$12:$12)-SUMIF($11:$11,$L$24,$12:$12)+100)/100</f>
        <v>1</v>
      </c>
      <c r="N226" s="965"/>
      <c r="O226" s="53">
        <f>(SUMIF($13:$13,N226,$14:$14)-SUMIF($13:$13,$N$24,$14:$14)+100)/100</f>
        <v>1</v>
      </c>
      <c r="P226" s="965"/>
      <c r="Q226" s="53">
        <f>(SUMIF($15:$15,P226,$16:$16)-SUMIF($15:$15,$P$24,$16:$16)+100)/100</f>
        <v>1</v>
      </c>
      <c r="R226" s="965"/>
      <c r="S226" s="53">
        <f>(SUMIF($17:$17,R226,$18:$18)-SUMIF($17:$17,$R$24,$18:$18)+100)/100</f>
        <v>1</v>
      </c>
      <c r="T226" s="493">
        <f>IF(D226="",0,ROUND($T$24*E226*G226*I226*K226*M226*O226*Q226*S226,0))</f>
        <v>0</v>
      </c>
      <c r="U226" s="802">
        <f t="shared" si="16"/>
        <v>0</v>
      </c>
    </row>
    <row r="227" spans="3:21">
      <c r="C227" s="967"/>
      <c r="D227" s="137"/>
      <c r="E227" s="53">
        <f>IF(D227="",1,(LOOKUP(D227,$3:$3,$4:$4)-LOOKUP($D$24,$3:$3,$4:$4)+100)/100)</f>
        <v>1</v>
      </c>
      <c r="F227" s="965"/>
      <c r="G227" s="53">
        <f>(SUMIF($5:$5,F227,$6:$6)-SUMIF($5:$5,$F$24,$6:$6)+100)/100</f>
        <v>0.01</v>
      </c>
      <c r="H227" s="965"/>
      <c r="I227" s="53">
        <f>(SUMIF($7:$7,H227,$8:$8)-SUMIF($7:$7,$H$24,$8:$8)+100)/100</f>
        <v>0.04</v>
      </c>
      <c r="J227" s="965"/>
      <c r="K227" s="53">
        <f>(SUMIF($9:$9,J227,$10:$10)-SUMIF($9:$9,$J$24,$10:$10)+100)/100</f>
        <v>0.04</v>
      </c>
      <c r="L227" s="965"/>
      <c r="M227" s="53">
        <f>(SUMIF($11:$11,L227,$12:$12)-SUMIF($11:$11,$L$24,$12:$12)+100)/100</f>
        <v>1</v>
      </c>
      <c r="N227" s="965"/>
      <c r="O227" s="53">
        <f>(SUMIF($13:$13,N227,$14:$14)-SUMIF($13:$13,$N$24,$14:$14)+100)/100</f>
        <v>1</v>
      </c>
      <c r="P227" s="965"/>
      <c r="Q227" s="53">
        <f>(SUMIF($15:$15,P227,$16:$16)-SUMIF($15:$15,$P$24,$16:$16)+100)/100</f>
        <v>1</v>
      </c>
      <c r="R227" s="965"/>
      <c r="S227" s="53">
        <f>(SUMIF($17:$17,R227,$18:$18)-SUMIF($17:$17,$R$24,$18:$18)+100)/100</f>
        <v>1</v>
      </c>
      <c r="T227" s="493">
        <f>IF(D227="",0,ROUND($T$24*E227*G227*I227*K227*M227*O227*Q227*S227,0))</f>
        <v>0</v>
      </c>
      <c r="U227" s="802">
        <f t="shared" si="16"/>
        <v>0</v>
      </c>
    </row>
    <row r="228" spans="3:21">
      <c r="C228" s="967"/>
      <c r="D228" s="137"/>
      <c r="E228" s="53">
        <f>IF(D228="",1,(LOOKUP(D228,$3:$3,$4:$4)-LOOKUP($D$24,$3:$3,$4:$4)+100)/100)</f>
        <v>1</v>
      </c>
      <c r="F228" s="965"/>
      <c r="G228" s="53">
        <f>(SUMIF($5:$5,F228,$6:$6)-SUMIF($5:$5,$F$24,$6:$6)+100)/100</f>
        <v>0.01</v>
      </c>
      <c r="H228" s="965"/>
      <c r="I228" s="53">
        <f>(SUMIF($7:$7,H228,$8:$8)-SUMIF($7:$7,$H$24,$8:$8)+100)/100</f>
        <v>0.04</v>
      </c>
      <c r="J228" s="965"/>
      <c r="K228" s="53">
        <f>(SUMIF($9:$9,J228,$10:$10)-SUMIF($9:$9,$J$24,$10:$10)+100)/100</f>
        <v>0.04</v>
      </c>
      <c r="L228" s="965"/>
      <c r="M228" s="53">
        <f>(SUMIF($11:$11,L228,$12:$12)-SUMIF($11:$11,$L$24,$12:$12)+100)/100</f>
        <v>1</v>
      </c>
      <c r="N228" s="965"/>
      <c r="O228" s="53">
        <f>(SUMIF($13:$13,N228,$14:$14)-SUMIF($13:$13,$N$24,$14:$14)+100)/100</f>
        <v>1</v>
      </c>
      <c r="P228" s="965"/>
      <c r="Q228" s="53">
        <f>(SUMIF($15:$15,P228,$16:$16)-SUMIF($15:$15,$P$24,$16:$16)+100)/100</f>
        <v>1</v>
      </c>
      <c r="R228" s="965"/>
      <c r="S228" s="53">
        <f>(SUMIF($17:$17,R228,$18:$18)-SUMIF($17:$17,$R$24,$18:$18)+100)/100</f>
        <v>1</v>
      </c>
      <c r="T228" s="493">
        <f>IF(D228="",0,ROUND($T$24*E228*G228*I228*K228*M228*O228*Q228*S228,0))</f>
        <v>0</v>
      </c>
      <c r="U228" s="802">
        <f t="shared" si="16"/>
        <v>0</v>
      </c>
    </row>
    <row r="229" spans="3:21">
      <c r="C229" s="967"/>
      <c r="D229" s="137"/>
      <c r="E229" s="53">
        <f>IF(D229="",1,(LOOKUP(D229,$3:$3,$4:$4)-LOOKUP($D$24,$3:$3,$4:$4)+100)/100)</f>
        <v>1</v>
      </c>
      <c r="F229" s="965"/>
      <c r="G229" s="53">
        <f>(SUMIF($5:$5,F229,$6:$6)-SUMIF($5:$5,$F$24,$6:$6)+100)/100</f>
        <v>0.01</v>
      </c>
      <c r="H229" s="965"/>
      <c r="I229" s="53">
        <f>(SUMIF($7:$7,H229,$8:$8)-SUMIF($7:$7,$H$24,$8:$8)+100)/100</f>
        <v>0.04</v>
      </c>
      <c r="J229" s="965"/>
      <c r="K229" s="53">
        <f>(SUMIF($9:$9,J229,$10:$10)-SUMIF($9:$9,$J$24,$10:$10)+100)/100</f>
        <v>0.04</v>
      </c>
      <c r="L229" s="965"/>
      <c r="M229" s="53">
        <f>(SUMIF($11:$11,L229,$12:$12)-SUMIF($11:$11,$L$24,$12:$12)+100)/100</f>
        <v>1</v>
      </c>
      <c r="N229" s="965"/>
      <c r="O229" s="53">
        <f>(SUMIF($13:$13,N229,$14:$14)-SUMIF($13:$13,$N$24,$14:$14)+100)/100</f>
        <v>1</v>
      </c>
      <c r="P229" s="965"/>
      <c r="Q229" s="53">
        <f>(SUMIF($15:$15,P229,$16:$16)-SUMIF($15:$15,$P$24,$16:$16)+100)/100</f>
        <v>1</v>
      </c>
      <c r="R229" s="965"/>
      <c r="S229" s="53">
        <f>(SUMIF($17:$17,R229,$18:$18)-SUMIF($17:$17,$R$24,$18:$18)+100)/100</f>
        <v>1</v>
      </c>
      <c r="T229" s="493">
        <f>IF(D229="",0,ROUND($T$24*E229*G229*I229*K229*M229*O229*Q229*S229,0))</f>
        <v>0</v>
      </c>
      <c r="U229" s="802">
        <f t="shared" si="16"/>
        <v>0</v>
      </c>
    </row>
    <row r="230" spans="3:21">
      <c r="C230" s="967"/>
      <c r="D230" s="137"/>
      <c r="E230" s="53">
        <f>IF(D230="",1,(LOOKUP(D230,$3:$3,$4:$4)-LOOKUP($D$24,$3:$3,$4:$4)+100)/100)</f>
        <v>1</v>
      </c>
      <c r="F230" s="965"/>
      <c r="G230" s="53">
        <f>(SUMIF($5:$5,F230,$6:$6)-SUMIF($5:$5,$F$24,$6:$6)+100)/100</f>
        <v>0.01</v>
      </c>
      <c r="H230" s="965"/>
      <c r="I230" s="53">
        <f>(SUMIF($7:$7,H230,$8:$8)-SUMIF($7:$7,$H$24,$8:$8)+100)/100</f>
        <v>0.04</v>
      </c>
      <c r="J230" s="965"/>
      <c r="K230" s="53">
        <f>(SUMIF($9:$9,J230,$10:$10)-SUMIF($9:$9,$J$24,$10:$10)+100)/100</f>
        <v>0.04</v>
      </c>
      <c r="L230" s="965"/>
      <c r="M230" s="53">
        <f>(SUMIF($11:$11,L230,$12:$12)-SUMIF($11:$11,$L$24,$12:$12)+100)/100</f>
        <v>1</v>
      </c>
      <c r="N230" s="965"/>
      <c r="O230" s="53">
        <f>(SUMIF($13:$13,N230,$14:$14)-SUMIF($13:$13,$N$24,$14:$14)+100)/100</f>
        <v>1</v>
      </c>
      <c r="P230" s="965"/>
      <c r="Q230" s="53">
        <f>(SUMIF($15:$15,P230,$16:$16)-SUMIF($15:$15,$P$24,$16:$16)+100)/100</f>
        <v>1</v>
      </c>
      <c r="R230" s="965"/>
      <c r="S230" s="53">
        <f>(SUMIF($17:$17,R230,$18:$18)-SUMIF($17:$17,$R$24,$18:$18)+100)/100</f>
        <v>1</v>
      </c>
      <c r="T230" s="493">
        <f>IF(D230="",0,ROUND($T$24*E230*G230*I230*K230*M230*O230*Q230*S230,0))</f>
        <v>0</v>
      </c>
      <c r="U230" s="802">
        <f t="shared" si="16"/>
        <v>0</v>
      </c>
    </row>
    <row r="231" spans="3:21">
      <c r="C231" s="967"/>
      <c r="D231" s="137"/>
      <c r="E231" s="53">
        <f>IF(D231="",1,(LOOKUP(D231,$3:$3,$4:$4)-LOOKUP($D$24,$3:$3,$4:$4)+100)/100)</f>
        <v>1</v>
      </c>
      <c r="F231" s="965"/>
      <c r="G231" s="53">
        <f>(SUMIF($5:$5,F231,$6:$6)-SUMIF($5:$5,$F$24,$6:$6)+100)/100</f>
        <v>0.01</v>
      </c>
      <c r="H231" s="965"/>
      <c r="I231" s="53">
        <f>(SUMIF($7:$7,H231,$8:$8)-SUMIF($7:$7,$H$24,$8:$8)+100)/100</f>
        <v>0.04</v>
      </c>
      <c r="J231" s="965"/>
      <c r="K231" s="53">
        <f>(SUMIF($9:$9,J231,$10:$10)-SUMIF($9:$9,$J$24,$10:$10)+100)/100</f>
        <v>0.04</v>
      </c>
      <c r="L231" s="965"/>
      <c r="M231" s="53">
        <f>(SUMIF($11:$11,L231,$12:$12)-SUMIF($11:$11,$L$24,$12:$12)+100)/100</f>
        <v>1</v>
      </c>
      <c r="N231" s="965"/>
      <c r="O231" s="53">
        <f>(SUMIF($13:$13,N231,$14:$14)-SUMIF($13:$13,$N$24,$14:$14)+100)/100</f>
        <v>1</v>
      </c>
      <c r="P231" s="965"/>
      <c r="Q231" s="53">
        <f>(SUMIF($15:$15,P231,$16:$16)-SUMIF($15:$15,$P$24,$16:$16)+100)/100</f>
        <v>1</v>
      </c>
      <c r="R231" s="965"/>
      <c r="S231" s="53">
        <f>(SUMIF($17:$17,R231,$18:$18)-SUMIF($17:$17,$R$24,$18:$18)+100)/100</f>
        <v>1</v>
      </c>
      <c r="T231" s="493">
        <f>IF(D231="",0,ROUND($T$24*E231*G231*I231*K231*M231*O231*Q231*S231,0))</f>
        <v>0</v>
      </c>
      <c r="U231" s="802">
        <f t="shared" si="16"/>
        <v>0</v>
      </c>
    </row>
    <row r="232" spans="3:21">
      <c r="C232" s="967"/>
      <c r="D232" s="137"/>
      <c r="E232" s="53">
        <f>IF(D232="",1,(LOOKUP(D232,$3:$3,$4:$4)-LOOKUP($D$24,$3:$3,$4:$4)+100)/100)</f>
        <v>1</v>
      </c>
      <c r="F232" s="965"/>
      <c r="G232" s="53">
        <f>(SUMIF($5:$5,F232,$6:$6)-SUMIF($5:$5,$F$24,$6:$6)+100)/100</f>
        <v>0.01</v>
      </c>
      <c r="H232" s="965"/>
      <c r="I232" s="53">
        <f>(SUMIF($7:$7,H232,$8:$8)-SUMIF($7:$7,$H$24,$8:$8)+100)/100</f>
        <v>0.04</v>
      </c>
      <c r="J232" s="965"/>
      <c r="K232" s="53">
        <f>(SUMIF($9:$9,J232,$10:$10)-SUMIF($9:$9,$J$24,$10:$10)+100)/100</f>
        <v>0.04</v>
      </c>
      <c r="L232" s="965"/>
      <c r="M232" s="53">
        <f>(SUMIF($11:$11,L232,$12:$12)-SUMIF($11:$11,$L$24,$12:$12)+100)/100</f>
        <v>1</v>
      </c>
      <c r="N232" s="965"/>
      <c r="O232" s="53">
        <f>(SUMIF($13:$13,N232,$14:$14)-SUMIF($13:$13,$N$24,$14:$14)+100)/100</f>
        <v>1</v>
      </c>
      <c r="P232" s="965"/>
      <c r="Q232" s="53">
        <f>(SUMIF($15:$15,P232,$16:$16)-SUMIF($15:$15,$P$24,$16:$16)+100)/100</f>
        <v>1</v>
      </c>
      <c r="R232" s="965"/>
      <c r="S232" s="53">
        <f>(SUMIF($17:$17,R232,$18:$18)-SUMIF($17:$17,$R$24,$18:$18)+100)/100</f>
        <v>1</v>
      </c>
      <c r="T232" s="493">
        <f>IF(D232="",0,ROUND($T$24*E232*G232*I232*K232*M232*O232*Q232*S232,0))</f>
        <v>0</v>
      </c>
      <c r="U232" s="802">
        <f t="shared" si="16"/>
        <v>0</v>
      </c>
    </row>
    <row r="233" spans="3:21">
      <c r="C233" s="967"/>
      <c r="D233" s="137"/>
      <c r="E233" s="53">
        <f>IF(D233="",1,(LOOKUP(D233,$3:$3,$4:$4)-LOOKUP($D$24,$3:$3,$4:$4)+100)/100)</f>
        <v>1</v>
      </c>
      <c r="F233" s="965"/>
      <c r="G233" s="53">
        <f>(SUMIF($5:$5,F233,$6:$6)-SUMIF($5:$5,$F$24,$6:$6)+100)/100</f>
        <v>0.01</v>
      </c>
      <c r="H233" s="965"/>
      <c r="I233" s="53">
        <f>(SUMIF($7:$7,H233,$8:$8)-SUMIF($7:$7,$H$24,$8:$8)+100)/100</f>
        <v>0.04</v>
      </c>
      <c r="J233" s="965"/>
      <c r="K233" s="53">
        <f>(SUMIF($9:$9,J233,$10:$10)-SUMIF($9:$9,$J$24,$10:$10)+100)/100</f>
        <v>0.04</v>
      </c>
      <c r="L233" s="965"/>
      <c r="M233" s="53">
        <f>(SUMIF($11:$11,L233,$12:$12)-SUMIF($11:$11,$L$24,$12:$12)+100)/100</f>
        <v>1</v>
      </c>
      <c r="N233" s="965"/>
      <c r="O233" s="53">
        <f>(SUMIF($13:$13,N233,$14:$14)-SUMIF($13:$13,$N$24,$14:$14)+100)/100</f>
        <v>1</v>
      </c>
      <c r="P233" s="965"/>
      <c r="Q233" s="53">
        <f>(SUMIF($15:$15,P233,$16:$16)-SUMIF($15:$15,$P$24,$16:$16)+100)/100</f>
        <v>1</v>
      </c>
      <c r="R233" s="965"/>
      <c r="S233" s="53">
        <f>(SUMIF($17:$17,R233,$18:$18)-SUMIF($17:$17,$R$24,$18:$18)+100)/100</f>
        <v>1</v>
      </c>
      <c r="T233" s="493">
        <f>IF(D233="",0,ROUND($T$24*E233*G233*I233*K233*M233*O233*Q233*S233,0))</f>
        <v>0</v>
      </c>
      <c r="U233" s="802">
        <f t="shared" si="16"/>
        <v>0</v>
      </c>
    </row>
    <row r="234" spans="3:21">
      <c r="C234" s="967"/>
      <c r="D234" s="137"/>
      <c r="E234" s="53">
        <f>IF(D234="",1,(LOOKUP(D234,$3:$3,$4:$4)-LOOKUP($D$24,$3:$3,$4:$4)+100)/100)</f>
        <v>1</v>
      </c>
      <c r="F234" s="965"/>
      <c r="G234" s="53">
        <f>(SUMIF($5:$5,F234,$6:$6)-SUMIF($5:$5,$F$24,$6:$6)+100)/100</f>
        <v>0.01</v>
      </c>
      <c r="H234" s="965"/>
      <c r="I234" s="53">
        <f>(SUMIF($7:$7,H234,$8:$8)-SUMIF($7:$7,$H$24,$8:$8)+100)/100</f>
        <v>0.04</v>
      </c>
      <c r="J234" s="965"/>
      <c r="K234" s="53">
        <f>(SUMIF($9:$9,J234,$10:$10)-SUMIF($9:$9,$J$24,$10:$10)+100)/100</f>
        <v>0.04</v>
      </c>
      <c r="L234" s="965"/>
      <c r="M234" s="53">
        <f>(SUMIF($11:$11,L234,$12:$12)-SUMIF($11:$11,$L$24,$12:$12)+100)/100</f>
        <v>1</v>
      </c>
      <c r="N234" s="965"/>
      <c r="O234" s="53">
        <f>(SUMIF($13:$13,N234,$14:$14)-SUMIF($13:$13,$N$24,$14:$14)+100)/100</f>
        <v>1</v>
      </c>
      <c r="P234" s="965"/>
      <c r="Q234" s="53">
        <f>(SUMIF($15:$15,P234,$16:$16)-SUMIF($15:$15,$P$24,$16:$16)+100)/100</f>
        <v>1</v>
      </c>
      <c r="R234" s="965"/>
      <c r="S234" s="53">
        <f>(SUMIF($17:$17,R234,$18:$18)-SUMIF($17:$17,$R$24,$18:$18)+100)/100</f>
        <v>1</v>
      </c>
      <c r="T234" s="493">
        <f>IF(D234="",0,ROUND($T$24*E234*G234*I234*K234*M234*O234*Q234*S234,0))</f>
        <v>0</v>
      </c>
      <c r="U234" s="802">
        <f t="shared" si="16"/>
        <v>0</v>
      </c>
    </row>
    <row r="235" spans="3:21">
      <c r="C235" s="967"/>
      <c r="D235" s="137"/>
      <c r="E235" s="53">
        <f>IF(D235="",1,(LOOKUP(D235,$3:$3,$4:$4)-LOOKUP($D$24,$3:$3,$4:$4)+100)/100)</f>
        <v>1</v>
      </c>
      <c r="F235" s="965"/>
      <c r="G235" s="53">
        <f>(SUMIF($5:$5,F235,$6:$6)-SUMIF($5:$5,$F$24,$6:$6)+100)/100</f>
        <v>0.01</v>
      </c>
      <c r="H235" s="965"/>
      <c r="I235" s="53">
        <f>(SUMIF($7:$7,H235,$8:$8)-SUMIF($7:$7,$H$24,$8:$8)+100)/100</f>
        <v>0.04</v>
      </c>
      <c r="J235" s="965"/>
      <c r="K235" s="53">
        <f>(SUMIF($9:$9,J235,$10:$10)-SUMIF($9:$9,$J$24,$10:$10)+100)/100</f>
        <v>0.04</v>
      </c>
      <c r="L235" s="965"/>
      <c r="M235" s="53">
        <f>(SUMIF($11:$11,L235,$12:$12)-SUMIF($11:$11,$L$24,$12:$12)+100)/100</f>
        <v>1</v>
      </c>
      <c r="N235" s="965"/>
      <c r="O235" s="53">
        <f>(SUMIF($13:$13,N235,$14:$14)-SUMIF($13:$13,$N$24,$14:$14)+100)/100</f>
        <v>1</v>
      </c>
      <c r="P235" s="965"/>
      <c r="Q235" s="53">
        <f>(SUMIF($15:$15,P235,$16:$16)-SUMIF($15:$15,$P$24,$16:$16)+100)/100</f>
        <v>1</v>
      </c>
      <c r="R235" s="965"/>
      <c r="S235" s="53">
        <f>(SUMIF($17:$17,R235,$18:$18)-SUMIF($17:$17,$R$24,$18:$18)+100)/100</f>
        <v>1</v>
      </c>
      <c r="T235" s="493">
        <f>IF(D235="",0,ROUND($T$24*E235*G235*I235*K235*M235*O235*Q235*S235,0))</f>
        <v>0</v>
      </c>
      <c r="U235" s="802">
        <f t="shared" si="16"/>
        <v>0</v>
      </c>
    </row>
    <row r="236" spans="3:21">
      <c r="C236" s="967"/>
      <c r="D236" s="137"/>
      <c r="E236" s="53">
        <f>IF(D236="",1,(LOOKUP(D236,$3:$3,$4:$4)-LOOKUP($D$24,$3:$3,$4:$4)+100)/100)</f>
        <v>1</v>
      </c>
      <c r="F236" s="965"/>
      <c r="G236" s="53">
        <f>(SUMIF($5:$5,F236,$6:$6)-SUMIF($5:$5,$F$24,$6:$6)+100)/100</f>
        <v>0.01</v>
      </c>
      <c r="H236" s="965"/>
      <c r="I236" s="53">
        <f>(SUMIF($7:$7,H236,$8:$8)-SUMIF($7:$7,$H$24,$8:$8)+100)/100</f>
        <v>0.04</v>
      </c>
      <c r="J236" s="965"/>
      <c r="K236" s="53">
        <f>(SUMIF($9:$9,J236,$10:$10)-SUMIF($9:$9,$J$24,$10:$10)+100)/100</f>
        <v>0.04</v>
      </c>
      <c r="L236" s="965"/>
      <c r="M236" s="53">
        <f>(SUMIF($11:$11,L236,$12:$12)-SUMIF($11:$11,$L$24,$12:$12)+100)/100</f>
        <v>1</v>
      </c>
      <c r="N236" s="965"/>
      <c r="O236" s="53">
        <f>(SUMIF($13:$13,N236,$14:$14)-SUMIF($13:$13,$N$24,$14:$14)+100)/100</f>
        <v>1</v>
      </c>
      <c r="P236" s="965"/>
      <c r="Q236" s="53">
        <f>(SUMIF($15:$15,P236,$16:$16)-SUMIF($15:$15,$P$24,$16:$16)+100)/100</f>
        <v>1</v>
      </c>
      <c r="R236" s="965"/>
      <c r="S236" s="53">
        <f>(SUMIF($17:$17,R236,$18:$18)-SUMIF($17:$17,$R$24,$18:$18)+100)/100</f>
        <v>1</v>
      </c>
      <c r="T236" s="493">
        <f>IF(D236="",0,ROUND($T$24*E236*G236*I236*K236*M236*O236*Q236*S236,0))</f>
        <v>0</v>
      </c>
      <c r="U236" s="802">
        <f t="shared" si="16"/>
        <v>0</v>
      </c>
    </row>
    <row r="237" spans="3:21">
      <c r="C237" s="967"/>
      <c r="D237" s="137"/>
      <c r="E237" s="53">
        <f>IF(D237="",1,(LOOKUP(D237,$3:$3,$4:$4)-LOOKUP($D$24,$3:$3,$4:$4)+100)/100)</f>
        <v>1</v>
      </c>
      <c r="F237" s="965"/>
      <c r="G237" s="53">
        <f>(SUMIF($5:$5,F237,$6:$6)-SUMIF($5:$5,$F$24,$6:$6)+100)/100</f>
        <v>0.01</v>
      </c>
      <c r="H237" s="965"/>
      <c r="I237" s="53">
        <f>(SUMIF($7:$7,H237,$8:$8)-SUMIF($7:$7,$H$24,$8:$8)+100)/100</f>
        <v>0.04</v>
      </c>
      <c r="J237" s="965"/>
      <c r="K237" s="53">
        <f>(SUMIF($9:$9,J237,$10:$10)-SUMIF($9:$9,$J$24,$10:$10)+100)/100</f>
        <v>0.04</v>
      </c>
      <c r="L237" s="965"/>
      <c r="M237" s="53">
        <f>(SUMIF($11:$11,L237,$12:$12)-SUMIF($11:$11,$L$24,$12:$12)+100)/100</f>
        <v>1</v>
      </c>
      <c r="N237" s="965"/>
      <c r="O237" s="53">
        <f>(SUMIF($13:$13,N237,$14:$14)-SUMIF($13:$13,$N$24,$14:$14)+100)/100</f>
        <v>1</v>
      </c>
      <c r="P237" s="965"/>
      <c r="Q237" s="53">
        <f>(SUMIF($15:$15,P237,$16:$16)-SUMIF($15:$15,$P$24,$16:$16)+100)/100</f>
        <v>1</v>
      </c>
      <c r="R237" s="965"/>
      <c r="S237" s="53">
        <f>(SUMIF($17:$17,R237,$18:$18)-SUMIF($17:$17,$R$24,$18:$18)+100)/100</f>
        <v>1</v>
      </c>
      <c r="T237" s="493">
        <f>IF(D237="",0,ROUND($T$24*E237*G237*I237*K237*M237*O237*Q237*S237,0))</f>
        <v>0</v>
      </c>
      <c r="U237" s="802">
        <f t="shared" si="16"/>
        <v>0</v>
      </c>
    </row>
    <row r="238" spans="3:21">
      <c r="C238" s="967"/>
      <c r="D238" s="137"/>
      <c r="E238" s="53">
        <f>IF(D238="",1,(LOOKUP(D238,$3:$3,$4:$4)-LOOKUP($D$24,$3:$3,$4:$4)+100)/100)</f>
        <v>1</v>
      </c>
      <c r="F238" s="965"/>
      <c r="G238" s="53">
        <f>(SUMIF($5:$5,F238,$6:$6)-SUMIF($5:$5,$F$24,$6:$6)+100)/100</f>
        <v>0.01</v>
      </c>
      <c r="H238" s="965"/>
      <c r="I238" s="53">
        <f>(SUMIF($7:$7,H238,$8:$8)-SUMIF($7:$7,$H$24,$8:$8)+100)/100</f>
        <v>0.04</v>
      </c>
      <c r="J238" s="965"/>
      <c r="K238" s="53">
        <f>(SUMIF($9:$9,J238,$10:$10)-SUMIF($9:$9,$J$24,$10:$10)+100)/100</f>
        <v>0.04</v>
      </c>
      <c r="L238" s="965"/>
      <c r="M238" s="53">
        <f>(SUMIF($11:$11,L238,$12:$12)-SUMIF($11:$11,$L$24,$12:$12)+100)/100</f>
        <v>1</v>
      </c>
      <c r="N238" s="965"/>
      <c r="O238" s="53">
        <f>(SUMIF($13:$13,N238,$14:$14)-SUMIF($13:$13,$N$24,$14:$14)+100)/100</f>
        <v>1</v>
      </c>
      <c r="P238" s="965"/>
      <c r="Q238" s="53">
        <f>(SUMIF($15:$15,P238,$16:$16)-SUMIF($15:$15,$P$24,$16:$16)+100)/100</f>
        <v>1</v>
      </c>
      <c r="R238" s="965"/>
      <c r="S238" s="53">
        <f>(SUMIF($17:$17,R238,$18:$18)-SUMIF($17:$17,$R$24,$18:$18)+100)/100</f>
        <v>1</v>
      </c>
      <c r="T238" s="493">
        <f>IF(D238="",0,ROUND($T$24*E238*G238*I238*K238*M238*O238*Q238*S238,0))</f>
        <v>0</v>
      </c>
      <c r="U238" s="802">
        <f t="shared" si="16"/>
        <v>0</v>
      </c>
    </row>
    <row r="239" spans="3:21">
      <c r="C239" s="967"/>
      <c r="D239" s="137"/>
      <c r="E239" s="53">
        <f>IF(D239="",1,(LOOKUP(D239,$3:$3,$4:$4)-LOOKUP($D$24,$3:$3,$4:$4)+100)/100)</f>
        <v>1</v>
      </c>
      <c r="F239" s="965"/>
      <c r="G239" s="53">
        <f>(SUMIF($5:$5,F239,$6:$6)-SUMIF($5:$5,$F$24,$6:$6)+100)/100</f>
        <v>0.01</v>
      </c>
      <c r="H239" s="965"/>
      <c r="I239" s="53">
        <f>(SUMIF($7:$7,H239,$8:$8)-SUMIF($7:$7,$H$24,$8:$8)+100)/100</f>
        <v>0.04</v>
      </c>
      <c r="J239" s="965"/>
      <c r="K239" s="53">
        <f>(SUMIF($9:$9,J239,$10:$10)-SUMIF($9:$9,$J$24,$10:$10)+100)/100</f>
        <v>0.04</v>
      </c>
      <c r="L239" s="965"/>
      <c r="M239" s="53">
        <f>(SUMIF($11:$11,L239,$12:$12)-SUMIF($11:$11,$L$24,$12:$12)+100)/100</f>
        <v>1</v>
      </c>
      <c r="N239" s="965"/>
      <c r="O239" s="53">
        <f>(SUMIF($13:$13,N239,$14:$14)-SUMIF($13:$13,$N$24,$14:$14)+100)/100</f>
        <v>1</v>
      </c>
      <c r="P239" s="965"/>
      <c r="Q239" s="53">
        <f>(SUMIF($15:$15,P239,$16:$16)-SUMIF($15:$15,$P$24,$16:$16)+100)/100</f>
        <v>1</v>
      </c>
      <c r="R239" s="965"/>
      <c r="S239" s="53">
        <f>(SUMIF($17:$17,R239,$18:$18)-SUMIF($17:$17,$R$24,$18:$18)+100)/100</f>
        <v>1</v>
      </c>
      <c r="T239" s="493">
        <f>IF(D239="",0,ROUND($T$24*E239*G239*I239*K239*M239*O239*Q239*S239,0))</f>
        <v>0</v>
      </c>
      <c r="U239" s="802">
        <f t="shared" si="16"/>
        <v>0</v>
      </c>
    </row>
    <row r="240" spans="3:21">
      <c r="C240" s="967"/>
      <c r="D240" s="137"/>
      <c r="E240" s="53">
        <f>IF(D240="",1,(LOOKUP(D240,$3:$3,$4:$4)-LOOKUP($D$24,$3:$3,$4:$4)+100)/100)</f>
        <v>1</v>
      </c>
      <c r="F240" s="965"/>
      <c r="G240" s="53">
        <f>(SUMIF($5:$5,F240,$6:$6)-SUMIF($5:$5,$F$24,$6:$6)+100)/100</f>
        <v>0.01</v>
      </c>
      <c r="H240" s="965"/>
      <c r="I240" s="53">
        <f>(SUMIF($7:$7,H240,$8:$8)-SUMIF($7:$7,$H$24,$8:$8)+100)/100</f>
        <v>0.04</v>
      </c>
      <c r="J240" s="965"/>
      <c r="K240" s="53">
        <f>(SUMIF($9:$9,J240,$10:$10)-SUMIF($9:$9,$J$24,$10:$10)+100)/100</f>
        <v>0.04</v>
      </c>
      <c r="L240" s="965"/>
      <c r="M240" s="53">
        <f>(SUMIF($11:$11,L240,$12:$12)-SUMIF($11:$11,$L$24,$12:$12)+100)/100</f>
        <v>1</v>
      </c>
      <c r="N240" s="965"/>
      <c r="O240" s="53">
        <f>(SUMIF($13:$13,N240,$14:$14)-SUMIF($13:$13,$N$24,$14:$14)+100)/100</f>
        <v>1</v>
      </c>
      <c r="P240" s="965"/>
      <c r="Q240" s="53">
        <f>(SUMIF($15:$15,P240,$16:$16)-SUMIF($15:$15,$P$24,$16:$16)+100)/100</f>
        <v>1</v>
      </c>
      <c r="R240" s="965"/>
      <c r="S240" s="53">
        <f>(SUMIF($17:$17,R240,$18:$18)-SUMIF($17:$17,$R$24,$18:$18)+100)/100</f>
        <v>1</v>
      </c>
      <c r="T240" s="493">
        <f>IF(D240="",0,ROUND($T$24*E240*G240*I240*K240*M240*O240*Q240*S240,0))</f>
        <v>0</v>
      </c>
      <c r="U240" s="802">
        <f t="shared" si="16"/>
        <v>0</v>
      </c>
    </row>
    <row r="241" spans="3:21">
      <c r="C241" s="967"/>
      <c r="D241" s="137"/>
      <c r="E241" s="53">
        <f>IF(D241="",1,(LOOKUP(D241,$3:$3,$4:$4)-LOOKUP($D$24,$3:$3,$4:$4)+100)/100)</f>
        <v>1</v>
      </c>
      <c r="F241" s="965"/>
      <c r="G241" s="53">
        <f>(SUMIF($5:$5,F241,$6:$6)-SUMIF($5:$5,$F$24,$6:$6)+100)/100</f>
        <v>0.01</v>
      </c>
      <c r="H241" s="965"/>
      <c r="I241" s="53">
        <f>(SUMIF($7:$7,H241,$8:$8)-SUMIF($7:$7,$H$24,$8:$8)+100)/100</f>
        <v>0.04</v>
      </c>
      <c r="J241" s="965"/>
      <c r="K241" s="53">
        <f>(SUMIF($9:$9,J241,$10:$10)-SUMIF($9:$9,$J$24,$10:$10)+100)/100</f>
        <v>0.04</v>
      </c>
      <c r="L241" s="965"/>
      <c r="M241" s="53">
        <f>(SUMIF($11:$11,L241,$12:$12)-SUMIF($11:$11,$L$24,$12:$12)+100)/100</f>
        <v>1</v>
      </c>
      <c r="N241" s="965"/>
      <c r="O241" s="53">
        <f>(SUMIF($13:$13,N241,$14:$14)-SUMIF($13:$13,$N$24,$14:$14)+100)/100</f>
        <v>1</v>
      </c>
      <c r="P241" s="965"/>
      <c r="Q241" s="53">
        <f>(SUMIF($15:$15,P241,$16:$16)-SUMIF($15:$15,$P$24,$16:$16)+100)/100</f>
        <v>1</v>
      </c>
      <c r="R241" s="965"/>
      <c r="S241" s="53">
        <f>(SUMIF($17:$17,R241,$18:$18)-SUMIF($17:$17,$R$24,$18:$18)+100)/100</f>
        <v>1</v>
      </c>
      <c r="T241" s="493">
        <f>IF(D241="",0,ROUND($T$24*E241*G241*I241*K241*M241*O241*Q241*S241,0))</f>
        <v>0</v>
      </c>
      <c r="U241" s="802">
        <f t="shared" si="16"/>
        <v>0</v>
      </c>
    </row>
    <row r="242" spans="3:21">
      <c r="C242" s="967"/>
      <c r="D242" s="137"/>
      <c r="E242" s="53">
        <f>IF(D242="",1,(LOOKUP(D242,$3:$3,$4:$4)-LOOKUP($D$24,$3:$3,$4:$4)+100)/100)</f>
        <v>1</v>
      </c>
      <c r="F242" s="965"/>
      <c r="G242" s="53">
        <f>(SUMIF($5:$5,F242,$6:$6)-SUMIF($5:$5,$F$24,$6:$6)+100)/100</f>
        <v>0.01</v>
      </c>
      <c r="H242" s="965"/>
      <c r="I242" s="53">
        <f>(SUMIF($7:$7,H242,$8:$8)-SUMIF($7:$7,$H$24,$8:$8)+100)/100</f>
        <v>0.04</v>
      </c>
      <c r="J242" s="965"/>
      <c r="K242" s="53">
        <f>(SUMIF($9:$9,J242,$10:$10)-SUMIF($9:$9,$J$24,$10:$10)+100)/100</f>
        <v>0.04</v>
      </c>
      <c r="L242" s="965"/>
      <c r="M242" s="53">
        <f>(SUMIF($11:$11,L242,$12:$12)-SUMIF($11:$11,$L$24,$12:$12)+100)/100</f>
        <v>1</v>
      </c>
      <c r="N242" s="965"/>
      <c r="O242" s="53">
        <f>(SUMIF($13:$13,N242,$14:$14)-SUMIF($13:$13,$N$24,$14:$14)+100)/100</f>
        <v>1</v>
      </c>
      <c r="P242" s="965"/>
      <c r="Q242" s="53">
        <f>(SUMIF($15:$15,P242,$16:$16)-SUMIF($15:$15,$P$24,$16:$16)+100)/100</f>
        <v>1</v>
      </c>
      <c r="R242" s="965"/>
      <c r="S242" s="53">
        <f>(SUMIF($17:$17,R242,$18:$18)-SUMIF($17:$17,$R$24,$18:$18)+100)/100</f>
        <v>1</v>
      </c>
      <c r="T242" s="493">
        <f>IF(D242="",0,ROUND($T$24*E242*G242*I242*K242*M242*O242*Q242*S242,0))</f>
        <v>0</v>
      </c>
      <c r="U242" s="802">
        <f t="shared" si="16"/>
        <v>0</v>
      </c>
    </row>
    <row r="243" spans="3:21">
      <c r="C243" s="967"/>
      <c r="D243" s="137"/>
      <c r="E243" s="53">
        <f>IF(D243="",1,(LOOKUP(D243,$3:$3,$4:$4)-LOOKUP($D$24,$3:$3,$4:$4)+100)/100)</f>
        <v>1</v>
      </c>
      <c r="F243" s="965"/>
      <c r="G243" s="53">
        <f>(SUMIF($5:$5,F243,$6:$6)-SUMIF($5:$5,$F$24,$6:$6)+100)/100</f>
        <v>0.01</v>
      </c>
      <c r="H243" s="965"/>
      <c r="I243" s="53">
        <f>(SUMIF($7:$7,H243,$8:$8)-SUMIF($7:$7,$H$24,$8:$8)+100)/100</f>
        <v>0.04</v>
      </c>
      <c r="J243" s="965"/>
      <c r="K243" s="53">
        <f>(SUMIF($9:$9,J243,$10:$10)-SUMIF($9:$9,$J$24,$10:$10)+100)/100</f>
        <v>0.04</v>
      </c>
      <c r="L243" s="965"/>
      <c r="M243" s="53">
        <f>(SUMIF($11:$11,L243,$12:$12)-SUMIF($11:$11,$L$24,$12:$12)+100)/100</f>
        <v>1</v>
      </c>
      <c r="N243" s="965"/>
      <c r="O243" s="53">
        <f>(SUMIF($13:$13,N243,$14:$14)-SUMIF($13:$13,$N$24,$14:$14)+100)/100</f>
        <v>1</v>
      </c>
      <c r="P243" s="965"/>
      <c r="Q243" s="53">
        <f>(SUMIF($15:$15,P243,$16:$16)-SUMIF($15:$15,$P$24,$16:$16)+100)/100</f>
        <v>1</v>
      </c>
      <c r="R243" s="965"/>
      <c r="S243" s="53">
        <f>(SUMIF($17:$17,R243,$18:$18)-SUMIF($17:$17,$R$24,$18:$18)+100)/100</f>
        <v>1</v>
      </c>
      <c r="T243" s="493">
        <f>IF(D243="",0,ROUND($T$24*E243*G243*I243*K243*M243*O243*Q243*S243,0))</f>
        <v>0</v>
      </c>
      <c r="U243" s="802">
        <f t="shared" si="16"/>
        <v>0</v>
      </c>
    </row>
    <row r="244" spans="3:21">
      <c r="C244" s="967"/>
      <c r="D244" s="137"/>
      <c r="E244" s="53">
        <f>IF(D244="",1,(LOOKUP(D244,$3:$3,$4:$4)-LOOKUP($D$24,$3:$3,$4:$4)+100)/100)</f>
        <v>1</v>
      </c>
      <c r="F244" s="965"/>
      <c r="G244" s="53">
        <f>(SUMIF($5:$5,F244,$6:$6)-SUMIF($5:$5,$F$24,$6:$6)+100)/100</f>
        <v>0.01</v>
      </c>
      <c r="H244" s="965"/>
      <c r="I244" s="53">
        <f>(SUMIF($7:$7,H244,$8:$8)-SUMIF($7:$7,$H$24,$8:$8)+100)/100</f>
        <v>0.04</v>
      </c>
      <c r="J244" s="965"/>
      <c r="K244" s="53">
        <f>(SUMIF($9:$9,J244,$10:$10)-SUMIF($9:$9,$J$24,$10:$10)+100)/100</f>
        <v>0.04</v>
      </c>
      <c r="L244" s="965"/>
      <c r="M244" s="53">
        <f>(SUMIF($11:$11,L244,$12:$12)-SUMIF($11:$11,$L$24,$12:$12)+100)/100</f>
        <v>1</v>
      </c>
      <c r="N244" s="965"/>
      <c r="O244" s="53">
        <f>(SUMIF($13:$13,N244,$14:$14)-SUMIF($13:$13,$N$24,$14:$14)+100)/100</f>
        <v>1</v>
      </c>
      <c r="P244" s="965"/>
      <c r="Q244" s="53">
        <f>(SUMIF($15:$15,P244,$16:$16)-SUMIF($15:$15,$P$24,$16:$16)+100)/100</f>
        <v>1</v>
      </c>
      <c r="R244" s="965"/>
      <c r="S244" s="53">
        <f>(SUMIF($17:$17,R244,$18:$18)-SUMIF($17:$17,$R$24,$18:$18)+100)/100</f>
        <v>1</v>
      </c>
      <c r="T244" s="493">
        <f>IF(D244="",0,ROUND($T$24*E244*G244*I244*K244*M244*O244*Q244*S244,0))</f>
        <v>0</v>
      </c>
      <c r="U244" s="802">
        <f t="shared" si="16"/>
        <v>0</v>
      </c>
    </row>
    <row r="245" spans="3:21">
      <c r="C245" s="967"/>
      <c r="D245" s="137"/>
      <c r="E245" s="53">
        <f>IF(D245="",1,(LOOKUP(D245,$3:$3,$4:$4)-LOOKUP($D$24,$3:$3,$4:$4)+100)/100)</f>
        <v>1</v>
      </c>
      <c r="F245" s="965"/>
      <c r="G245" s="53">
        <f>(SUMIF($5:$5,F245,$6:$6)-SUMIF($5:$5,$F$24,$6:$6)+100)/100</f>
        <v>0.01</v>
      </c>
      <c r="H245" s="965"/>
      <c r="I245" s="53">
        <f>(SUMIF($7:$7,H245,$8:$8)-SUMIF($7:$7,$H$24,$8:$8)+100)/100</f>
        <v>0.04</v>
      </c>
      <c r="J245" s="965"/>
      <c r="K245" s="53">
        <f>(SUMIF($9:$9,J245,$10:$10)-SUMIF($9:$9,$J$24,$10:$10)+100)/100</f>
        <v>0.04</v>
      </c>
      <c r="L245" s="965"/>
      <c r="M245" s="53">
        <f>(SUMIF($11:$11,L245,$12:$12)-SUMIF($11:$11,$L$24,$12:$12)+100)/100</f>
        <v>1</v>
      </c>
      <c r="N245" s="965"/>
      <c r="O245" s="53">
        <f>(SUMIF($13:$13,N245,$14:$14)-SUMIF($13:$13,$N$24,$14:$14)+100)/100</f>
        <v>1</v>
      </c>
      <c r="P245" s="965"/>
      <c r="Q245" s="53">
        <f>(SUMIF($15:$15,P245,$16:$16)-SUMIF($15:$15,$P$24,$16:$16)+100)/100</f>
        <v>1</v>
      </c>
      <c r="R245" s="965"/>
      <c r="S245" s="53">
        <f>(SUMIF($17:$17,R245,$18:$18)-SUMIF($17:$17,$R$24,$18:$18)+100)/100</f>
        <v>1</v>
      </c>
      <c r="T245" s="493">
        <f>IF(D245="",0,ROUND($T$24*E245*G245*I245*K245*M245*O245*Q245*S245,0))</f>
        <v>0</v>
      </c>
      <c r="U245" s="802">
        <f t="shared" si="16"/>
        <v>0</v>
      </c>
    </row>
    <row r="246" spans="3:21">
      <c r="C246" s="967"/>
      <c r="D246" s="137"/>
      <c r="E246" s="53">
        <f>IF(D246="",1,(LOOKUP(D246,$3:$3,$4:$4)-LOOKUP($D$24,$3:$3,$4:$4)+100)/100)</f>
        <v>1</v>
      </c>
      <c r="F246" s="965"/>
      <c r="G246" s="53">
        <f>(SUMIF($5:$5,F246,$6:$6)-SUMIF($5:$5,$F$24,$6:$6)+100)/100</f>
        <v>0.01</v>
      </c>
      <c r="H246" s="965"/>
      <c r="I246" s="53">
        <f>(SUMIF($7:$7,H246,$8:$8)-SUMIF($7:$7,$H$24,$8:$8)+100)/100</f>
        <v>0.04</v>
      </c>
      <c r="J246" s="965"/>
      <c r="K246" s="53">
        <f>(SUMIF($9:$9,J246,$10:$10)-SUMIF($9:$9,$J$24,$10:$10)+100)/100</f>
        <v>0.04</v>
      </c>
      <c r="L246" s="965"/>
      <c r="M246" s="53">
        <f>(SUMIF($11:$11,L246,$12:$12)-SUMIF($11:$11,$L$24,$12:$12)+100)/100</f>
        <v>1</v>
      </c>
      <c r="N246" s="965"/>
      <c r="O246" s="53">
        <f>(SUMIF($13:$13,N246,$14:$14)-SUMIF($13:$13,$N$24,$14:$14)+100)/100</f>
        <v>1</v>
      </c>
      <c r="P246" s="965"/>
      <c r="Q246" s="53">
        <f>(SUMIF($15:$15,P246,$16:$16)-SUMIF($15:$15,$P$24,$16:$16)+100)/100</f>
        <v>1</v>
      </c>
      <c r="R246" s="965"/>
      <c r="S246" s="53">
        <f>(SUMIF($17:$17,R246,$18:$18)-SUMIF($17:$17,$R$24,$18:$18)+100)/100</f>
        <v>1</v>
      </c>
      <c r="T246" s="493">
        <f>IF(D246="",0,ROUND($T$24*E246*G246*I246*K246*M246*O246*Q246*S246,0))</f>
        <v>0</v>
      </c>
      <c r="U246" s="802">
        <f t="shared" si="16"/>
        <v>0</v>
      </c>
    </row>
    <row r="247" spans="3:21">
      <c r="C247" s="967"/>
      <c r="D247" s="137"/>
      <c r="E247" s="53">
        <f>IF(D247="",1,(LOOKUP(D247,$3:$3,$4:$4)-LOOKUP($D$24,$3:$3,$4:$4)+100)/100)</f>
        <v>1</v>
      </c>
      <c r="F247" s="965"/>
      <c r="G247" s="53">
        <f>(SUMIF($5:$5,F247,$6:$6)-SUMIF($5:$5,$F$24,$6:$6)+100)/100</f>
        <v>0.01</v>
      </c>
      <c r="H247" s="965"/>
      <c r="I247" s="53">
        <f>(SUMIF($7:$7,H247,$8:$8)-SUMIF($7:$7,$H$24,$8:$8)+100)/100</f>
        <v>0.04</v>
      </c>
      <c r="J247" s="965"/>
      <c r="K247" s="53">
        <f>(SUMIF($9:$9,J247,$10:$10)-SUMIF($9:$9,$J$24,$10:$10)+100)/100</f>
        <v>0.04</v>
      </c>
      <c r="L247" s="965"/>
      <c r="M247" s="53">
        <f>(SUMIF($11:$11,L247,$12:$12)-SUMIF($11:$11,$L$24,$12:$12)+100)/100</f>
        <v>1</v>
      </c>
      <c r="N247" s="965"/>
      <c r="O247" s="53">
        <f>(SUMIF($13:$13,N247,$14:$14)-SUMIF($13:$13,$N$24,$14:$14)+100)/100</f>
        <v>1</v>
      </c>
      <c r="P247" s="965"/>
      <c r="Q247" s="53">
        <f>(SUMIF($15:$15,P247,$16:$16)-SUMIF($15:$15,$P$24,$16:$16)+100)/100</f>
        <v>1</v>
      </c>
      <c r="R247" s="965"/>
      <c r="S247" s="53">
        <f>(SUMIF($17:$17,R247,$18:$18)-SUMIF($17:$17,$R$24,$18:$18)+100)/100</f>
        <v>1</v>
      </c>
      <c r="T247" s="493">
        <f>IF(D247="",0,ROUND($T$24*E247*G247*I247*K247*M247*O247*Q247*S247,0))</f>
        <v>0</v>
      </c>
      <c r="U247" s="802">
        <f t="shared" si="16"/>
        <v>0</v>
      </c>
    </row>
    <row r="248" spans="3:21">
      <c r="C248" s="967"/>
      <c r="D248" s="137"/>
      <c r="E248" s="53">
        <f>IF(D248="",1,(LOOKUP(D248,$3:$3,$4:$4)-LOOKUP($D$24,$3:$3,$4:$4)+100)/100)</f>
        <v>1</v>
      </c>
      <c r="F248" s="965"/>
      <c r="G248" s="53">
        <f>(SUMIF($5:$5,F248,$6:$6)-SUMIF($5:$5,$F$24,$6:$6)+100)/100</f>
        <v>0.01</v>
      </c>
      <c r="H248" s="965"/>
      <c r="I248" s="53">
        <f>(SUMIF($7:$7,H248,$8:$8)-SUMIF($7:$7,$H$24,$8:$8)+100)/100</f>
        <v>0.04</v>
      </c>
      <c r="J248" s="965"/>
      <c r="K248" s="53">
        <f>(SUMIF($9:$9,J248,$10:$10)-SUMIF($9:$9,$J$24,$10:$10)+100)/100</f>
        <v>0.04</v>
      </c>
      <c r="L248" s="965"/>
      <c r="M248" s="53">
        <f>(SUMIF($11:$11,L248,$12:$12)-SUMIF($11:$11,$L$24,$12:$12)+100)/100</f>
        <v>1</v>
      </c>
      <c r="N248" s="965"/>
      <c r="O248" s="53">
        <f>(SUMIF($13:$13,N248,$14:$14)-SUMIF($13:$13,$N$24,$14:$14)+100)/100</f>
        <v>1</v>
      </c>
      <c r="P248" s="965"/>
      <c r="Q248" s="53">
        <f>(SUMIF($15:$15,P248,$16:$16)-SUMIF($15:$15,$P$24,$16:$16)+100)/100</f>
        <v>1</v>
      </c>
      <c r="R248" s="965"/>
      <c r="S248" s="53">
        <f>(SUMIF($17:$17,R248,$18:$18)-SUMIF($17:$17,$R$24,$18:$18)+100)/100</f>
        <v>1</v>
      </c>
      <c r="T248" s="493">
        <f>IF(D248="",0,ROUND($T$24*E248*G248*I248*K248*M248*O248*Q248*S248,0))</f>
        <v>0</v>
      </c>
      <c r="U248" s="802">
        <f t="shared" si="16"/>
        <v>0</v>
      </c>
    </row>
    <row r="249" spans="3:21">
      <c r="C249" s="967"/>
      <c r="D249" s="137"/>
      <c r="E249" s="53">
        <f>IF(D249="",1,(LOOKUP(D249,$3:$3,$4:$4)-LOOKUP($D$24,$3:$3,$4:$4)+100)/100)</f>
        <v>1</v>
      </c>
      <c r="F249" s="965"/>
      <c r="G249" s="53">
        <f>(SUMIF($5:$5,F249,$6:$6)-SUMIF($5:$5,$F$24,$6:$6)+100)/100</f>
        <v>0.01</v>
      </c>
      <c r="H249" s="965"/>
      <c r="I249" s="53">
        <f>(SUMIF($7:$7,H249,$8:$8)-SUMIF($7:$7,$H$24,$8:$8)+100)/100</f>
        <v>0.04</v>
      </c>
      <c r="J249" s="965"/>
      <c r="K249" s="53">
        <f>(SUMIF($9:$9,J249,$10:$10)-SUMIF($9:$9,$J$24,$10:$10)+100)/100</f>
        <v>0.04</v>
      </c>
      <c r="L249" s="965"/>
      <c r="M249" s="53">
        <f>(SUMIF($11:$11,L249,$12:$12)-SUMIF($11:$11,$L$24,$12:$12)+100)/100</f>
        <v>1</v>
      </c>
      <c r="N249" s="965"/>
      <c r="O249" s="53">
        <f>(SUMIF($13:$13,N249,$14:$14)-SUMIF($13:$13,$N$24,$14:$14)+100)/100</f>
        <v>1</v>
      </c>
      <c r="P249" s="965"/>
      <c r="Q249" s="53">
        <f>(SUMIF($15:$15,P249,$16:$16)-SUMIF($15:$15,$P$24,$16:$16)+100)/100</f>
        <v>1</v>
      </c>
      <c r="R249" s="965"/>
      <c r="S249" s="53">
        <f>(SUMIF($17:$17,R249,$18:$18)-SUMIF($17:$17,$R$24,$18:$18)+100)/100</f>
        <v>1</v>
      </c>
      <c r="T249" s="493">
        <f>IF(D249="",0,ROUND($T$24*E249*G249*I249*K249*M249*O249*Q249*S249,0))</f>
        <v>0</v>
      </c>
      <c r="U249" s="802">
        <f t="shared" si="16"/>
        <v>0</v>
      </c>
    </row>
    <row r="250" spans="3:21">
      <c r="C250" s="967"/>
      <c r="D250" s="137"/>
      <c r="E250" s="53">
        <f>IF(D250="",1,(LOOKUP(D250,$3:$3,$4:$4)-LOOKUP($D$24,$3:$3,$4:$4)+100)/100)</f>
        <v>1</v>
      </c>
      <c r="F250" s="965"/>
      <c r="G250" s="53">
        <f>(SUMIF($5:$5,F250,$6:$6)-SUMIF($5:$5,$F$24,$6:$6)+100)/100</f>
        <v>0.01</v>
      </c>
      <c r="H250" s="965"/>
      <c r="I250" s="53">
        <f>(SUMIF($7:$7,H250,$8:$8)-SUMIF($7:$7,$H$24,$8:$8)+100)/100</f>
        <v>0.04</v>
      </c>
      <c r="J250" s="965"/>
      <c r="K250" s="53">
        <f>(SUMIF($9:$9,J250,$10:$10)-SUMIF($9:$9,$J$24,$10:$10)+100)/100</f>
        <v>0.04</v>
      </c>
      <c r="L250" s="965"/>
      <c r="M250" s="53">
        <f>(SUMIF($11:$11,L250,$12:$12)-SUMIF($11:$11,$L$24,$12:$12)+100)/100</f>
        <v>1</v>
      </c>
      <c r="N250" s="965"/>
      <c r="O250" s="53">
        <f>(SUMIF($13:$13,N250,$14:$14)-SUMIF($13:$13,$N$24,$14:$14)+100)/100</f>
        <v>1</v>
      </c>
      <c r="P250" s="965"/>
      <c r="Q250" s="53">
        <f>(SUMIF($15:$15,P250,$16:$16)-SUMIF($15:$15,$P$24,$16:$16)+100)/100</f>
        <v>1</v>
      </c>
      <c r="R250" s="965"/>
      <c r="S250" s="53">
        <f>(SUMIF($17:$17,R250,$18:$18)-SUMIF($17:$17,$R$24,$18:$18)+100)/100</f>
        <v>1</v>
      </c>
      <c r="T250" s="493">
        <f>IF(D250="",0,ROUND($T$24*E250*G250*I250*K250*M250*O250*Q250*S250,0))</f>
        <v>0</v>
      </c>
      <c r="U250" s="802">
        <f t="shared" si="16"/>
        <v>0</v>
      </c>
    </row>
    <row r="251" spans="3:21">
      <c r="C251" s="967"/>
      <c r="D251" s="137"/>
      <c r="E251" s="53">
        <f>IF(D251="",1,(LOOKUP(D251,$3:$3,$4:$4)-LOOKUP($D$24,$3:$3,$4:$4)+100)/100)</f>
        <v>1</v>
      </c>
      <c r="F251" s="965"/>
      <c r="G251" s="53">
        <f>(SUMIF($5:$5,F251,$6:$6)-SUMIF($5:$5,$F$24,$6:$6)+100)/100</f>
        <v>0.01</v>
      </c>
      <c r="H251" s="965"/>
      <c r="I251" s="53">
        <f>(SUMIF($7:$7,H251,$8:$8)-SUMIF($7:$7,$H$24,$8:$8)+100)/100</f>
        <v>0.04</v>
      </c>
      <c r="J251" s="965"/>
      <c r="K251" s="53">
        <f>(SUMIF($9:$9,J251,$10:$10)-SUMIF($9:$9,$J$24,$10:$10)+100)/100</f>
        <v>0.04</v>
      </c>
      <c r="L251" s="965"/>
      <c r="M251" s="53">
        <f>(SUMIF($11:$11,L251,$12:$12)-SUMIF($11:$11,$L$24,$12:$12)+100)/100</f>
        <v>1</v>
      </c>
      <c r="N251" s="965"/>
      <c r="O251" s="53">
        <f>(SUMIF($13:$13,N251,$14:$14)-SUMIF($13:$13,$N$24,$14:$14)+100)/100</f>
        <v>1</v>
      </c>
      <c r="P251" s="965"/>
      <c r="Q251" s="53">
        <f>(SUMIF($15:$15,P251,$16:$16)-SUMIF($15:$15,$P$24,$16:$16)+100)/100</f>
        <v>1</v>
      </c>
      <c r="R251" s="965"/>
      <c r="S251" s="53">
        <f>(SUMIF($17:$17,R251,$18:$18)-SUMIF($17:$17,$R$24,$18:$18)+100)/100</f>
        <v>1</v>
      </c>
      <c r="T251" s="493">
        <f>IF(D251="",0,ROUND($T$24*E251*G251*I251*K251*M251*O251*Q251*S251,0))</f>
        <v>0</v>
      </c>
      <c r="U251" s="802">
        <f t="shared" si="16"/>
        <v>0</v>
      </c>
    </row>
    <row r="252" spans="3:21">
      <c r="C252" s="967"/>
      <c r="D252" s="137"/>
      <c r="E252" s="53">
        <f>IF(D252="",1,(LOOKUP(D252,$3:$3,$4:$4)-LOOKUP($D$24,$3:$3,$4:$4)+100)/100)</f>
        <v>1</v>
      </c>
      <c r="F252" s="965"/>
      <c r="G252" s="53">
        <f>(SUMIF($5:$5,F252,$6:$6)-SUMIF($5:$5,$F$24,$6:$6)+100)/100</f>
        <v>0.01</v>
      </c>
      <c r="H252" s="965"/>
      <c r="I252" s="53">
        <f>(SUMIF($7:$7,H252,$8:$8)-SUMIF($7:$7,$H$24,$8:$8)+100)/100</f>
        <v>0.04</v>
      </c>
      <c r="J252" s="965"/>
      <c r="K252" s="53">
        <f>(SUMIF($9:$9,J252,$10:$10)-SUMIF($9:$9,$J$24,$10:$10)+100)/100</f>
        <v>0.04</v>
      </c>
      <c r="L252" s="965"/>
      <c r="M252" s="53">
        <f>(SUMIF($11:$11,L252,$12:$12)-SUMIF($11:$11,$L$24,$12:$12)+100)/100</f>
        <v>1</v>
      </c>
      <c r="N252" s="965"/>
      <c r="O252" s="53">
        <f>(SUMIF($13:$13,N252,$14:$14)-SUMIF($13:$13,$N$24,$14:$14)+100)/100</f>
        <v>1</v>
      </c>
      <c r="P252" s="965"/>
      <c r="Q252" s="53">
        <f>(SUMIF($15:$15,P252,$16:$16)-SUMIF($15:$15,$P$24,$16:$16)+100)/100</f>
        <v>1</v>
      </c>
      <c r="R252" s="965"/>
      <c r="S252" s="53">
        <f>(SUMIF($17:$17,R252,$18:$18)-SUMIF($17:$17,$R$24,$18:$18)+100)/100</f>
        <v>1</v>
      </c>
      <c r="T252" s="493">
        <f>IF(D252="",0,ROUND($T$24*E252*G252*I252*K252*M252*O252*Q252*S252,0))</f>
        <v>0</v>
      </c>
      <c r="U252" s="802">
        <f t="shared" si="16"/>
        <v>0</v>
      </c>
    </row>
    <row r="253" spans="3:21">
      <c r="C253" s="967"/>
      <c r="D253" s="137"/>
      <c r="E253" s="53">
        <f>IF(D253="",1,(LOOKUP(D253,$3:$3,$4:$4)-LOOKUP($D$24,$3:$3,$4:$4)+100)/100)</f>
        <v>1</v>
      </c>
      <c r="F253" s="965"/>
      <c r="G253" s="53">
        <f>(SUMIF($5:$5,F253,$6:$6)-SUMIF($5:$5,$F$24,$6:$6)+100)/100</f>
        <v>0.01</v>
      </c>
      <c r="H253" s="965"/>
      <c r="I253" s="53">
        <f>(SUMIF($7:$7,H253,$8:$8)-SUMIF($7:$7,$H$24,$8:$8)+100)/100</f>
        <v>0.04</v>
      </c>
      <c r="J253" s="965"/>
      <c r="K253" s="53">
        <f>(SUMIF($9:$9,J253,$10:$10)-SUMIF($9:$9,$J$24,$10:$10)+100)/100</f>
        <v>0.04</v>
      </c>
      <c r="L253" s="965"/>
      <c r="M253" s="53">
        <f>(SUMIF($11:$11,L253,$12:$12)-SUMIF($11:$11,$L$24,$12:$12)+100)/100</f>
        <v>1</v>
      </c>
      <c r="N253" s="965"/>
      <c r="O253" s="53">
        <f>(SUMIF($13:$13,N253,$14:$14)-SUMIF($13:$13,$N$24,$14:$14)+100)/100</f>
        <v>1</v>
      </c>
      <c r="P253" s="965"/>
      <c r="Q253" s="53">
        <f>(SUMIF($15:$15,P253,$16:$16)-SUMIF($15:$15,$P$24,$16:$16)+100)/100</f>
        <v>1</v>
      </c>
      <c r="R253" s="965"/>
      <c r="S253" s="53">
        <f>(SUMIF($17:$17,R253,$18:$18)-SUMIF($17:$17,$R$24,$18:$18)+100)/100</f>
        <v>1</v>
      </c>
      <c r="T253" s="493">
        <f>IF(D253="",0,ROUND($T$24*E253*G253*I253*K253*M253*O253*Q253*S253,0))</f>
        <v>0</v>
      </c>
      <c r="U253" s="802">
        <f t="shared" si="16"/>
        <v>0</v>
      </c>
    </row>
    <row r="254" spans="3:21">
      <c r="C254" s="967"/>
      <c r="D254" s="137"/>
      <c r="E254" s="53">
        <f>IF(D254="",1,(LOOKUP(D254,$3:$3,$4:$4)-LOOKUP($D$24,$3:$3,$4:$4)+100)/100)</f>
        <v>1</v>
      </c>
      <c r="F254" s="965"/>
      <c r="G254" s="53">
        <f>(SUMIF($5:$5,F254,$6:$6)-SUMIF($5:$5,$F$24,$6:$6)+100)/100</f>
        <v>0.01</v>
      </c>
      <c r="H254" s="965"/>
      <c r="I254" s="53">
        <f>(SUMIF($7:$7,H254,$8:$8)-SUMIF($7:$7,$H$24,$8:$8)+100)/100</f>
        <v>0.04</v>
      </c>
      <c r="J254" s="965"/>
      <c r="K254" s="53">
        <f>(SUMIF($9:$9,J254,$10:$10)-SUMIF($9:$9,$J$24,$10:$10)+100)/100</f>
        <v>0.04</v>
      </c>
      <c r="L254" s="965"/>
      <c r="M254" s="53">
        <f>(SUMIF($11:$11,L254,$12:$12)-SUMIF($11:$11,$L$24,$12:$12)+100)/100</f>
        <v>1</v>
      </c>
      <c r="N254" s="965"/>
      <c r="O254" s="53">
        <f>(SUMIF($13:$13,N254,$14:$14)-SUMIF($13:$13,$N$24,$14:$14)+100)/100</f>
        <v>1</v>
      </c>
      <c r="P254" s="965"/>
      <c r="Q254" s="53">
        <f>(SUMIF($15:$15,P254,$16:$16)-SUMIF($15:$15,$P$24,$16:$16)+100)/100</f>
        <v>1</v>
      </c>
      <c r="R254" s="965"/>
      <c r="S254" s="53">
        <f>(SUMIF($17:$17,R254,$18:$18)-SUMIF($17:$17,$R$24,$18:$18)+100)/100</f>
        <v>1</v>
      </c>
      <c r="T254" s="493">
        <f>IF(D254="",0,ROUND($T$24*E254*G254*I254*K254*M254*O254*Q254*S254,0))</f>
        <v>0</v>
      </c>
      <c r="U254" s="802">
        <f t="shared" si="16"/>
        <v>0</v>
      </c>
    </row>
    <row r="255" spans="3:21">
      <c r="C255" s="967"/>
      <c r="D255" s="137"/>
      <c r="E255" s="53">
        <f>IF(D255="",1,(LOOKUP(D255,$3:$3,$4:$4)-LOOKUP($D$24,$3:$3,$4:$4)+100)/100)</f>
        <v>1</v>
      </c>
      <c r="F255" s="965"/>
      <c r="G255" s="53">
        <f>(SUMIF($5:$5,F255,$6:$6)-SUMIF($5:$5,$F$24,$6:$6)+100)/100</f>
        <v>0.01</v>
      </c>
      <c r="H255" s="965"/>
      <c r="I255" s="53">
        <f>(SUMIF($7:$7,H255,$8:$8)-SUMIF($7:$7,$H$24,$8:$8)+100)/100</f>
        <v>0.04</v>
      </c>
      <c r="J255" s="965"/>
      <c r="K255" s="53">
        <f>(SUMIF($9:$9,J255,$10:$10)-SUMIF($9:$9,$J$24,$10:$10)+100)/100</f>
        <v>0.04</v>
      </c>
      <c r="L255" s="965"/>
      <c r="M255" s="53">
        <f>(SUMIF($11:$11,L255,$12:$12)-SUMIF($11:$11,$L$24,$12:$12)+100)/100</f>
        <v>1</v>
      </c>
      <c r="N255" s="965"/>
      <c r="O255" s="53">
        <f>(SUMIF($13:$13,N255,$14:$14)-SUMIF($13:$13,$N$24,$14:$14)+100)/100</f>
        <v>1</v>
      </c>
      <c r="P255" s="965"/>
      <c r="Q255" s="53">
        <f>(SUMIF($15:$15,P255,$16:$16)-SUMIF($15:$15,$P$24,$16:$16)+100)/100</f>
        <v>1</v>
      </c>
      <c r="R255" s="965"/>
      <c r="S255" s="53">
        <f>(SUMIF($17:$17,R255,$18:$18)-SUMIF($17:$17,$R$24,$18:$18)+100)/100</f>
        <v>1</v>
      </c>
      <c r="T255" s="493">
        <f>IF(D255="",0,ROUND($T$24*E255*G255*I255*K255*M255*O255*Q255*S255,0))</f>
        <v>0</v>
      </c>
      <c r="U255" s="802">
        <f t="shared" si="16"/>
        <v>0</v>
      </c>
    </row>
    <row r="256" spans="3:21">
      <c r="C256" s="967"/>
      <c r="D256" s="137"/>
      <c r="E256" s="53">
        <f>IF(D256="",1,(LOOKUP(D256,$3:$3,$4:$4)-LOOKUP($D$24,$3:$3,$4:$4)+100)/100)</f>
        <v>1</v>
      </c>
      <c r="F256" s="965"/>
      <c r="G256" s="53">
        <f>(SUMIF($5:$5,F256,$6:$6)-SUMIF($5:$5,$F$24,$6:$6)+100)/100</f>
        <v>0.01</v>
      </c>
      <c r="H256" s="965"/>
      <c r="I256" s="53">
        <f>(SUMIF($7:$7,H256,$8:$8)-SUMIF($7:$7,$H$24,$8:$8)+100)/100</f>
        <v>0.04</v>
      </c>
      <c r="J256" s="965"/>
      <c r="K256" s="53">
        <f>(SUMIF($9:$9,J256,$10:$10)-SUMIF($9:$9,$J$24,$10:$10)+100)/100</f>
        <v>0.04</v>
      </c>
      <c r="L256" s="965"/>
      <c r="M256" s="53">
        <f>(SUMIF($11:$11,L256,$12:$12)-SUMIF($11:$11,$L$24,$12:$12)+100)/100</f>
        <v>1</v>
      </c>
      <c r="N256" s="965"/>
      <c r="O256" s="53">
        <f>(SUMIF($13:$13,N256,$14:$14)-SUMIF($13:$13,$N$24,$14:$14)+100)/100</f>
        <v>1</v>
      </c>
      <c r="P256" s="965"/>
      <c r="Q256" s="53">
        <f>(SUMIF($15:$15,P256,$16:$16)-SUMIF($15:$15,$P$24,$16:$16)+100)/100</f>
        <v>1</v>
      </c>
      <c r="R256" s="965"/>
      <c r="S256" s="53">
        <f>(SUMIF($17:$17,R256,$18:$18)-SUMIF($17:$17,$R$24,$18:$18)+100)/100</f>
        <v>1</v>
      </c>
      <c r="T256" s="493">
        <f>IF(D256="",0,ROUND($T$24*E256*G256*I256*K256*M256*O256*Q256*S256,0))</f>
        <v>0</v>
      </c>
      <c r="U256" s="802">
        <f t="shared" si="16"/>
        <v>0</v>
      </c>
    </row>
    <row r="257" spans="3:21">
      <c r="C257" s="967"/>
      <c r="D257" s="137"/>
      <c r="E257" s="53">
        <f>IF(D257="",1,(LOOKUP(D257,$3:$3,$4:$4)-LOOKUP($D$24,$3:$3,$4:$4)+100)/100)</f>
        <v>1</v>
      </c>
      <c r="F257" s="965"/>
      <c r="G257" s="53">
        <f>(SUMIF($5:$5,F257,$6:$6)-SUMIF($5:$5,$F$24,$6:$6)+100)/100</f>
        <v>0.01</v>
      </c>
      <c r="H257" s="965"/>
      <c r="I257" s="53">
        <f>(SUMIF($7:$7,H257,$8:$8)-SUMIF($7:$7,$H$24,$8:$8)+100)/100</f>
        <v>0.04</v>
      </c>
      <c r="J257" s="965"/>
      <c r="K257" s="53">
        <f>(SUMIF($9:$9,J257,$10:$10)-SUMIF($9:$9,$J$24,$10:$10)+100)/100</f>
        <v>0.04</v>
      </c>
      <c r="L257" s="965"/>
      <c r="M257" s="53">
        <f>(SUMIF($11:$11,L257,$12:$12)-SUMIF($11:$11,$L$24,$12:$12)+100)/100</f>
        <v>1</v>
      </c>
      <c r="N257" s="965"/>
      <c r="O257" s="53">
        <f>(SUMIF($13:$13,N257,$14:$14)-SUMIF($13:$13,$N$24,$14:$14)+100)/100</f>
        <v>1</v>
      </c>
      <c r="P257" s="965"/>
      <c r="Q257" s="53">
        <f>(SUMIF($15:$15,P257,$16:$16)-SUMIF($15:$15,$P$24,$16:$16)+100)/100</f>
        <v>1</v>
      </c>
      <c r="R257" s="965"/>
      <c r="S257" s="53">
        <f>(SUMIF($17:$17,R257,$18:$18)-SUMIF($17:$17,$R$24,$18:$18)+100)/100</f>
        <v>1</v>
      </c>
      <c r="T257" s="493">
        <f>IF(D257="",0,ROUND($T$24*E257*G257*I257*K257*M257*O257*Q257*S257,0))</f>
        <v>0</v>
      </c>
      <c r="U257" s="802">
        <f t="shared" si="16"/>
        <v>0</v>
      </c>
    </row>
    <row r="258" spans="3:21">
      <c r="C258" s="967"/>
      <c r="D258" s="137"/>
      <c r="E258" s="53">
        <f>IF(D258="",1,(LOOKUP(D258,$3:$3,$4:$4)-LOOKUP($D$24,$3:$3,$4:$4)+100)/100)</f>
        <v>1</v>
      </c>
      <c r="F258" s="965"/>
      <c r="G258" s="53">
        <f>(SUMIF($5:$5,F258,$6:$6)-SUMIF($5:$5,$F$24,$6:$6)+100)/100</f>
        <v>0.01</v>
      </c>
      <c r="H258" s="965"/>
      <c r="I258" s="53">
        <f>(SUMIF($7:$7,H258,$8:$8)-SUMIF($7:$7,$H$24,$8:$8)+100)/100</f>
        <v>0.04</v>
      </c>
      <c r="J258" s="965"/>
      <c r="K258" s="53">
        <f>(SUMIF($9:$9,J258,$10:$10)-SUMIF($9:$9,$J$24,$10:$10)+100)/100</f>
        <v>0.04</v>
      </c>
      <c r="L258" s="965"/>
      <c r="M258" s="53">
        <f>(SUMIF($11:$11,L258,$12:$12)-SUMIF($11:$11,$L$24,$12:$12)+100)/100</f>
        <v>1</v>
      </c>
      <c r="N258" s="965"/>
      <c r="O258" s="53">
        <f>(SUMIF($13:$13,N258,$14:$14)-SUMIF($13:$13,$N$24,$14:$14)+100)/100</f>
        <v>1</v>
      </c>
      <c r="P258" s="965"/>
      <c r="Q258" s="53">
        <f>(SUMIF($15:$15,P258,$16:$16)-SUMIF($15:$15,$P$24,$16:$16)+100)/100</f>
        <v>1</v>
      </c>
      <c r="R258" s="965"/>
      <c r="S258" s="53">
        <f>(SUMIF($17:$17,R258,$18:$18)-SUMIF($17:$17,$R$24,$18:$18)+100)/100</f>
        <v>1</v>
      </c>
      <c r="T258" s="493">
        <f>IF(D258="",0,ROUND($T$24*E258*G258*I258*K258*M258*O258*Q258*S258,0))</f>
        <v>0</v>
      </c>
      <c r="U258" s="802">
        <f t="shared" si="16"/>
        <v>0</v>
      </c>
    </row>
    <row r="259" spans="3:21">
      <c r="C259" s="967"/>
      <c r="D259" s="137"/>
      <c r="E259" s="53">
        <f>IF(D259="",1,(LOOKUP(D259,$3:$3,$4:$4)-LOOKUP($D$24,$3:$3,$4:$4)+100)/100)</f>
        <v>1</v>
      </c>
      <c r="F259" s="965"/>
      <c r="G259" s="53">
        <f>(SUMIF($5:$5,F259,$6:$6)-SUMIF($5:$5,$F$24,$6:$6)+100)/100</f>
        <v>0.01</v>
      </c>
      <c r="H259" s="965"/>
      <c r="I259" s="53">
        <f>(SUMIF($7:$7,H259,$8:$8)-SUMIF($7:$7,$H$24,$8:$8)+100)/100</f>
        <v>0.04</v>
      </c>
      <c r="J259" s="965"/>
      <c r="K259" s="53">
        <f>(SUMIF($9:$9,J259,$10:$10)-SUMIF($9:$9,$J$24,$10:$10)+100)/100</f>
        <v>0.04</v>
      </c>
      <c r="L259" s="965"/>
      <c r="M259" s="53">
        <f>(SUMIF($11:$11,L259,$12:$12)-SUMIF($11:$11,$L$24,$12:$12)+100)/100</f>
        <v>1</v>
      </c>
      <c r="N259" s="965"/>
      <c r="O259" s="53">
        <f>(SUMIF($13:$13,N259,$14:$14)-SUMIF($13:$13,$N$24,$14:$14)+100)/100</f>
        <v>1</v>
      </c>
      <c r="P259" s="965"/>
      <c r="Q259" s="53">
        <f>(SUMIF($15:$15,P259,$16:$16)-SUMIF($15:$15,$P$24,$16:$16)+100)/100</f>
        <v>1</v>
      </c>
      <c r="R259" s="965"/>
      <c r="S259" s="53">
        <f>(SUMIF($17:$17,R259,$18:$18)-SUMIF($17:$17,$R$24,$18:$18)+100)/100</f>
        <v>1</v>
      </c>
      <c r="T259" s="493">
        <f>IF(D259="",0,ROUND($T$24*E259*G259*I259*K259*M259*O259*Q259*S259,0))</f>
        <v>0</v>
      </c>
      <c r="U259" s="802">
        <f t="shared" si="16"/>
        <v>0</v>
      </c>
    </row>
    <row r="260" spans="3:21">
      <c r="C260" s="967"/>
      <c r="D260" s="137"/>
      <c r="E260" s="53">
        <f>IF(D260="",1,(LOOKUP(D260,$3:$3,$4:$4)-LOOKUP($D$24,$3:$3,$4:$4)+100)/100)</f>
        <v>1</v>
      </c>
      <c r="F260" s="965"/>
      <c r="G260" s="53">
        <f>(SUMIF($5:$5,F260,$6:$6)-SUMIF($5:$5,$F$24,$6:$6)+100)/100</f>
        <v>0.01</v>
      </c>
      <c r="H260" s="965"/>
      <c r="I260" s="53">
        <f>(SUMIF($7:$7,H260,$8:$8)-SUMIF($7:$7,$H$24,$8:$8)+100)/100</f>
        <v>0.04</v>
      </c>
      <c r="J260" s="965"/>
      <c r="K260" s="53">
        <f>(SUMIF($9:$9,J260,$10:$10)-SUMIF($9:$9,$J$24,$10:$10)+100)/100</f>
        <v>0.04</v>
      </c>
      <c r="L260" s="965"/>
      <c r="M260" s="53">
        <f>(SUMIF($11:$11,L260,$12:$12)-SUMIF($11:$11,$L$24,$12:$12)+100)/100</f>
        <v>1</v>
      </c>
      <c r="N260" s="965"/>
      <c r="O260" s="53">
        <f>(SUMIF($13:$13,N260,$14:$14)-SUMIF($13:$13,$N$24,$14:$14)+100)/100</f>
        <v>1</v>
      </c>
      <c r="P260" s="965"/>
      <c r="Q260" s="53">
        <f>(SUMIF($15:$15,P260,$16:$16)-SUMIF($15:$15,$P$24,$16:$16)+100)/100</f>
        <v>1</v>
      </c>
      <c r="R260" s="965"/>
      <c r="S260" s="53">
        <f>(SUMIF($17:$17,R260,$18:$18)-SUMIF($17:$17,$R$24,$18:$18)+100)/100</f>
        <v>1</v>
      </c>
      <c r="T260" s="493">
        <f>IF(D260="",0,ROUND($T$24*E260*G260*I260*K260*M260*O260*Q260*S260,0))</f>
        <v>0</v>
      </c>
      <c r="U260" s="802">
        <f t="shared" si="16"/>
        <v>0</v>
      </c>
    </row>
    <row r="261" spans="3:21">
      <c r="C261" s="967"/>
      <c r="D261" s="137"/>
      <c r="E261" s="53">
        <f>IF(D261="",1,(LOOKUP(D261,$3:$3,$4:$4)-LOOKUP($D$24,$3:$3,$4:$4)+100)/100)</f>
        <v>1</v>
      </c>
      <c r="F261" s="965"/>
      <c r="G261" s="53">
        <f>(SUMIF($5:$5,F261,$6:$6)-SUMIF($5:$5,$F$24,$6:$6)+100)/100</f>
        <v>0.01</v>
      </c>
      <c r="H261" s="965"/>
      <c r="I261" s="53">
        <f>(SUMIF($7:$7,H261,$8:$8)-SUMIF($7:$7,$H$24,$8:$8)+100)/100</f>
        <v>0.04</v>
      </c>
      <c r="J261" s="965"/>
      <c r="K261" s="53">
        <f>(SUMIF($9:$9,J261,$10:$10)-SUMIF($9:$9,$J$24,$10:$10)+100)/100</f>
        <v>0.04</v>
      </c>
      <c r="L261" s="965"/>
      <c r="M261" s="53">
        <f>(SUMIF($11:$11,L261,$12:$12)-SUMIF($11:$11,$L$24,$12:$12)+100)/100</f>
        <v>1</v>
      </c>
      <c r="N261" s="965"/>
      <c r="O261" s="53">
        <f>(SUMIF($13:$13,N261,$14:$14)-SUMIF($13:$13,$N$24,$14:$14)+100)/100</f>
        <v>1</v>
      </c>
      <c r="P261" s="965"/>
      <c r="Q261" s="53">
        <f>(SUMIF($15:$15,P261,$16:$16)-SUMIF($15:$15,$P$24,$16:$16)+100)/100</f>
        <v>1</v>
      </c>
      <c r="R261" s="965"/>
      <c r="S261" s="53">
        <f>(SUMIF($17:$17,R261,$18:$18)-SUMIF($17:$17,$R$24,$18:$18)+100)/100</f>
        <v>1</v>
      </c>
      <c r="T261" s="493">
        <f>IF(D261="",0,ROUND($T$24*E261*G261*I261*K261*M261*O261*Q261*S261,0))</f>
        <v>0</v>
      </c>
      <c r="U261" s="802">
        <f t="shared" si="16"/>
        <v>0</v>
      </c>
    </row>
    <row r="262" spans="3:21">
      <c r="C262" s="967"/>
      <c r="D262" s="137"/>
      <c r="E262" s="53">
        <f>IF(D262="",1,(LOOKUP(D262,$3:$3,$4:$4)-LOOKUP($D$24,$3:$3,$4:$4)+100)/100)</f>
        <v>1</v>
      </c>
      <c r="F262" s="965"/>
      <c r="G262" s="53">
        <f>(SUMIF($5:$5,F262,$6:$6)-SUMIF($5:$5,$F$24,$6:$6)+100)/100</f>
        <v>0.01</v>
      </c>
      <c r="H262" s="965"/>
      <c r="I262" s="53">
        <f>(SUMIF($7:$7,H262,$8:$8)-SUMIF($7:$7,$H$24,$8:$8)+100)/100</f>
        <v>0.04</v>
      </c>
      <c r="J262" s="965"/>
      <c r="K262" s="53">
        <f>(SUMIF($9:$9,J262,$10:$10)-SUMIF($9:$9,$J$24,$10:$10)+100)/100</f>
        <v>0.04</v>
      </c>
      <c r="L262" s="965"/>
      <c r="M262" s="53">
        <f>(SUMIF($11:$11,L262,$12:$12)-SUMIF($11:$11,$L$24,$12:$12)+100)/100</f>
        <v>1</v>
      </c>
      <c r="N262" s="965"/>
      <c r="O262" s="53">
        <f>(SUMIF($13:$13,N262,$14:$14)-SUMIF($13:$13,$N$24,$14:$14)+100)/100</f>
        <v>1</v>
      </c>
      <c r="P262" s="965"/>
      <c r="Q262" s="53">
        <f>(SUMIF($15:$15,P262,$16:$16)-SUMIF($15:$15,$P$24,$16:$16)+100)/100</f>
        <v>1</v>
      </c>
      <c r="R262" s="965"/>
      <c r="S262" s="53">
        <f>(SUMIF($17:$17,R262,$18:$18)-SUMIF($17:$17,$R$24,$18:$18)+100)/100</f>
        <v>1</v>
      </c>
      <c r="T262" s="493">
        <f>IF(D262="",0,ROUND($T$24*E262*G262*I262*K262*M262*O262*Q262*S262,0))</f>
        <v>0</v>
      </c>
      <c r="U262" s="802">
        <f t="shared" si="16"/>
        <v>0</v>
      </c>
    </row>
    <row r="263" spans="3:21">
      <c r="C263" s="967"/>
      <c r="D263" s="137"/>
      <c r="E263" s="53">
        <f>IF(D263="",1,(LOOKUP(D263,$3:$3,$4:$4)-LOOKUP($D$24,$3:$3,$4:$4)+100)/100)</f>
        <v>1</v>
      </c>
      <c r="F263" s="965"/>
      <c r="G263" s="53">
        <f>(SUMIF($5:$5,F263,$6:$6)-SUMIF($5:$5,$F$24,$6:$6)+100)/100</f>
        <v>0.01</v>
      </c>
      <c r="H263" s="965"/>
      <c r="I263" s="53">
        <f>(SUMIF($7:$7,H263,$8:$8)-SUMIF($7:$7,$H$24,$8:$8)+100)/100</f>
        <v>0.04</v>
      </c>
      <c r="J263" s="965"/>
      <c r="K263" s="53">
        <f>(SUMIF($9:$9,J263,$10:$10)-SUMIF($9:$9,$J$24,$10:$10)+100)/100</f>
        <v>0.04</v>
      </c>
      <c r="L263" s="965"/>
      <c r="M263" s="53">
        <f>(SUMIF($11:$11,L263,$12:$12)-SUMIF($11:$11,$L$24,$12:$12)+100)/100</f>
        <v>1</v>
      </c>
      <c r="N263" s="965"/>
      <c r="O263" s="53">
        <f>(SUMIF($13:$13,N263,$14:$14)-SUMIF($13:$13,$N$24,$14:$14)+100)/100</f>
        <v>1</v>
      </c>
      <c r="P263" s="965"/>
      <c r="Q263" s="53">
        <f>(SUMIF($15:$15,P263,$16:$16)-SUMIF($15:$15,$P$24,$16:$16)+100)/100</f>
        <v>1</v>
      </c>
      <c r="R263" s="965"/>
      <c r="S263" s="53">
        <f>(SUMIF($17:$17,R263,$18:$18)-SUMIF($17:$17,$R$24,$18:$18)+100)/100</f>
        <v>1</v>
      </c>
      <c r="T263" s="493">
        <f>IF(D263="",0,ROUND($T$24*E263*G263*I263*K263*M263*O263*Q263*S263,0))</f>
        <v>0</v>
      </c>
      <c r="U263" s="802">
        <f t="shared" si="16"/>
        <v>0</v>
      </c>
    </row>
    <row r="264" spans="3:21">
      <c r="C264" s="967"/>
      <c r="D264" s="137"/>
      <c r="E264" s="53">
        <f>IF(D264="",1,(LOOKUP(D264,$3:$3,$4:$4)-LOOKUP($D$24,$3:$3,$4:$4)+100)/100)</f>
        <v>1</v>
      </c>
      <c r="F264" s="965"/>
      <c r="G264" s="53">
        <f>(SUMIF($5:$5,F264,$6:$6)-SUMIF($5:$5,$F$24,$6:$6)+100)/100</f>
        <v>0.01</v>
      </c>
      <c r="H264" s="965"/>
      <c r="I264" s="53">
        <f>(SUMIF($7:$7,H264,$8:$8)-SUMIF($7:$7,$H$24,$8:$8)+100)/100</f>
        <v>0.04</v>
      </c>
      <c r="J264" s="965"/>
      <c r="K264" s="53">
        <f>(SUMIF($9:$9,J264,$10:$10)-SUMIF($9:$9,$J$24,$10:$10)+100)/100</f>
        <v>0.04</v>
      </c>
      <c r="L264" s="965"/>
      <c r="M264" s="53">
        <f>(SUMIF($11:$11,L264,$12:$12)-SUMIF($11:$11,$L$24,$12:$12)+100)/100</f>
        <v>1</v>
      </c>
      <c r="N264" s="965"/>
      <c r="O264" s="53">
        <f>(SUMIF($13:$13,N264,$14:$14)-SUMIF($13:$13,$N$24,$14:$14)+100)/100</f>
        <v>1</v>
      </c>
      <c r="P264" s="965"/>
      <c r="Q264" s="53">
        <f>(SUMIF($15:$15,P264,$16:$16)-SUMIF($15:$15,$P$24,$16:$16)+100)/100</f>
        <v>1</v>
      </c>
      <c r="R264" s="965"/>
      <c r="S264" s="53">
        <f>(SUMIF($17:$17,R264,$18:$18)-SUMIF($17:$17,$R$24,$18:$18)+100)/100</f>
        <v>1</v>
      </c>
      <c r="T264" s="493">
        <f>IF(D264="",0,ROUND($T$24*E264*G264*I264*K264*M264*O264*Q264*S264,0))</f>
        <v>0</v>
      </c>
      <c r="U264" s="802">
        <f t="shared" si="16"/>
        <v>0</v>
      </c>
    </row>
    <row r="265" spans="3:21">
      <c r="C265" s="967"/>
      <c r="D265" s="137"/>
      <c r="E265" s="53">
        <f>IF(D265="",1,(LOOKUP(D265,$3:$3,$4:$4)-LOOKUP($D$24,$3:$3,$4:$4)+100)/100)</f>
        <v>1</v>
      </c>
      <c r="F265" s="965"/>
      <c r="G265" s="53">
        <f>(SUMIF($5:$5,F265,$6:$6)-SUMIF($5:$5,$F$24,$6:$6)+100)/100</f>
        <v>0.01</v>
      </c>
      <c r="H265" s="965"/>
      <c r="I265" s="53">
        <f>(SUMIF($7:$7,H265,$8:$8)-SUMIF($7:$7,$H$24,$8:$8)+100)/100</f>
        <v>0.04</v>
      </c>
      <c r="J265" s="965"/>
      <c r="K265" s="53">
        <f>(SUMIF($9:$9,J265,$10:$10)-SUMIF($9:$9,$J$24,$10:$10)+100)/100</f>
        <v>0.04</v>
      </c>
      <c r="L265" s="965"/>
      <c r="M265" s="53">
        <f>(SUMIF($11:$11,L265,$12:$12)-SUMIF($11:$11,$L$24,$12:$12)+100)/100</f>
        <v>1</v>
      </c>
      <c r="N265" s="965"/>
      <c r="O265" s="53">
        <f>(SUMIF($13:$13,N265,$14:$14)-SUMIF($13:$13,$N$24,$14:$14)+100)/100</f>
        <v>1</v>
      </c>
      <c r="P265" s="965"/>
      <c r="Q265" s="53">
        <f>(SUMIF($15:$15,P265,$16:$16)-SUMIF($15:$15,$P$24,$16:$16)+100)/100</f>
        <v>1</v>
      </c>
      <c r="R265" s="965"/>
      <c r="S265" s="53">
        <f>(SUMIF($17:$17,R265,$18:$18)-SUMIF($17:$17,$R$24,$18:$18)+100)/100</f>
        <v>1</v>
      </c>
      <c r="T265" s="493">
        <f>IF(D265="",0,ROUND($T$24*E265*G265*I265*K265*M265*O265*Q265*S265,0))</f>
        <v>0</v>
      </c>
      <c r="U265" s="802">
        <f t="shared" si="16"/>
        <v>0</v>
      </c>
    </row>
    <row r="266" spans="3:21">
      <c r="C266" s="967"/>
      <c r="D266" s="137"/>
      <c r="E266" s="53">
        <f>IF(D266="",1,(LOOKUP(D266,$3:$3,$4:$4)-LOOKUP($D$24,$3:$3,$4:$4)+100)/100)</f>
        <v>1</v>
      </c>
      <c r="F266" s="965"/>
      <c r="G266" s="53">
        <f>(SUMIF($5:$5,F266,$6:$6)-SUMIF($5:$5,$F$24,$6:$6)+100)/100</f>
        <v>0.01</v>
      </c>
      <c r="H266" s="965"/>
      <c r="I266" s="53">
        <f>(SUMIF($7:$7,H266,$8:$8)-SUMIF($7:$7,$H$24,$8:$8)+100)/100</f>
        <v>0.04</v>
      </c>
      <c r="J266" s="965"/>
      <c r="K266" s="53">
        <f>(SUMIF($9:$9,J266,$10:$10)-SUMIF($9:$9,$J$24,$10:$10)+100)/100</f>
        <v>0.04</v>
      </c>
      <c r="L266" s="965"/>
      <c r="M266" s="53">
        <f>(SUMIF($11:$11,L266,$12:$12)-SUMIF($11:$11,$L$24,$12:$12)+100)/100</f>
        <v>1</v>
      </c>
      <c r="N266" s="965"/>
      <c r="O266" s="53">
        <f>(SUMIF($13:$13,N266,$14:$14)-SUMIF($13:$13,$N$24,$14:$14)+100)/100</f>
        <v>1</v>
      </c>
      <c r="P266" s="965"/>
      <c r="Q266" s="53">
        <f>(SUMIF($15:$15,P266,$16:$16)-SUMIF($15:$15,$P$24,$16:$16)+100)/100</f>
        <v>1</v>
      </c>
      <c r="R266" s="965"/>
      <c r="S266" s="53">
        <f>(SUMIF($17:$17,R266,$18:$18)-SUMIF($17:$17,$R$24,$18:$18)+100)/100</f>
        <v>1</v>
      </c>
      <c r="T266" s="493">
        <f>IF(D266="",0,ROUND($T$24*E266*G266*I266*K266*M266*O266*Q266*S266,0))</f>
        <v>0</v>
      </c>
      <c r="U266" s="802">
        <f t="shared" si="16"/>
        <v>0</v>
      </c>
    </row>
    <row r="267" spans="3:21">
      <c r="C267" s="967"/>
      <c r="D267" s="137"/>
      <c r="E267" s="53">
        <f>IF(D267="",1,(LOOKUP(D267,$3:$3,$4:$4)-LOOKUP($D$24,$3:$3,$4:$4)+100)/100)</f>
        <v>1</v>
      </c>
      <c r="F267" s="965"/>
      <c r="G267" s="53">
        <f>(SUMIF($5:$5,F267,$6:$6)-SUMIF($5:$5,$F$24,$6:$6)+100)/100</f>
        <v>0.01</v>
      </c>
      <c r="H267" s="965"/>
      <c r="I267" s="53">
        <f>(SUMIF($7:$7,H267,$8:$8)-SUMIF($7:$7,$H$24,$8:$8)+100)/100</f>
        <v>0.04</v>
      </c>
      <c r="J267" s="965"/>
      <c r="K267" s="53">
        <f>(SUMIF($9:$9,J267,$10:$10)-SUMIF($9:$9,$J$24,$10:$10)+100)/100</f>
        <v>0.04</v>
      </c>
      <c r="L267" s="965"/>
      <c r="M267" s="53">
        <f>(SUMIF($11:$11,L267,$12:$12)-SUMIF($11:$11,$L$24,$12:$12)+100)/100</f>
        <v>1</v>
      </c>
      <c r="N267" s="965"/>
      <c r="O267" s="53">
        <f>(SUMIF($13:$13,N267,$14:$14)-SUMIF($13:$13,$N$24,$14:$14)+100)/100</f>
        <v>1</v>
      </c>
      <c r="P267" s="965"/>
      <c r="Q267" s="53">
        <f>(SUMIF($15:$15,P267,$16:$16)-SUMIF($15:$15,$P$24,$16:$16)+100)/100</f>
        <v>1</v>
      </c>
      <c r="R267" s="965"/>
      <c r="S267" s="53">
        <f>(SUMIF($17:$17,R267,$18:$18)-SUMIF($17:$17,$R$24,$18:$18)+100)/100</f>
        <v>1</v>
      </c>
      <c r="T267" s="493">
        <f>IF(D267="",0,ROUND($T$24*E267*G267*I267*K267*M267*O267*Q267*S267,0))</f>
        <v>0</v>
      </c>
      <c r="U267" s="802">
        <f t="shared" si="16"/>
        <v>0</v>
      </c>
    </row>
    <row r="268" spans="3:21">
      <c r="C268" s="967"/>
      <c r="D268" s="137"/>
      <c r="E268" s="53">
        <f>IF(D268="",1,(LOOKUP(D268,$3:$3,$4:$4)-LOOKUP($D$24,$3:$3,$4:$4)+100)/100)</f>
        <v>1</v>
      </c>
      <c r="F268" s="965"/>
      <c r="G268" s="53">
        <f>(SUMIF($5:$5,F268,$6:$6)-SUMIF($5:$5,$F$24,$6:$6)+100)/100</f>
        <v>0.01</v>
      </c>
      <c r="H268" s="965"/>
      <c r="I268" s="53">
        <f>(SUMIF($7:$7,H268,$8:$8)-SUMIF($7:$7,$H$24,$8:$8)+100)/100</f>
        <v>0.04</v>
      </c>
      <c r="J268" s="965"/>
      <c r="K268" s="53">
        <f>(SUMIF($9:$9,J268,$10:$10)-SUMIF($9:$9,$J$24,$10:$10)+100)/100</f>
        <v>0.04</v>
      </c>
      <c r="L268" s="965"/>
      <c r="M268" s="53">
        <f>(SUMIF($11:$11,L268,$12:$12)-SUMIF($11:$11,$L$24,$12:$12)+100)/100</f>
        <v>1</v>
      </c>
      <c r="N268" s="965"/>
      <c r="O268" s="53">
        <f>(SUMIF($13:$13,N268,$14:$14)-SUMIF($13:$13,$N$24,$14:$14)+100)/100</f>
        <v>1</v>
      </c>
      <c r="P268" s="965"/>
      <c r="Q268" s="53">
        <f>(SUMIF($15:$15,P268,$16:$16)-SUMIF($15:$15,$P$24,$16:$16)+100)/100</f>
        <v>1</v>
      </c>
      <c r="R268" s="965"/>
      <c r="S268" s="53">
        <f>(SUMIF($17:$17,R268,$18:$18)-SUMIF($17:$17,$R$24,$18:$18)+100)/100</f>
        <v>1</v>
      </c>
      <c r="T268" s="493">
        <f>IF(D268="",0,ROUND($T$24*E268*G268*I268*K268*M268*O268*Q268*S268,0))</f>
        <v>0</v>
      </c>
      <c r="U268" s="802">
        <f t="shared" si="16"/>
        <v>0</v>
      </c>
    </row>
    <row r="269" spans="3:21">
      <c r="C269" s="967"/>
      <c r="D269" s="137"/>
      <c r="E269" s="53">
        <f>IF(D269="",1,(LOOKUP(D269,$3:$3,$4:$4)-LOOKUP($D$24,$3:$3,$4:$4)+100)/100)</f>
        <v>1</v>
      </c>
      <c r="F269" s="965"/>
      <c r="G269" s="53">
        <f>(SUMIF($5:$5,F269,$6:$6)-SUMIF($5:$5,$F$24,$6:$6)+100)/100</f>
        <v>0.01</v>
      </c>
      <c r="H269" s="965"/>
      <c r="I269" s="53">
        <f>(SUMIF($7:$7,H269,$8:$8)-SUMIF($7:$7,$H$24,$8:$8)+100)/100</f>
        <v>0.04</v>
      </c>
      <c r="J269" s="965"/>
      <c r="K269" s="53">
        <f>(SUMIF($9:$9,J269,$10:$10)-SUMIF($9:$9,$J$24,$10:$10)+100)/100</f>
        <v>0.04</v>
      </c>
      <c r="L269" s="965"/>
      <c r="M269" s="53">
        <f>(SUMIF($11:$11,L269,$12:$12)-SUMIF($11:$11,$L$24,$12:$12)+100)/100</f>
        <v>1</v>
      </c>
      <c r="N269" s="965"/>
      <c r="O269" s="53">
        <f>(SUMIF($13:$13,N269,$14:$14)-SUMIF($13:$13,$N$24,$14:$14)+100)/100</f>
        <v>1</v>
      </c>
      <c r="P269" s="965"/>
      <c r="Q269" s="53">
        <f>(SUMIF($15:$15,P269,$16:$16)-SUMIF($15:$15,$P$24,$16:$16)+100)/100</f>
        <v>1</v>
      </c>
      <c r="R269" s="965"/>
      <c r="S269" s="53">
        <f>(SUMIF($17:$17,R269,$18:$18)-SUMIF($17:$17,$R$24,$18:$18)+100)/100</f>
        <v>1</v>
      </c>
      <c r="T269" s="493">
        <f>IF(D269="",0,ROUND($T$24*E269*G269*I269*K269*M269*O269*Q269*S269,0))</f>
        <v>0</v>
      </c>
      <c r="U269" s="802">
        <f t="shared" si="16"/>
        <v>0</v>
      </c>
    </row>
    <row r="270" spans="3:21">
      <c r="C270" s="967"/>
      <c r="D270" s="137"/>
      <c r="E270" s="53">
        <f>IF(D270="",1,(LOOKUP(D270,$3:$3,$4:$4)-LOOKUP($D$24,$3:$3,$4:$4)+100)/100)</f>
        <v>1</v>
      </c>
      <c r="F270" s="965"/>
      <c r="G270" s="53">
        <f>(SUMIF($5:$5,F270,$6:$6)-SUMIF($5:$5,$F$24,$6:$6)+100)/100</f>
        <v>0.01</v>
      </c>
      <c r="H270" s="965"/>
      <c r="I270" s="53">
        <f>(SUMIF($7:$7,H270,$8:$8)-SUMIF($7:$7,$H$24,$8:$8)+100)/100</f>
        <v>0.04</v>
      </c>
      <c r="J270" s="965"/>
      <c r="K270" s="53">
        <f>(SUMIF($9:$9,J270,$10:$10)-SUMIF($9:$9,$J$24,$10:$10)+100)/100</f>
        <v>0.04</v>
      </c>
      <c r="L270" s="965"/>
      <c r="M270" s="53">
        <f>(SUMIF($11:$11,L270,$12:$12)-SUMIF($11:$11,$L$24,$12:$12)+100)/100</f>
        <v>1</v>
      </c>
      <c r="N270" s="965"/>
      <c r="O270" s="53">
        <f>(SUMIF($13:$13,N270,$14:$14)-SUMIF($13:$13,$N$24,$14:$14)+100)/100</f>
        <v>1</v>
      </c>
      <c r="P270" s="965"/>
      <c r="Q270" s="53">
        <f>(SUMIF($15:$15,P270,$16:$16)-SUMIF($15:$15,$P$24,$16:$16)+100)/100</f>
        <v>1</v>
      </c>
      <c r="R270" s="965"/>
      <c r="S270" s="53">
        <f>(SUMIF($17:$17,R270,$18:$18)-SUMIF($17:$17,$R$24,$18:$18)+100)/100</f>
        <v>1</v>
      </c>
      <c r="T270" s="493">
        <f>IF(D270="",0,ROUND($T$24*E270*G270*I270*K270*M270*O270*Q270*S270,0))</f>
        <v>0</v>
      </c>
      <c r="U270" s="802">
        <f t="shared" si="16"/>
        <v>0</v>
      </c>
    </row>
    <row r="271" spans="3:21">
      <c r="C271" s="967"/>
      <c r="D271" s="137"/>
      <c r="E271" s="53">
        <f>IF(D271="",1,(LOOKUP(D271,$3:$3,$4:$4)-LOOKUP($D$24,$3:$3,$4:$4)+100)/100)</f>
        <v>1</v>
      </c>
      <c r="F271" s="965"/>
      <c r="G271" s="53">
        <f>(SUMIF($5:$5,F271,$6:$6)-SUMIF($5:$5,$F$24,$6:$6)+100)/100</f>
        <v>0.01</v>
      </c>
      <c r="H271" s="965"/>
      <c r="I271" s="53">
        <f>(SUMIF($7:$7,H271,$8:$8)-SUMIF($7:$7,$H$24,$8:$8)+100)/100</f>
        <v>0.04</v>
      </c>
      <c r="J271" s="965"/>
      <c r="K271" s="53">
        <f>(SUMIF($9:$9,J271,$10:$10)-SUMIF($9:$9,$J$24,$10:$10)+100)/100</f>
        <v>0.04</v>
      </c>
      <c r="L271" s="965"/>
      <c r="M271" s="53">
        <f>(SUMIF($11:$11,L271,$12:$12)-SUMIF($11:$11,$L$24,$12:$12)+100)/100</f>
        <v>1</v>
      </c>
      <c r="N271" s="965"/>
      <c r="O271" s="53">
        <f>(SUMIF($13:$13,N271,$14:$14)-SUMIF($13:$13,$N$24,$14:$14)+100)/100</f>
        <v>1</v>
      </c>
      <c r="P271" s="965"/>
      <c r="Q271" s="53">
        <f>(SUMIF($15:$15,P271,$16:$16)-SUMIF($15:$15,$P$24,$16:$16)+100)/100</f>
        <v>1</v>
      </c>
      <c r="R271" s="965"/>
      <c r="S271" s="53">
        <f>(SUMIF($17:$17,R271,$18:$18)-SUMIF($17:$17,$R$24,$18:$18)+100)/100</f>
        <v>1</v>
      </c>
      <c r="T271" s="493">
        <f>IF(D271="",0,ROUND($T$24*E271*G271*I271*K271*M271*O271*Q271*S271,0))</f>
        <v>0</v>
      </c>
      <c r="U271" s="802">
        <f t="shared" si="16"/>
        <v>0</v>
      </c>
    </row>
    <row r="272" spans="3:21">
      <c r="C272" s="967"/>
      <c r="D272" s="137"/>
      <c r="E272" s="53">
        <f>IF(D272="",1,(LOOKUP(D272,$3:$3,$4:$4)-LOOKUP($D$24,$3:$3,$4:$4)+100)/100)</f>
        <v>1</v>
      </c>
      <c r="F272" s="965"/>
      <c r="G272" s="53">
        <f>(SUMIF($5:$5,F272,$6:$6)-SUMIF($5:$5,$F$24,$6:$6)+100)/100</f>
        <v>0.01</v>
      </c>
      <c r="H272" s="965"/>
      <c r="I272" s="53">
        <f>(SUMIF($7:$7,H272,$8:$8)-SUMIF($7:$7,$H$24,$8:$8)+100)/100</f>
        <v>0.04</v>
      </c>
      <c r="J272" s="965"/>
      <c r="K272" s="53">
        <f>(SUMIF($9:$9,J272,$10:$10)-SUMIF($9:$9,$J$24,$10:$10)+100)/100</f>
        <v>0.04</v>
      </c>
      <c r="L272" s="965"/>
      <c r="M272" s="53">
        <f>(SUMIF($11:$11,L272,$12:$12)-SUMIF($11:$11,$L$24,$12:$12)+100)/100</f>
        <v>1</v>
      </c>
      <c r="N272" s="965"/>
      <c r="O272" s="53">
        <f>(SUMIF($13:$13,N272,$14:$14)-SUMIF($13:$13,$N$24,$14:$14)+100)/100</f>
        <v>1</v>
      </c>
      <c r="P272" s="965"/>
      <c r="Q272" s="53">
        <f>(SUMIF($15:$15,P272,$16:$16)-SUMIF($15:$15,$P$24,$16:$16)+100)/100</f>
        <v>1</v>
      </c>
      <c r="R272" s="965"/>
      <c r="S272" s="53">
        <f>(SUMIF($17:$17,R272,$18:$18)-SUMIF($17:$17,$R$24,$18:$18)+100)/100</f>
        <v>1</v>
      </c>
      <c r="T272" s="493">
        <f>IF(D272="",0,ROUND($T$24*E272*G272*I272*K272*M272*O272*Q272*S272,0))</f>
        <v>0</v>
      </c>
      <c r="U272" s="802">
        <f t="shared" si="16"/>
        <v>0</v>
      </c>
    </row>
    <row r="273" spans="3:21">
      <c r="C273" s="967"/>
      <c r="D273" s="137"/>
      <c r="E273" s="53">
        <f>IF(D273="",1,(LOOKUP(D273,$3:$3,$4:$4)-LOOKUP($D$24,$3:$3,$4:$4)+100)/100)</f>
        <v>1</v>
      </c>
      <c r="F273" s="965"/>
      <c r="G273" s="53">
        <f>(SUMIF($5:$5,F273,$6:$6)-SUMIF($5:$5,$F$24,$6:$6)+100)/100</f>
        <v>0.01</v>
      </c>
      <c r="H273" s="965"/>
      <c r="I273" s="53">
        <f>(SUMIF($7:$7,H273,$8:$8)-SUMIF($7:$7,$H$24,$8:$8)+100)/100</f>
        <v>0.04</v>
      </c>
      <c r="J273" s="965"/>
      <c r="K273" s="53">
        <f>(SUMIF($9:$9,J273,$10:$10)-SUMIF($9:$9,$J$24,$10:$10)+100)/100</f>
        <v>0.04</v>
      </c>
      <c r="L273" s="965"/>
      <c r="M273" s="53">
        <f>(SUMIF($11:$11,L273,$12:$12)-SUMIF($11:$11,$L$24,$12:$12)+100)/100</f>
        <v>1</v>
      </c>
      <c r="N273" s="965"/>
      <c r="O273" s="53">
        <f>(SUMIF($13:$13,N273,$14:$14)-SUMIF($13:$13,$N$24,$14:$14)+100)/100</f>
        <v>1</v>
      </c>
      <c r="P273" s="965"/>
      <c r="Q273" s="53">
        <f>(SUMIF($15:$15,P273,$16:$16)-SUMIF($15:$15,$P$24,$16:$16)+100)/100</f>
        <v>1</v>
      </c>
      <c r="R273" s="965"/>
      <c r="S273" s="53">
        <f>(SUMIF($17:$17,R273,$18:$18)-SUMIF($17:$17,$R$24,$18:$18)+100)/100</f>
        <v>1</v>
      </c>
      <c r="T273" s="493">
        <f>IF(D273="",0,ROUND($T$24*E273*G273*I273*K273*M273*O273*Q273*S273,0))</f>
        <v>0</v>
      </c>
      <c r="U273" s="802">
        <f t="shared" si="16"/>
        <v>0</v>
      </c>
    </row>
    <row r="274" spans="3:21">
      <c r="C274" s="967"/>
      <c r="D274" s="137"/>
      <c r="E274" s="53">
        <f>IF(D274="",1,(LOOKUP(D274,$3:$3,$4:$4)-LOOKUP($D$24,$3:$3,$4:$4)+100)/100)</f>
        <v>1</v>
      </c>
      <c r="F274" s="965"/>
      <c r="G274" s="53">
        <f>(SUMIF($5:$5,F274,$6:$6)-SUMIF($5:$5,$F$24,$6:$6)+100)/100</f>
        <v>0.01</v>
      </c>
      <c r="H274" s="965"/>
      <c r="I274" s="53">
        <f>(SUMIF($7:$7,H274,$8:$8)-SUMIF($7:$7,$H$24,$8:$8)+100)/100</f>
        <v>0.04</v>
      </c>
      <c r="J274" s="965"/>
      <c r="K274" s="53">
        <f>(SUMIF($9:$9,J274,$10:$10)-SUMIF($9:$9,$J$24,$10:$10)+100)/100</f>
        <v>0.04</v>
      </c>
      <c r="L274" s="965"/>
      <c r="M274" s="53">
        <f>(SUMIF($11:$11,L274,$12:$12)-SUMIF($11:$11,$L$24,$12:$12)+100)/100</f>
        <v>1</v>
      </c>
      <c r="N274" s="965"/>
      <c r="O274" s="53">
        <f>(SUMIF($13:$13,N274,$14:$14)-SUMIF($13:$13,$N$24,$14:$14)+100)/100</f>
        <v>1</v>
      </c>
      <c r="P274" s="965"/>
      <c r="Q274" s="53">
        <f>(SUMIF($15:$15,P274,$16:$16)-SUMIF($15:$15,$P$24,$16:$16)+100)/100</f>
        <v>1</v>
      </c>
      <c r="R274" s="965"/>
      <c r="S274" s="53">
        <f>(SUMIF($17:$17,R274,$18:$18)-SUMIF($17:$17,$R$24,$18:$18)+100)/100</f>
        <v>1</v>
      </c>
      <c r="T274" s="493">
        <f>IF(D274="",0,ROUND($T$24*E274*G274*I274*K274*M274*O274*Q274*S274,0))</f>
        <v>0</v>
      </c>
      <c r="U274" s="802">
        <f t="shared" si="16"/>
        <v>0</v>
      </c>
    </row>
    <row r="275" spans="3:21">
      <c r="C275" s="967"/>
      <c r="D275" s="137"/>
      <c r="E275" s="53">
        <f>IF(D275="",1,(LOOKUP(D275,$3:$3,$4:$4)-LOOKUP($D$24,$3:$3,$4:$4)+100)/100)</f>
        <v>1</v>
      </c>
      <c r="F275" s="965"/>
      <c r="G275" s="53">
        <f>(SUMIF($5:$5,F275,$6:$6)-SUMIF($5:$5,$F$24,$6:$6)+100)/100</f>
        <v>0.01</v>
      </c>
      <c r="H275" s="965"/>
      <c r="I275" s="53">
        <f>(SUMIF($7:$7,H275,$8:$8)-SUMIF($7:$7,$H$24,$8:$8)+100)/100</f>
        <v>0.04</v>
      </c>
      <c r="J275" s="965"/>
      <c r="K275" s="53">
        <f>(SUMIF($9:$9,J275,$10:$10)-SUMIF($9:$9,$J$24,$10:$10)+100)/100</f>
        <v>0.04</v>
      </c>
      <c r="L275" s="965"/>
      <c r="M275" s="53">
        <f>(SUMIF($11:$11,L275,$12:$12)-SUMIF($11:$11,$L$24,$12:$12)+100)/100</f>
        <v>1</v>
      </c>
      <c r="N275" s="965"/>
      <c r="O275" s="53">
        <f>(SUMIF($13:$13,N275,$14:$14)-SUMIF($13:$13,$N$24,$14:$14)+100)/100</f>
        <v>1</v>
      </c>
      <c r="P275" s="965"/>
      <c r="Q275" s="53">
        <f>(SUMIF($15:$15,P275,$16:$16)-SUMIF($15:$15,$P$24,$16:$16)+100)/100</f>
        <v>1</v>
      </c>
      <c r="R275" s="965"/>
      <c r="S275" s="53">
        <f>(SUMIF($17:$17,R275,$18:$18)-SUMIF($17:$17,$R$24,$18:$18)+100)/100</f>
        <v>1</v>
      </c>
      <c r="T275" s="493">
        <f>IF(D275="",0,ROUND($T$24*E275*G275*I275*K275*M275*O275*Q275*S275,0))</f>
        <v>0</v>
      </c>
      <c r="U275" s="802">
        <f t="shared" si="16"/>
        <v>0</v>
      </c>
    </row>
    <row r="276" spans="3:21">
      <c r="C276" s="967"/>
      <c r="D276" s="137"/>
      <c r="E276" s="53">
        <f>IF(D276="",1,(LOOKUP(D276,$3:$3,$4:$4)-LOOKUP($D$24,$3:$3,$4:$4)+100)/100)</f>
        <v>1</v>
      </c>
      <c r="F276" s="965"/>
      <c r="G276" s="53">
        <f>(SUMIF($5:$5,F276,$6:$6)-SUMIF($5:$5,$F$24,$6:$6)+100)/100</f>
        <v>0.01</v>
      </c>
      <c r="H276" s="965"/>
      <c r="I276" s="53">
        <f>(SUMIF($7:$7,H276,$8:$8)-SUMIF($7:$7,$H$24,$8:$8)+100)/100</f>
        <v>0.04</v>
      </c>
      <c r="J276" s="965"/>
      <c r="K276" s="53">
        <f>(SUMIF($9:$9,J276,$10:$10)-SUMIF($9:$9,$J$24,$10:$10)+100)/100</f>
        <v>0.04</v>
      </c>
      <c r="L276" s="965"/>
      <c r="M276" s="53">
        <f>(SUMIF($11:$11,L276,$12:$12)-SUMIF($11:$11,$L$24,$12:$12)+100)/100</f>
        <v>1</v>
      </c>
      <c r="N276" s="965"/>
      <c r="O276" s="53">
        <f>(SUMIF($13:$13,N276,$14:$14)-SUMIF($13:$13,$N$24,$14:$14)+100)/100</f>
        <v>1</v>
      </c>
      <c r="P276" s="965"/>
      <c r="Q276" s="53">
        <f>(SUMIF($15:$15,P276,$16:$16)-SUMIF($15:$15,$P$24,$16:$16)+100)/100</f>
        <v>1</v>
      </c>
      <c r="R276" s="965"/>
      <c r="S276" s="53">
        <f>(SUMIF($17:$17,R276,$18:$18)-SUMIF($17:$17,$R$24,$18:$18)+100)/100</f>
        <v>1</v>
      </c>
      <c r="T276" s="493">
        <f>IF(D276="",0,ROUND($T$24*E276*G276*I276*K276*M276*O276*Q276*S276,0))</f>
        <v>0</v>
      </c>
      <c r="U276" s="802">
        <f t="shared" si="16"/>
        <v>0</v>
      </c>
    </row>
    <row r="277" spans="3:21">
      <c r="C277" s="967"/>
      <c r="D277" s="137"/>
      <c r="E277" s="53">
        <f>IF(D277="",1,(LOOKUP(D277,$3:$3,$4:$4)-LOOKUP($D$24,$3:$3,$4:$4)+100)/100)</f>
        <v>1</v>
      </c>
      <c r="F277" s="965"/>
      <c r="G277" s="53">
        <f>(SUMIF($5:$5,F277,$6:$6)-SUMIF($5:$5,$F$24,$6:$6)+100)/100</f>
        <v>0.01</v>
      </c>
      <c r="H277" s="965"/>
      <c r="I277" s="53">
        <f>(SUMIF($7:$7,H277,$8:$8)-SUMIF($7:$7,$H$24,$8:$8)+100)/100</f>
        <v>0.04</v>
      </c>
      <c r="J277" s="965"/>
      <c r="K277" s="53">
        <f>(SUMIF($9:$9,J277,$10:$10)-SUMIF($9:$9,$J$24,$10:$10)+100)/100</f>
        <v>0.04</v>
      </c>
      <c r="L277" s="965"/>
      <c r="M277" s="53">
        <f>(SUMIF($11:$11,L277,$12:$12)-SUMIF($11:$11,$L$24,$12:$12)+100)/100</f>
        <v>1</v>
      </c>
      <c r="N277" s="965"/>
      <c r="O277" s="53">
        <f>(SUMIF($13:$13,N277,$14:$14)-SUMIF($13:$13,$N$24,$14:$14)+100)/100</f>
        <v>1</v>
      </c>
      <c r="P277" s="965"/>
      <c r="Q277" s="53">
        <f>(SUMIF($15:$15,P277,$16:$16)-SUMIF($15:$15,$P$24,$16:$16)+100)/100</f>
        <v>1</v>
      </c>
      <c r="R277" s="965"/>
      <c r="S277" s="53">
        <f>(SUMIF($17:$17,R277,$18:$18)-SUMIF($17:$17,$R$24,$18:$18)+100)/100</f>
        <v>1</v>
      </c>
      <c r="T277" s="493">
        <f>IF(D277="",0,ROUND($T$24*E277*G277*I277*K277*M277*O277*Q277*S277,0))</f>
        <v>0</v>
      </c>
      <c r="U277" s="802">
        <f t="shared" si="16"/>
        <v>0</v>
      </c>
    </row>
    <row r="278" spans="3:21">
      <c r="C278" s="967"/>
      <c r="D278" s="137"/>
      <c r="E278" s="53">
        <f>IF(D278="",1,(LOOKUP(D278,$3:$3,$4:$4)-LOOKUP($D$24,$3:$3,$4:$4)+100)/100)</f>
        <v>1</v>
      </c>
      <c r="F278" s="965"/>
      <c r="G278" s="53">
        <f>(SUMIF($5:$5,F278,$6:$6)-SUMIF($5:$5,$F$24,$6:$6)+100)/100</f>
        <v>0.01</v>
      </c>
      <c r="H278" s="965"/>
      <c r="I278" s="53">
        <f>(SUMIF($7:$7,H278,$8:$8)-SUMIF($7:$7,$H$24,$8:$8)+100)/100</f>
        <v>0.04</v>
      </c>
      <c r="J278" s="965"/>
      <c r="K278" s="53">
        <f>(SUMIF($9:$9,J278,$10:$10)-SUMIF($9:$9,$J$24,$10:$10)+100)/100</f>
        <v>0.04</v>
      </c>
      <c r="L278" s="965"/>
      <c r="M278" s="53">
        <f>(SUMIF($11:$11,L278,$12:$12)-SUMIF($11:$11,$L$24,$12:$12)+100)/100</f>
        <v>1</v>
      </c>
      <c r="N278" s="965"/>
      <c r="O278" s="53">
        <f>(SUMIF($13:$13,N278,$14:$14)-SUMIF($13:$13,$N$24,$14:$14)+100)/100</f>
        <v>1</v>
      </c>
      <c r="P278" s="965"/>
      <c r="Q278" s="53">
        <f>(SUMIF($15:$15,P278,$16:$16)-SUMIF($15:$15,$P$24,$16:$16)+100)/100</f>
        <v>1</v>
      </c>
      <c r="R278" s="965"/>
      <c r="S278" s="53">
        <f>(SUMIF($17:$17,R278,$18:$18)-SUMIF($17:$17,$R$24,$18:$18)+100)/100</f>
        <v>1</v>
      </c>
      <c r="T278" s="493">
        <f>IF(D278="",0,ROUND($T$24*E278*G278*I278*K278*M278*O278*Q278*S278,0))</f>
        <v>0</v>
      </c>
      <c r="U278" s="802">
        <f t="shared" si="16"/>
        <v>0</v>
      </c>
    </row>
    <row r="279" spans="3:21">
      <c r="C279" s="967"/>
      <c r="D279" s="137"/>
      <c r="E279" s="53">
        <f>IF(D279="",1,(LOOKUP(D279,$3:$3,$4:$4)-LOOKUP($D$24,$3:$3,$4:$4)+100)/100)</f>
        <v>1</v>
      </c>
      <c r="F279" s="965"/>
      <c r="G279" s="53">
        <f>(SUMIF($5:$5,F279,$6:$6)-SUMIF($5:$5,$F$24,$6:$6)+100)/100</f>
        <v>0.01</v>
      </c>
      <c r="H279" s="965"/>
      <c r="I279" s="53">
        <f>(SUMIF($7:$7,H279,$8:$8)-SUMIF($7:$7,$H$24,$8:$8)+100)/100</f>
        <v>0.04</v>
      </c>
      <c r="J279" s="965"/>
      <c r="K279" s="53">
        <f>(SUMIF($9:$9,J279,$10:$10)-SUMIF($9:$9,$J$24,$10:$10)+100)/100</f>
        <v>0.04</v>
      </c>
      <c r="L279" s="965"/>
      <c r="M279" s="53">
        <f>(SUMIF($11:$11,L279,$12:$12)-SUMIF($11:$11,$L$24,$12:$12)+100)/100</f>
        <v>1</v>
      </c>
      <c r="N279" s="965"/>
      <c r="O279" s="53">
        <f>(SUMIF($13:$13,N279,$14:$14)-SUMIF($13:$13,$N$24,$14:$14)+100)/100</f>
        <v>1</v>
      </c>
      <c r="P279" s="965"/>
      <c r="Q279" s="53">
        <f>(SUMIF($15:$15,P279,$16:$16)-SUMIF($15:$15,$P$24,$16:$16)+100)/100</f>
        <v>1</v>
      </c>
      <c r="R279" s="965"/>
      <c r="S279" s="53">
        <f>(SUMIF($17:$17,R279,$18:$18)-SUMIF($17:$17,$R$24,$18:$18)+100)/100</f>
        <v>1</v>
      </c>
      <c r="T279" s="493">
        <f>IF(D279="",0,ROUND($T$24*E279*G279*I279*K279*M279*O279*Q279*S279,0))</f>
        <v>0</v>
      </c>
      <c r="U279" s="802">
        <f t="shared" si="16"/>
        <v>0</v>
      </c>
    </row>
    <row r="280" spans="3:21">
      <c r="C280" s="967"/>
      <c r="D280" s="137"/>
      <c r="E280" s="53">
        <f>IF(D280="",1,(LOOKUP(D280,$3:$3,$4:$4)-LOOKUP($D$24,$3:$3,$4:$4)+100)/100)</f>
        <v>1</v>
      </c>
      <c r="F280" s="965"/>
      <c r="G280" s="53">
        <f>(SUMIF($5:$5,F280,$6:$6)-SUMIF($5:$5,$F$24,$6:$6)+100)/100</f>
        <v>0.01</v>
      </c>
      <c r="H280" s="965"/>
      <c r="I280" s="53">
        <f>(SUMIF($7:$7,H280,$8:$8)-SUMIF($7:$7,$H$24,$8:$8)+100)/100</f>
        <v>0.04</v>
      </c>
      <c r="J280" s="965"/>
      <c r="K280" s="53">
        <f>(SUMIF($9:$9,J280,$10:$10)-SUMIF($9:$9,$J$24,$10:$10)+100)/100</f>
        <v>0.04</v>
      </c>
      <c r="L280" s="965"/>
      <c r="M280" s="53">
        <f>(SUMIF($11:$11,L280,$12:$12)-SUMIF($11:$11,$L$24,$12:$12)+100)/100</f>
        <v>1</v>
      </c>
      <c r="N280" s="965"/>
      <c r="O280" s="53">
        <f>(SUMIF($13:$13,N280,$14:$14)-SUMIF($13:$13,$N$24,$14:$14)+100)/100</f>
        <v>1</v>
      </c>
      <c r="P280" s="965"/>
      <c r="Q280" s="53">
        <f>(SUMIF($15:$15,P280,$16:$16)-SUMIF($15:$15,$P$24,$16:$16)+100)/100</f>
        <v>1</v>
      </c>
      <c r="R280" s="965"/>
      <c r="S280" s="53">
        <f>(SUMIF($17:$17,R280,$18:$18)-SUMIF($17:$17,$R$24,$18:$18)+100)/100</f>
        <v>1</v>
      </c>
      <c r="T280" s="493">
        <f>IF(D280="",0,ROUND($T$24*E280*G280*I280*K280*M280*O280*Q280*S280,0))</f>
        <v>0</v>
      </c>
      <c r="U280" s="802">
        <f t="shared" si="16"/>
        <v>0</v>
      </c>
    </row>
    <row r="281" spans="3:21">
      <c r="C281" s="967"/>
      <c r="D281" s="137"/>
      <c r="E281" s="53">
        <f>IF(D281="",1,(LOOKUP(D281,$3:$3,$4:$4)-LOOKUP($D$24,$3:$3,$4:$4)+100)/100)</f>
        <v>1</v>
      </c>
      <c r="F281" s="965"/>
      <c r="G281" s="53">
        <f>(SUMIF($5:$5,F281,$6:$6)-SUMIF($5:$5,$F$24,$6:$6)+100)/100</f>
        <v>0.01</v>
      </c>
      <c r="H281" s="965"/>
      <c r="I281" s="53">
        <f>(SUMIF($7:$7,H281,$8:$8)-SUMIF($7:$7,$H$24,$8:$8)+100)/100</f>
        <v>0.04</v>
      </c>
      <c r="J281" s="965"/>
      <c r="K281" s="53">
        <f>(SUMIF($9:$9,J281,$10:$10)-SUMIF($9:$9,$J$24,$10:$10)+100)/100</f>
        <v>0.04</v>
      </c>
      <c r="L281" s="965"/>
      <c r="M281" s="53">
        <f>(SUMIF($11:$11,L281,$12:$12)-SUMIF($11:$11,$L$24,$12:$12)+100)/100</f>
        <v>1</v>
      </c>
      <c r="N281" s="965"/>
      <c r="O281" s="53">
        <f>(SUMIF($13:$13,N281,$14:$14)-SUMIF($13:$13,$N$24,$14:$14)+100)/100</f>
        <v>1</v>
      </c>
      <c r="P281" s="965"/>
      <c r="Q281" s="53">
        <f>(SUMIF($15:$15,P281,$16:$16)-SUMIF($15:$15,$P$24,$16:$16)+100)/100</f>
        <v>1</v>
      </c>
      <c r="R281" s="965"/>
      <c r="S281" s="53">
        <f>(SUMIF($17:$17,R281,$18:$18)-SUMIF($17:$17,$R$24,$18:$18)+100)/100</f>
        <v>1</v>
      </c>
      <c r="T281" s="493">
        <f>IF(D281="",0,ROUND($T$24*E281*G281*I281*K281*M281*O281*Q281*S281,0))</f>
        <v>0</v>
      </c>
      <c r="U281" s="802">
        <f t="shared" si="16"/>
        <v>0</v>
      </c>
    </row>
    <row r="282" spans="3:21">
      <c r="C282" s="967"/>
      <c r="D282" s="137"/>
      <c r="E282" s="53">
        <f>IF(D282="",1,(LOOKUP(D282,$3:$3,$4:$4)-LOOKUP($D$24,$3:$3,$4:$4)+100)/100)</f>
        <v>1</v>
      </c>
      <c r="F282" s="965"/>
      <c r="G282" s="53">
        <f>(SUMIF($5:$5,F282,$6:$6)-SUMIF($5:$5,$F$24,$6:$6)+100)/100</f>
        <v>0.01</v>
      </c>
      <c r="H282" s="965"/>
      <c r="I282" s="53">
        <f>(SUMIF($7:$7,H282,$8:$8)-SUMIF($7:$7,$H$24,$8:$8)+100)/100</f>
        <v>0.04</v>
      </c>
      <c r="J282" s="965"/>
      <c r="K282" s="53">
        <f>(SUMIF($9:$9,J282,$10:$10)-SUMIF($9:$9,$J$24,$10:$10)+100)/100</f>
        <v>0.04</v>
      </c>
      <c r="L282" s="965"/>
      <c r="M282" s="53">
        <f>(SUMIF($11:$11,L282,$12:$12)-SUMIF($11:$11,$L$24,$12:$12)+100)/100</f>
        <v>1</v>
      </c>
      <c r="N282" s="965"/>
      <c r="O282" s="53">
        <f>(SUMIF($13:$13,N282,$14:$14)-SUMIF($13:$13,$N$24,$14:$14)+100)/100</f>
        <v>1</v>
      </c>
      <c r="P282" s="965"/>
      <c r="Q282" s="53">
        <f>(SUMIF($15:$15,P282,$16:$16)-SUMIF($15:$15,$P$24,$16:$16)+100)/100</f>
        <v>1</v>
      </c>
      <c r="R282" s="965"/>
      <c r="S282" s="53">
        <f>(SUMIF($17:$17,R282,$18:$18)-SUMIF($17:$17,$R$24,$18:$18)+100)/100</f>
        <v>1</v>
      </c>
      <c r="T282" s="493">
        <f>IF(D282="",0,ROUND($T$24*E282*G282*I282*K282*M282*O282*Q282*S282,0))</f>
        <v>0</v>
      </c>
      <c r="U282" s="802">
        <f t="shared" si="16"/>
        <v>0</v>
      </c>
    </row>
    <row r="283" spans="3:21">
      <c r="C283" s="967"/>
      <c r="D283" s="137"/>
      <c r="E283" s="53">
        <f>IF(D283="",1,(LOOKUP(D283,$3:$3,$4:$4)-LOOKUP($D$24,$3:$3,$4:$4)+100)/100)</f>
        <v>1</v>
      </c>
      <c r="F283" s="965"/>
      <c r="G283" s="53">
        <f>(SUMIF($5:$5,F283,$6:$6)-SUMIF($5:$5,$F$24,$6:$6)+100)/100</f>
        <v>0.01</v>
      </c>
      <c r="H283" s="965"/>
      <c r="I283" s="53">
        <f>(SUMIF($7:$7,H283,$8:$8)-SUMIF($7:$7,$H$24,$8:$8)+100)/100</f>
        <v>0.04</v>
      </c>
      <c r="J283" s="965"/>
      <c r="K283" s="53">
        <f>(SUMIF($9:$9,J283,$10:$10)-SUMIF($9:$9,$J$24,$10:$10)+100)/100</f>
        <v>0.04</v>
      </c>
      <c r="L283" s="965"/>
      <c r="M283" s="53">
        <f>(SUMIF($11:$11,L283,$12:$12)-SUMIF($11:$11,$L$24,$12:$12)+100)/100</f>
        <v>1</v>
      </c>
      <c r="N283" s="965"/>
      <c r="O283" s="53">
        <f>(SUMIF($13:$13,N283,$14:$14)-SUMIF($13:$13,$N$24,$14:$14)+100)/100</f>
        <v>1</v>
      </c>
      <c r="P283" s="965"/>
      <c r="Q283" s="53">
        <f>(SUMIF($15:$15,P283,$16:$16)-SUMIF($15:$15,$P$24,$16:$16)+100)/100</f>
        <v>1</v>
      </c>
      <c r="R283" s="965"/>
      <c r="S283" s="53">
        <f>(SUMIF($17:$17,R283,$18:$18)-SUMIF($17:$17,$R$24,$18:$18)+100)/100</f>
        <v>1</v>
      </c>
      <c r="T283" s="493">
        <f>IF(D283="",0,ROUND($T$24*E283*G283*I283*K283*M283*O283*Q283*S283,0))</f>
        <v>0</v>
      </c>
      <c r="U283" s="802">
        <f t="shared" si="16"/>
        <v>0</v>
      </c>
    </row>
    <row r="284" spans="3:21">
      <c r="C284" s="967"/>
      <c r="D284" s="137"/>
      <c r="E284" s="53">
        <f>IF(D284="",1,(LOOKUP(D284,$3:$3,$4:$4)-LOOKUP($D$24,$3:$3,$4:$4)+100)/100)</f>
        <v>1</v>
      </c>
      <c r="F284" s="965"/>
      <c r="G284" s="53">
        <f>(SUMIF($5:$5,F284,$6:$6)-SUMIF($5:$5,$F$24,$6:$6)+100)/100</f>
        <v>0.01</v>
      </c>
      <c r="H284" s="965"/>
      <c r="I284" s="53">
        <f>(SUMIF($7:$7,H284,$8:$8)-SUMIF($7:$7,$H$24,$8:$8)+100)/100</f>
        <v>0.04</v>
      </c>
      <c r="J284" s="965"/>
      <c r="K284" s="53">
        <f>(SUMIF($9:$9,J284,$10:$10)-SUMIF($9:$9,$J$24,$10:$10)+100)/100</f>
        <v>0.04</v>
      </c>
      <c r="L284" s="965"/>
      <c r="M284" s="53">
        <f>(SUMIF($11:$11,L284,$12:$12)-SUMIF($11:$11,$L$24,$12:$12)+100)/100</f>
        <v>1</v>
      </c>
      <c r="N284" s="965"/>
      <c r="O284" s="53">
        <f>(SUMIF($13:$13,N284,$14:$14)-SUMIF($13:$13,$N$24,$14:$14)+100)/100</f>
        <v>1</v>
      </c>
      <c r="P284" s="965"/>
      <c r="Q284" s="53">
        <f>(SUMIF($15:$15,P284,$16:$16)-SUMIF($15:$15,$P$24,$16:$16)+100)/100</f>
        <v>1</v>
      </c>
      <c r="R284" s="965"/>
      <c r="S284" s="53">
        <f>(SUMIF($17:$17,R284,$18:$18)-SUMIF($17:$17,$R$24,$18:$18)+100)/100</f>
        <v>1</v>
      </c>
      <c r="T284" s="493">
        <f>IF(D284="",0,ROUND($T$24*E284*G284*I284*K284*M284*O284*Q284*S284,0))</f>
        <v>0</v>
      </c>
      <c r="U284" s="802">
        <f t="shared" si="16"/>
        <v>0</v>
      </c>
    </row>
    <row r="285" spans="3:21">
      <c r="C285" s="967"/>
      <c r="D285" s="137"/>
      <c r="E285" s="53">
        <f>IF(D285="",1,(LOOKUP(D285,$3:$3,$4:$4)-LOOKUP($D$24,$3:$3,$4:$4)+100)/100)</f>
        <v>1</v>
      </c>
      <c r="F285" s="965"/>
      <c r="G285" s="53">
        <f>(SUMIF($5:$5,F285,$6:$6)-SUMIF($5:$5,$F$24,$6:$6)+100)/100</f>
        <v>0.01</v>
      </c>
      <c r="H285" s="965"/>
      <c r="I285" s="53">
        <f>(SUMIF($7:$7,H285,$8:$8)-SUMIF($7:$7,$H$24,$8:$8)+100)/100</f>
        <v>0.04</v>
      </c>
      <c r="J285" s="965"/>
      <c r="K285" s="53">
        <f>(SUMIF($9:$9,J285,$10:$10)-SUMIF($9:$9,$J$24,$10:$10)+100)/100</f>
        <v>0.04</v>
      </c>
      <c r="L285" s="965"/>
      <c r="M285" s="53">
        <f>(SUMIF($11:$11,L285,$12:$12)-SUMIF($11:$11,$L$24,$12:$12)+100)/100</f>
        <v>1</v>
      </c>
      <c r="N285" s="965"/>
      <c r="O285" s="53">
        <f>(SUMIF($13:$13,N285,$14:$14)-SUMIF($13:$13,$N$24,$14:$14)+100)/100</f>
        <v>1</v>
      </c>
      <c r="P285" s="965"/>
      <c r="Q285" s="53">
        <f>(SUMIF($15:$15,P285,$16:$16)-SUMIF($15:$15,$P$24,$16:$16)+100)/100</f>
        <v>1</v>
      </c>
      <c r="R285" s="965"/>
      <c r="S285" s="53">
        <f>(SUMIF($17:$17,R285,$18:$18)-SUMIF($17:$17,$R$24,$18:$18)+100)/100</f>
        <v>1</v>
      </c>
      <c r="T285" s="493">
        <f>IF(D285="",0,ROUND($T$24*E285*G285*I285*K285*M285*O285*Q285*S285,0))</f>
        <v>0</v>
      </c>
      <c r="U285" s="802">
        <f t="shared" si="16"/>
        <v>0</v>
      </c>
    </row>
    <row r="286" spans="3:21">
      <c r="C286" s="967"/>
      <c r="D286" s="137"/>
      <c r="E286" s="53">
        <f>IF(D286="",1,(LOOKUP(D286,$3:$3,$4:$4)-LOOKUP($D$24,$3:$3,$4:$4)+100)/100)</f>
        <v>1</v>
      </c>
      <c r="F286" s="965"/>
      <c r="G286" s="53">
        <f>(SUMIF($5:$5,F286,$6:$6)-SUMIF($5:$5,$F$24,$6:$6)+100)/100</f>
        <v>0.01</v>
      </c>
      <c r="H286" s="965"/>
      <c r="I286" s="53">
        <f>(SUMIF($7:$7,H286,$8:$8)-SUMIF($7:$7,$H$24,$8:$8)+100)/100</f>
        <v>0.04</v>
      </c>
      <c r="J286" s="965"/>
      <c r="K286" s="53">
        <f>(SUMIF($9:$9,J286,$10:$10)-SUMIF($9:$9,$J$24,$10:$10)+100)/100</f>
        <v>0.04</v>
      </c>
      <c r="L286" s="965"/>
      <c r="M286" s="53">
        <f>(SUMIF($11:$11,L286,$12:$12)-SUMIF($11:$11,$L$24,$12:$12)+100)/100</f>
        <v>1</v>
      </c>
      <c r="N286" s="965"/>
      <c r="O286" s="53">
        <f>(SUMIF($13:$13,N286,$14:$14)-SUMIF($13:$13,$N$24,$14:$14)+100)/100</f>
        <v>1</v>
      </c>
      <c r="P286" s="965"/>
      <c r="Q286" s="53">
        <f>(SUMIF($15:$15,P286,$16:$16)-SUMIF($15:$15,$P$24,$16:$16)+100)/100</f>
        <v>1</v>
      </c>
      <c r="R286" s="965"/>
      <c r="S286" s="53">
        <f>(SUMIF($17:$17,R286,$18:$18)-SUMIF($17:$17,$R$24,$18:$18)+100)/100</f>
        <v>1</v>
      </c>
      <c r="T286" s="493">
        <f>IF(D286="",0,ROUND($T$24*E286*G286*I286*K286*M286*O286*Q286*S286,0))</f>
        <v>0</v>
      </c>
      <c r="U286" s="802">
        <f t="shared" si="16"/>
        <v>0</v>
      </c>
    </row>
    <row r="287" spans="3:21">
      <c r="C287" s="967"/>
      <c r="D287" s="137"/>
      <c r="E287" s="53">
        <f>IF(D287="",1,(LOOKUP(D287,$3:$3,$4:$4)-LOOKUP($D$24,$3:$3,$4:$4)+100)/100)</f>
        <v>1</v>
      </c>
      <c r="F287" s="965"/>
      <c r="G287" s="53">
        <f>(SUMIF($5:$5,F287,$6:$6)-SUMIF($5:$5,$F$24,$6:$6)+100)/100</f>
        <v>0.01</v>
      </c>
      <c r="H287" s="965"/>
      <c r="I287" s="53">
        <f>(SUMIF($7:$7,H287,$8:$8)-SUMIF($7:$7,$H$24,$8:$8)+100)/100</f>
        <v>0.04</v>
      </c>
      <c r="J287" s="965"/>
      <c r="K287" s="53">
        <f>(SUMIF($9:$9,J287,$10:$10)-SUMIF($9:$9,$J$24,$10:$10)+100)/100</f>
        <v>0.04</v>
      </c>
      <c r="L287" s="965"/>
      <c r="M287" s="53">
        <f>(SUMIF($11:$11,L287,$12:$12)-SUMIF($11:$11,$L$24,$12:$12)+100)/100</f>
        <v>1</v>
      </c>
      <c r="N287" s="965"/>
      <c r="O287" s="53">
        <f>(SUMIF($13:$13,N287,$14:$14)-SUMIF($13:$13,$N$24,$14:$14)+100)/100</f>
        <v>1</v>
      </c>
      <c r="P287" s="965"/>
      <c r="Q287" s="53">
        <f>(SUMIF($15:$15,P287,$16:$16)-SUMIF($15:$15,$P$24,$16:$16)+100)/100</f>
        <v>1</v>
      </c>
      <c r="R287" s="965"/>
      <c r="S287" s="53">
        <f>(SUMIF($17:$17,R287,$18:$18)-SUMIF($17:$17,$R$24,$18:$18)+100)/100</f>
        <v>1</v>
      </c>
      <c r="T287" s="493">
        <f>IF(D287="",0,ROUND($T$24*E287*G287*I287*K287*M287*O287*Q287*S287,0))</f>
        <v>0</v>
      </c>
      <c r="U287" s="802">
        <f t="shared" ref="U287:U320" si="17">ROUND(T287*D287/10000,0)</f>
        <v>0</v>
      </c>
    </row>
    <row r="288" spans="3:21">
      <c r="C288" s="967"/>
      <c r="D288" s="137"/>
      <c r="E288" s="53">
        <f>IF(D288="",1,(LOOKUP(D288,$3:$3,$4:$4)-LOOKUP($D$24,$3:$3,$4:$4)+100)/100)</f>
        <v>1</v>
      </c>
      <c r="F288" s="965"/>
      <c r="G288" s="53">
        <f>(SUMIF($5:$5,F288,$6:$6)-SUMIF($5:$5,$F$24,$6:$6)+100)/100</f>
        <v>0.01</v>
      </c>
      <c r="H288" s="965"/>
      <c r="I288" s="53">
        <f>(SUMIF($7:$7,H288,$8:$8)-SUMIF($7:$7,$H$24,$8:$8)+100)/100</f>
        <v>0.04</v>
      </c>
      <c r="J288" s="965"/>
      <c r="K288" s="53">
        <f>(SUMIF($9:$9,J288,$10:$10)-SUMIF($9:$9,$J$24,$10:$10)+100)/100</f>
        <v>0.04</v>
      </c>
      <c r="L288" s="965"/>
      <c r="M288" s="53">
        <f>(SUMIF($11:$11,L288,$12:$12)-SUMIF($11:$11,$L$24,$12:$12)+100)/100</f>
        <v>1</v>
      </c>
      <c r="N288" s="965"/>
      <c r="O288" s="53">
        <f>(SUMIF($13:$13,N288,$14:$14)-SUMIF($13:$13,$N$24,$14:$14)+100)/100</f>
        <v>1</v>
      </c>
      <c r="P288" s="965"/>
      <c r="Q288" s="53">
        <f>(SUMIF($15:$15,P288,$16:$16)-SUMIF($15:$15,$P$24,$16:$16)+100)/100</f>
        <v>1</v>
      </c>
      <c r="R288" s="965"/>
      <c r="S288" s="53">
        <f>(SUMIF($17:$17,R288,$18:$18)-SUMIF($17:$17,$R$24,$18:$18)+100)/100</f>
        <v>1</v>
      </c>
      <c r="T288" s="493">
        <f>IF(D288="",0,ROUND($T$24*E288*G288*I288*K288*M288*O288*Q288*S288,0))</f>
        <v>0</v>
      </c>
      <c r="U288" s="802">
        <f t="shared" si="17"/>
        <v>0</v>
      </c>
    </row>
    <row r="289" spans="3:21">
      <c r="C289" s="967"/>
      <c r="D289" s="137"/>
      <c r="E289" s="53">
        <f>IF(D289="",1,(LOOKUP(D289,$3:$3,$4:$4)-LOOKUP($D$24,$3:$3,$4:$4)+100)/100)</f>
        <v>1</v>
      </c>
      <c r="F289" s="965"/>
      <c r="G289" s="53">
        <f>(SUMIF($5:$5,F289,$6:$6)-SUMIF($5:$5,$F$24,$6:$6)+100)/100</f>
        <v>0.01</v>
      </c>
      <c r="H289" s="965"/>
      <c r="I289" s="53">
        <f>(SUMIF($7:$7,H289,$8:$8)-SUMIF($7:$7,$H$24,$8:$8)+100)/100</f>
        <v>0.04</v>
      </c>
      <c r="J289" s="965"/>
      <c r="K289" s="53">
        <f>(SUMIF($9:$9,J289,$10:$10)-SUMIF($9:$9,$J$24,$10:$10)+100)/100</f>
        <v>0.04</v>
      </c>
      <c r="L289" s="965"/>
      <c r="M289" s="53">
        <f>(SUMIF($11:$11,L289,$12:$12)-SUMIF($11:$11,$L$24,$12:$12)+100)/100</f>
        <v>1</v>
      </c>
      <c r="N289" s="965"/>
      <c r="O289" s="53">
        <f>(SUMIF($13:$13,N289,$14:$14)-SUMIF($13:$13,$N$24,$14:$14)+100)/100</f>
        <v>1</v>
      </c>
      <c r="P289" s="965"/>
      <c r="Q289" s="53">
        <f>(SUMIF($15:$15,P289,$16:$16)-SUMIF($15:$15,$P$24,$16:$16)+100)/100</f>
        <v>1</v>
      </c>
      <c r="R289" s="965"/>
      <c r="S289" s="53">
        <f>(SUMIF($17:$17,R289,$18:$18)-SUMIF($17:$17,$R$24,$18:$18)+100)/100</f>
        <v>1</v>
      </c>
      <c r="T289" s="493">
        <f>IF(D289="",0,ROUND($T$24*E289*G289*I289*K289*M289*O289*Q289*S289,0))</f>
        <v>0</v>
      </c>
      <c r="U289" s="802">
        <f t="shared" si="17"/>
        <v>0</v>
      </c>
    </row>
    <row r="290" spans="3:21">
      <c r="C290" s="967"/>
      <c r="D290" s="137"/>
      <c r="E290" s="53">
        <f>IF(D290="",1,(LOOKUP(D290,$3:$3,$4:$4)-LOOKUP($D$24,$3:$3,$4:$4)+100)/100)</f>
        <v>1</v>
      </c>
      <c r="F290" s="965"/>
      <c r="G290" s="53">
        <f>(SUMIF($5:$5,F290,$6:$6)-SUMIF($5:$5,$F$24,$6:$6)+100)/100</f>
        <v>0.01</v>
      </c>
      <c r="H290" s="965"/>
      <c r="I290" s="53">
        <f>(SUMIF($7:$7,H290,$8:$8)-SUMIF($7:$7,$H$24,$8:$8)+100)/100</f>
        <v>0.04</v>
      </c>
      <c r="J290" s="965"/>
      <c r="K290" s="53">
        <f>(SUMIF($9:$9,J290,$10:$10)-SUMIF($9:$9,$J$24,$10:$10)+100)/100</f>
        <v>0.04</v>
      </c>
      <c r="L290" s="965"/>
      <c r="M290" s="53">
        <f>(SUMIF($11:$11,L290,$12:$12)-SUMIF($11:$11,$L$24,$12:$12)+100)/100</f>
        <v>1</v>
      </c>
      <c r="N290" s="965"/>
      <c r="O290" s="53">
        <f>(SUMIF($13:$13,N290,$14:$14)-SUMIF($13:$13,$N$24,$14:$14)+100)/100</f>
        <v>1</v>
      </c>
      <c r="P290" s="965"/>
      <c r="Q290" s="53">
        <f>(SUMIF($15:$15,P290,$16:$16)-SUMIF($15:$15,$P$24,$16:$16)+100)/100</f>
        <v>1</v>
      </c>
      <c r="R290" s="965"/>
      <c r="S290" s="53">
        <f>(SUMIF($17:$17,R290,$18:$18)-SUMIF($17:$17,$R$24,$18:$18)+100)/100</f>
        <v>1</v>
      </c>
      <c r="T290" s="493">
        <f>IF(D290="",0,ROUND($T$24*E290*G290*I290*K290*M290*O290*Q290*S290,0))</f>
        <v>0</v>
      </c>
      <c r="U290" s="802">
        <f t="shared" si="17"/>
        <v>0</v>
      </c>
    </row>
    <row r="291" spans="3:21">
      <c r="C291" s="967"/>
      <c r="D291" s="137"/>
      <c r="E291" s="53">
        <f>IF(D291="",1,(LOOKUP(D291,$3:$3,$4:$4)-LOOKUP($D$24,$3:$3,$4:$4)+100)/100)</f>
        <v>1</v>
      </c>
      <c r="F291" s="965"/>
      <c r="G291" s="53">
        <f>(SUMIF($5:$5,F291,$6:$6)-SUMIF($5:$5,$F$24,$6:$6)+100)/100</f>
        <v>0.01</v>
      </c>
      <c r="H291" s="965"/>
      <c r="I291" s="53">
        <f>(SUMIF($7:$7,H291,$8:$8)-SUMIF($7:$7,$H$24,$8:$8)+100)/100</f>
        <v>0.04</v>
      </c>
      <c r="J291" s="965"/>
      <c r="K291" s="53">
        <f>(SUMIF($9:$9,J291,$10:$10)-SUMIF($9:$9,$J$24,$10:$10)+100)/100</f>
        <v>0.04</v>
      </c>
      <c r="L291" s="965"/>
      <c r="M291" s="53">
        <f>(SUMIF($11:$11,L291,$12:$12)-SUMIF($11:$11,$L$24,$12:$12)+100)/100</f>
        <v>1</v>
      </c>
      <c r="N291" s="965"/>
      <c r="O291" s="53">
        <f>(SUMIF($13:$13,N291,$14:$14)-SUMIF($13:$13,$N$24,$14:$14)+100)/100</f>
        <v>1</v>
      </c>
      <c r="P291" s="965"/>
      <c r="Q291" s="53">
        <f>(SUMIF($15:$15,P291,$16:$16)-SUMIF($15:$15,$P$24,$16:$16)+100)/100</f>
        <v>1</v>
      </c>
      <c r="R291" s="965"/>
      <c r="S291" s="53">
        <f>(SUMIF($17:$17,R291,$18:$18)-SUMIF($17:$17,$R$24,$18:$18)+100)/100</f>
        <v>1</v>
      </c>
      <c r="T291" s="493">
        <f>IF(D291="",0,ROUND($T$24*E291*G291*I291*K291*M291*O291*Q291*S291,0))</f>
        <v>0</v>
      </c>
      <c r="U291" s="802">
        <f t="shared" si="17"/>
        <v>0</v>
      </c>
    </row>
    <row r="292" spans="3:21">
      <c r="C292" s="967"/>
      <c r="D292" s="137"/>
      <c r="E292" s="53">
        <f>IF(D292="",1,(LOOKUP(D292,$3:$3,$4:$4)-LOOKUP($D$24,$3:$3,$4:$4)+100)/100)</f>
        <v>1</v>
      </c>
      <c r="F292" s="965"/>
      <c r="G292" s="53">
        <f>(SUMIF($5:$5,F292,$6:$6)-SUMIF($5:$5,$F$24,$6:$6)+100)/100</f>
        <v>0.01</v>
      </c>
      <c r="H292" s="965"/>
      <c r="I292" s="53">
        <f>(SUMIF($7:$7,H292,$8:$8)-SUMIF($7:$7,$H$24,$8:$8)+100)/100</f>
        <v>0.04</v>
      </c>
      <c r="J292" s="965"/>
      <c r="K292" s="53">
        <f>(SUMIF($9:$9,J292,$10:$10)-SUMIF($9:$9,$J$24,$10:$10)+100)/100</f>
        <v>0.04</v>
      </c>
      <c r="L292" s="965"/>
      <c r="M292" s="53">
        <f>(SUMIF($11:$11,L292,$12:$12)-SUMIF($11:$11,$L$24,$12:$12)+100)/100</f>
        <v>1</v>
      </c>
      <c r="N292" s="965"/>
      <c r="O292" s="53">
        <f>(SUMIF($13:$13,N292,$14:$14)-SUMIF($13:$13,$N$24,$14:$14)+100)/100</f>
        <v>1</v>
      </c>
      <c r="P292" s="965"/>
      <c r="Q292" s="53">
        <f>(SUMIF($15:$15,P292,$16:$16)-SUMIF($15:$15,$P$24,$16:$16)+100)/100</f>
        <v>1</v>
      </c>
      <c r="R292" s="965"/>
      <c r="S292" s="53">
        <f>(SUMIF($17:$17,R292,$18:$18)-SUMIF($17:$17,$R$24,$18:$18)+100)/100</f>
        <v>1</v>
      </c>
      <c r="T292" s="493">
        <f>IF(D292="",0,ROUND($T$24*E292*G292*I292*K292*M292*O292*Q292*S292,0))</f>
        <v>0</v>
      </c>
      <c r="U292" s="802">
        <f t="shared" si="17"/>
        <v>0</v>
      </c>
    </row>
    <row r="293" spans="3:21">
      <c r="C293" s="967"/>
      <c r="D293" s="137"/>
      <c r="E293" s="53">
        <f>IF(D293="",1,(LOOKUP(D293,$3:$3,$4:$4)-LOOKUP($D$24,$3:$3,$4:$4)+100)/100)</f>
        <v>1</v>
      </c>
      <c r="F293" s="965"/>
      <c r="G293" s="53">
        <f>(SUMIF($5:$5,F293,$6:$6)-SUMIF($5:$5,$F$24,$6:$6)+100)/100</f>
        <v>0.01</v>
      </c>
      <c r="H293" s="965"/>
      <c r="I293" s="53">
        <f>(SUMIF($7:$7,H293,$8:$8)-SUMIF($7:$7,$H$24,$8:$8)+100)/100</f>
        <v>0.04</v>
      </c>
      <c r="J293" s="965"/>
      <c r="K293" s="53">
        <f>(SUMIF($9:$9,J293,$10:$10)-SUMIF($9:$9,$J$24,$10:$10)+100)/100</f>
        <v>0.04</v>
      </c>
      <c r="L293" s="965"/>
      <c r="M293" s="53">
        <f>(SUMIF($11:$11,L293,$12:$12)-SUMIF($11:$11,$L$24,$12:$12)+100)/100</f>
        <v>1</v>
      </c>
      <c r="N293" s="965"/>
      <c r="O293" s="53">
        <f>(SUMIF($13:$13,N293,$14:$14)-SUMIF($13:$13,$N$24,$14:$14)+100)/100</f>
        <v>1</v>
      </c>
      <c r="P293" s="965"/>
      <c r="Q293" s="53">
        <f>(SUMIF($15:$15,P293,$16:$16)-SUMIF($15:$15,$P$24,$16:$16)+100)/100</f>
        <v>1</v>
      </c>
      <c r="R293" s="965"/>
      <c r="S293" s="53">
        <f>(SUMIF($17:$17,R293,$18:$18)-SUMIF($17:$17,$R$24,$18:$18)+100)/100</f>
        <v>1</v>
      </c>
      <c r="T293" s="493">
        <f>IF(D293="",0,ROUND($T$24*E293*G293*I293*K293*M293*O293*Q293*S293,0))</f>
        <v>0</v>
      </c>
      <c r="U293" s="802">
        <f t="shared" si="17"/>
        <v>0</v>
      </c>
    </row>
    <row r="294" spans="3:21">
      <c r="C294" s="967"/>
      <c r="D294" s="137"/>
      <c r="E294" s="53">
        <f>IF(D294="",1,(LOOKUP(D294,$3:$3,$4:$4)-LOOKUP($D$24,$3:$3,$4:$4)+100)/100)</f>
        <v>1</v>
      </c>
      <c r="F294" s="965"/>
      <c r="G294" s="53">
        <f>(SUMIF($5:$5,F294,$6:$6)-SUMIF($5:$5,$F$24,$6:$6)+100)/100</f>
        <v>0.01</v>
      </c>
      <c r="H294" s="965"/>
      <c r="I294" s="53">
        <f>(SUMIF($7:$7,H294,$8:$8)-SUMIF($7:$7,$H$24,$8:$8)+100)/100</f>
        <v>0.04</v>
      </c>
      <c r="J294" s="965"/>
      <c r="K294" s="53">
        <f>(SUMIF($9:$9,J294,$10:$10)-SUMIF($9:$9,$J$24,$10:$10)+100)/100</f>
        <v>0.04</v>
      </c>
      <c r="L294" s="965"/>
      <c r="M294" s="53">
        <f>(SUMIF($11:$11,L294,$12:$12)-SUMIF($11:$11,$L$24,$12:$12)+100)/100</f>
        <v>1</v>
      </c>
      <c r="N294" s="965"/>
      <c r="O294" s="53">
        <f>(SUMIF($13:$13,N294,$14:$14)-SUMIF($13:$13,$N$24,$14:$14)+100)/100</f>
        <v>1</v>
      </c>
      <c r="P294" s="965"/>
      <c r="Q294" s="53">
        <f>(SUMIF($15:$15,P294,$16:$16)-SUMIF($15:$15,$P$24,$16:$16)+100)/100</f>
        <v>1</v>
      </c>
      <c r="R294" s="965"/>
      <c r="S294" s="53">
        <f>(SUMIF($17:$17,R294,$18:$18)-SUMIF($17:$17,$R$24,$18:$18)+100)/100</f>
        <v>1</v>
      </c>
      <c r="T294" s="493">
        <f>IF(D294="",0,ROUND($T$24*E294*G294*I294*K294*M294*O294*Q294*S294,0))</f>
        <v>0</v>
      </c>
      <c r="U294" s="802">
        <f t="shared" si="17"/>
        <v>0</v>
      </c>
    </row>
    <row r="295" spans="3:21">
      <c r="C295" s="967"/>
      <c r="D295" s="137"/>
      <c r="E295" s="53">
        <f>IF(D295="",1,(LOOKUP(D295,$3:$3,$4:$4)-LOOKUP($D$24,$3:$3,$4:$4)+100)/100)</f>
        <v>1</v>
      </c>
      <c r="F295" s="965"/>
      <c r="G295" s="53">
        <f>(SUMIF($5:$5,F295,$6:$6)-SUMIF($5:$5,$F$24,$6:$6)+100)/100</f>
        <v>0.01</v>
      </c>
      <c r="H295" s="965"/>
      <c r="I295" s="53">
        <f>(SUMIF($7:$7,H295,$8:$8)-SUMIF($7:$7,$H$24,$8:$8)+100)/100</f>
        <v>0.04</v>
      </c>
      <c r="J295" s="965"/>
      <c r="K295" s="53">
        <f>(SUMIF($9:$9,J295,$10:$10)-SUMIF($9:$9,$J$24,$10:$10)+100)/100</f>
        <v>0.04</v>
      </c>
      <c r="L295" s="965"/>
      <c r="M295" s="53">
        <f>(SUMIF($11:$11,L295,$12:$12)-SUMIF($11:$11,$L$24,$12:$12)+100)/100</f>
        <v>1</v>
      </c>
      <c r="N295" s="965"/>
      <c r="O295" s="53">
        <f>(SUMIF($13:$13,N295,$14:$14)-SUMIF($13:$13,$N$24,$14:$14)+100)/100</f>
        <v>1</v>
      </c>
      <c r="P295" s="965"/>
      <c r="Q295" s="53">
        <f>(SUMIF($15:$15,P295,$16:$16)-SUMIF($15:$15,$P$24,$16:$16)+100)/100</f>
        <v>1</v>
      </c>
      <c r="R295" s="965"/>
      <c r="S295" s="53">
        <f>(SUMIF($17:$17,R295,$18:$18)-SUMIF($17:$17,$R$24,$18:$18)+100)/100</f>
        <v>1</v>
      </c>
      <c r="T295" s="493">
        <f>IF(D295="",0,ROUND($T$24*E295*G295*I295*K295*M295*O295*Q295*S295,0))</f>
        <v>0</v>
      </c>
      <c r="U295" s="802">
        <f t="shared" si="17"/>
        <v>0</v>
      </c>
    </row>
    <row r="296" spans="3:21">
      <c r="C296" s="967"/>
      <c r="D296" s="137"/>
      <c r="E296" s="53">
        <f>IF(D296="",1,(LOOKUP(D296,$3:$3,$4:$4)-LOOKUP($D$24,$3:$3,$4:$4)+100)/100)</f>
        <v>1</v>
      </c>
      <c r="F296" s="965"/>
      <c r="G296" s="53">
        <f>(SUMIF($5:$5,F296,$6:$6)-SUMIF($5:$5,$F$24,$6:$6)+100)/100</f>
        <v>0.01</v>
      </c>
      <c r="H296" s="965"/>
      <c r="I296" s="53">
        <f>(SUMIF($7:$7,H296,$8:$8)-SUMIF($7:$7,$H$24,$8:$8)+100)/100</f>
        <v>0.04</v>
      </c>
      <c r="J296" s="965"/>
      <c r="K296" s="53">
        <f>(SUMIF($9:$9,J296,$10:$10)-SUMIF($9:$9,$J$24,$10:$10)+100)/100</f>
        <v>0.04</v>
      </c>
      <c r="L296" s="965"/>
      <c r="M296" s="53">
        <f>(SUMIF($11:$11,L296,$12:$12)-SUMIF($11:$11,$L$24,$12:$12)+100)/100</f>
        <v>1</v>
      </c>
      <c r="N296" s="965"/>
      <c r="O296" s="53">
        <f>(SUMIF($13:$13,N296,$14:$14)-SUMIF($13:$13,$N$24,$14:$14)+100)/100</f>
        <v>1</v>
      </c>
      <c r="P296" s="965"/>
      <c r="Q296" s="53">
        <f>(SUMIF($15:$15,P296,$16:$16)-SUMIF($15:$15,$P$24,$16:$16)+100)/100</f>
        <v>1</v>
      </c>
      <c r="R296" s="965"/>
      <c r="S296" s="53">
        <f>(SUMIF($17:$17,R296,$18:$18)-SUMIF($17:$17,$R$24,$18:$18)+100)/100</f>
        <v>1</v>
      </c>
      <c r="T296" s="493">
        <f>IF(D296="",0,ROUND($T$24*E296*G296*I296*K296*M296*O296*Q296*S296,0))</f>
        <v>0</v>
      </c>
      <c r="U296" s="802">
        <f t="shared" si="17"/>
        <v>0</v>
      </c>
    </row>
    <row r="297" spans="3:21">
      <c r="C297" s="967"/>
      <c r="D297" s="137"/>
      <c r="E297" s="53">
        <f>IF(D297="",1,(LOOKUP(D297,$3:$3,$4:$4)-LOOKUP($D$24,$3:$3,$4:$4)+100)/100)</f>
        <v>1</v>
      </c>
      <c r="F297" s="965"/>
      <c r="G297" s="53">
        <f>(SUMIF($5:$5,F297,$6:$6)-SUMIF($5:$5,$F$24,$6:$6)+100)/100</f>
        <v>0.01</v>
      </c>
      <c r="H297" s="965"/>
      <c r="I297" s="53">
        <f>(SUMIF($7:$7,H297,$8:$8)-SUMIF($7:$7,$H$24,$8:$8)+100)/100</f>
        <v>0.04</v>
      </c>
      <c r="J297" s="965"/>
      <c r="K297" s="53">
        <f>(SUMIF($9:$9,J297,$10:$10)-SUMIF($9:$9,$J$24,$10:$10)+100)/100</f>
        <v>0.04</v>
      </c>
      <c r="L297" s="965"/>
      <c r="M297" s="53">
        <f>(SUMIF($11:$11,L297,$12:$12)-SUMIF($11:$11,$L$24,$12:$12)+100)/100</f>
        <v>1</v>
      </c>
      <c r="N297" s="965"/>
      <c r="O297" s="53">
        <f>(SUMIF($13:$13,N297,$14:$14)-SUMIF($13:$13,$N$24,$14:$14)+100)/100</f>
        <v>1</v>
      </c>
      <c r="P297" s="965"/>
      <c r="Q297" s="53">
        <f>(SUMIF($15:$15,P297,$16:$16)-SUMIF($15:$15,$P$24,$16:$16)+100)/100</f>
        <v>1</v>
      </c>
      <c r="R297" s="965"/>
      <c r="S297" s="53">
        <f>(SUMIF($17:$17,R297,$18:$18)-SUMIF($17:$17,$R$24,$18:$18)+100)/100</f>
        <v>1</v>
      </c>
      <c r="T297" s="493">
        <f>IF(D297="",0,ROUND($T$24*E297*G297*I297*K297*M297*O297*Q297*S297,0))</f>
        <v>0</v>
      </c>
      <c r="U297" s="802">
        <f t="shared" si="17"/>
        <v>0</v>
      </c>
    </row>
    <row r="298" spans="3:21">
      <c r="C298" s="967"/>
      <c r="D298" s="137"/>
      <c r="E298" s="53">
        <f>IF(D298="",1,(LOOKUP(D298,$3:$3,$4:$4)-LOOKUP($D$24,$3:$3,$4:$4)+100)/100)</f>
        <v>1</v>
      </c>
      <c r="F298" s="965"/>
      <c r="G298" s="53">
        <f>(SUMIF($5:$5,F298,$6:$6)-SUMIF($5:$5,$F$24,$6:$6)+100)/100</f>
        <v>0.01</v>
      </c>
      <c r="H298" s="965"/>
      <c r="I298" s="53">
        <f>(SUMIF($7:$7,H298,$8:$8)-SUMIF($7:$7,$H$24,$8:$8)+100)/100</f>
        <v>0.04</v>
      </c>
      <c r="J298" s="965"/>
      <c r="K298" s="53">
        <f>(SUMIF($9:$9,J298,$10:$10)-SUMIF($9:$9,$J$24,$10:$10)+100)/100</f>
        <v>0.04</v>
      </c>
      <c r="L298" s="965"/>
      <c r="M298" s="53">
        <f>(SUMIF($11:$11,L298,$12:$12)-SUMIF($11:$11,$L$24,$12:$12)+100)/100</f>
        <v>1</v>
      </c>
      <c r="N298" s="965"/>
      <c r="O298" s="53">
        <f>(SUMIF($13:$13,N298,$14:$14)-SUMIF($13:$13,$N$24,$14:$14)+100)/100</f>
        <v>1</v>
      </c>
      <c r="P298" s="965"/>
      <c r="Q298" s="53">
        <f>(SUMIF($15:$15,P298,$16:$16)-SUMIF($15:$15,$P$24,$16:$16)+100)/100</f>
        <v>1</v>
      </c>
      <c r="R298" s="965"/>
      <c r="S298" s="53">
        <f>(SUMIF($17:$17,R298,$18:$18)-SUMIF($17:$17,$R$24,$18:$18)+100)/100</f>
        <v>1</v>
      </c>
      <c r="T298" s="493">
        <f>IF(D298="",0,ROUND($T$24*E298*G298*I298*K298*M298*O298*Q298*S298,0))</f>
        <v>0</v>
      </c>
      <c r="U298" s="802">
        <f t="shared" si="17"/>
        <v>0</v>
      </c>
    </row>
    <row r="299" spans="3:21">
      <c r="C299" s="967"/>
      <c r="D299" s="137"/>
      <c r="E299" s="53">
        <f>IF(D299="",1,(LOOKUP(D299,$3:$3,$4:$4)-LOOKUP($D$24,$3:$3,$4:$4)+100)/100)</f>
        <v>1</v>
      </c>
      <c r="F299" s="965"/>
      <c r="G299" s="53">
        <f>(SUMIF($5:$5,F299,$6:$6)-SUMIF($5:$5,$F$24,$6:$6)+100)/100</f>
        <v>0.01</v>
      </c>
      <c r="H299" s="965"/>
      <c r="I299" s="53">
        <f>(SUMIF($7:$7,H299,$8:$8)-SUMIF($7:$7,$H$24,$8:$8)+100)/100</f>
        <v>0.04</v>
      </c>
      <c r="J299" s="965"/>
      <c r="K299" s="53">
        <f>(SUMIF($9:$9,J299,$10:$10)-SUMIF($9:$9,$J$24,$10:$10)+100)/100</f>
        <v>0.04</v>
      </c>
      <c r="L299" s="965"/>
      <c r="M299" s="53">
        <f>(SUMIF($11:$11,L299,$12:$12)-SUMIF($11:$11,$L$24,$12:$12)+100)/100</f>
        <v>1</v>
      </c>
      <c r="N299" s="965"/>
      <c r="O299" s="53">
        <f>(SUMIF($13:$13,N299,$14:$14)-SUMIF($13:$13,$N$24,$14:$14)+100)/100</f>
        <v>1</v>
      </c>
      <c r="P299" s="965"/>
      <c r="Q299" s="53">
        <f>(SUMIF($15:$15,P299,$16:$16)-SUMIF($15:$15,$P$24,$16:$16)+100)/100</f>
        <v>1</v>
      </c>
      <c r="R299" s="965"/>
      <c r="S299" s="53">
        <f>(SUMIF($17:$17,R299,$18:$18)-SUMIF($17:$17,$R$24,$18:$18)+100)/100</f>
        <v>1</v>
      </c>
      <c r="T299" s="493">
        <f>IF(D299="",0,ROUND($T$24*E299*G299*I299*K299*M299*O299*Q299*S299,0))</f>
        <v>0</v>
      </c>
      <c r="U299" s="802">
        <f t="shared" si="17"/>
        <v>0</v>
      </c>
    </row>
    <row r="300" spans="3:21">
      <c r="C300" s="967"/>
      <c r="D300" s="137"/>
      <c r="E300" s="53">
        <f>IF(D300="",1,(LOOKUP(D300,$3:$3,$4:$4)-LOOKUP($D$24,$3:$3,$4:$4)+100)/100)</f>
        <v>1</v>
      </c>
      <c r="F300" s="965"/>
      <c r="G300" s="53">
        <f>(SUMIF($5:$5,F300,$6:$6)-SUMIF($5:$5,$F$24,$6:$6)+100)/100</f>
        <v>0.01</v>
      </c>
      <c r="H300" s="965"/>
      <c r="I300" s="53">
        <f>(SUMIF($7:$7,H300,$8:$8)-SUMIF($7:$7,$H$24,$8:$8)+100)/100</f>
        <v>0.04</v>
      </c>
      <c r="J300" s="965"/>
      <c r="K300" s="53">
        <f>(SUMIF($9:$9,J300,$10:$10)-SUMIF($9:$9,$J$24,$10:$10)+100)/100</f>
        <v>0.04</v>
      </c>
      <c r="L300" s="965"/>
      <c r="M300" s="53">
        <f>(SUMIF($11:$11,L300,$12:$12)-SUMIF($11:$11,$L$24,$12:$12)+100)/100</f>
        <v>1</v>
      </c>
      <c r="N300" s="965"/>
      <c r="O300" s="53">
        <f>(SUMIF($13:$13,N300,$14:$14)-SUMIF($13:$13,$N$24,$14:$14)+100)/100</f>
        <v>1</v>
      </c>
      <c r="P300" s="965"/>
      <c r="Q300" s="53">
        <f>(SUMIF($15:$15,P300,$16:$16)-SUMIF($15:$15,$P$24,$16:$16)+100)/100</f>
        <v>1</v>
      </c>
      <c r="R300" s="965"/>
      <c r="S300" s="53">
        <f>(SUMIF($17:$17,R300,$18:$18)-SUMIF($17:$17,$R$24,$18:$18)+100)/100</f>
        <v>1</v>
      </c>
      <c r="T300" s="493">
        <f>IF(D300="",0,ROUND($T$24*E300*G300*I300*K300*M300*O300*Q300*S300,0))</f>
        <v>0</v>
      </c>
      <c r="U300" s="802">
        <f t="shared" si="17"/>
        <v>0</v>
      </c>
    </row>
    <row r="301" spans="3:21">
      <c r="C301" s="967"/>
      <c r="D301" s="137"/>
      <c r="E301" s="53">
        <f>IF(D301="",1,(LOOKUP(D301,$3:$3,$4:$4)-LOOKUP($D$24,$3:$3,$4:$4)+100)/100)</f>
        <v>1</v>
      </c>
      <c r="F301" s="965"/>
      <c r="G301" s="53">
        <f>(SUMIF($5:$5,F301,$6:$6)-SUMIF($5:$5,$F$24,$6:$6)+100)/100</f>
        <v>0.01</v>
      </c>
      <c r="H301" s="965"/>
      <c r="I301" s="53">
        <f>(SUMIF($7:$7,H301,$8:$8)-SUMIF($7:$7,$H$24,$8:$8)+100)/100</f>
        <v>0.04</v>
      </c>
      <c r="J301" s="965"/>
      <c r="K301" s="53">
        <f>(SUMIF($9:$9,J301,$10:$10)-SUMIF($9:$9,$J$24,$10:$10)+100)/100</f>
        <v>0.04</v>
      </c>
      <c r="L301" s="965"/>
      <c r="M301" s="53">
        <f>(SUMIF($11:$11,L301,$12:$12)-SUMIF($11:$11,$L$24,$12:$12)+100)/100</f>
        <v>1</v>
      </c>
      <c r="N301" s="965"/>
      <c r="O301" s="53">
        <f>(SUMIF($13:$13,N301,$14:$14)-SUMIF($13:$13,$N$24,$14:$14)+100)/100</f>
        <v>1</v>
      </c>
      <c r="P301" s="965"/>
      <c r="Q301" s="53">
        <f>(SUMIF($15:$15,P301,$16:$16)-SUMIF($15:$15,$P$24,$16:$16)+100)/100</f>
        <v>1</v>
      </c>
      <c r="R301" s="965"/>
      <c r="S301" s="53">
        <f>(SUMIF($17:$17,R301,$18:$18)-SUMIF($17:$17,$R$24,$18:$18)+100)/100</f>
        <v>1</v>
      </c>
      <c r="T301" s="493">
        <f>IF(D301="",0,ROUND($T$24*E301*G301*I301*K301*M301*O301*Q301*S301,0))</f>
        <v>0</v>
      </c>
      <c r="U301" s="802">
        <f t="shared" si="17"/>
        <v>0</v>
      </c>
    </row>
    <row r="302" spans="3:21">
      <c r="C302" s="967"/>
      <c r="D302" s="137"/>
      <c r="E302" s="53">
        <f>IF(D302="",1,(LOOKUP(D302,$3:$3,$4:$4)-LOOKUP($D$24,$3:$3,$4:$4)+100)/100)</f>
        <v>1</v>
      </c>
      <c r="F302" s="965"/>
      <c r="G302" s="53">
        <f>(SUMIF($5:$5,F302,$6:$6)-SUMIF($5:$5,$F$24,$6:$6)+100)/100</f>
        <v>0.01</v>
      </c>
      <c r="H302" s="965"/>
      <c r="I302" s="53">
        <f>(SUMIF($7:$7,H302,$8:$8)-SUMIF($7:$7,$H$24,$8:$8)+100)/100</f>
        <v>0.04</v>
      </c>
      <c r="J302" s="965"/>
      <c r="K302" s="53">
        <f>(SUMIF($9:$9,J302,$10:$10)-SUMIF($9:$9,$J$24,$10:$10)+100)/100</f>
        <v>0.04</v>
      </c>
      <c r="L302" s="965"/>
      <c r="M302" s="53">
        <f>(SUMIF($11:$11,L302,$12:$12)-SUMIF($11:$11,$L$24,$12:$12)+100)/100</f>
        <v>1</v>
      </c>
      <c r="N302" s="965"/>
      <c r="O302" s="53">
        <f>(SUMIF($13:$13,N302,$14:$14)-SUMIF($13:$13,$N$24,$14:$14)+100)/100</f>
        <v>1</v>
      </c>
      <c r="P302" s="965"/>
      <c r="Q302" s="53">
        <f>(SUMIF($15:$15,P302,$16:$16)-SUMIF($15:$15,$P$24,$16:$16)+100)/100</f>
        <v>1</v>
      </c>
      <c r="R302" s="965"/>
      <c r="S302" s="53">
        <f>(SUMIF($17:$17,R302,$18:$18)-SUMIF($17:$17,$R$24,$18:$18)+100)/100</f>
        <v>1</v>
      </c>
      <c r="T302" s="493">
        <f>IF(D302="",0,ROUND($T$24*E302*G302*I302*K302*M302*O302*Q302*S302,0))</f>
        <v>0</v>
      </c>
      <c r="U302" s="802">
        <f t="shared" si="17"/>
        <v>0</v>
      </c>
    </row>
    <row r="303" spans="3:21">
      <c r="C303" s="967"/>
      <c r="D303" s="137"/>
      <c r="E303" s="53">
        <f>IF(D303="",1,(LOOKUP(D303,$3:$3,$4:$4)-LOOKUP($D$24,$3:$3,$4:$4)+100)/100)</f>
        <v>1</v>
      </c>
      <c r="F303" s="965"/>
      <c r="G303" s="53">
        <f>(SUMIF($5:$5,F303,$6:$6)-SUMIF($5:$5,$F$24,$6:$6)+100)/100</f>
        <v>0.01</v>
      </c>
      <c r="H303" s="965"/>
      <c r="I303" s="53">
        <f>(SUMIF($7:$7,H303,$8:$8)-SUMIF($7:$7,$H$24,$8:$8)+100)/100</f>
        <v>0.04</v>
      </c>
      <c r="J303" s="965"/>
      <c r="K303" s="53">
        <f>(SUMIF($9:$9,J303,$10:$10)-SUMIF($9:$9,$J$24,$10:$10)+100)/100</f>
        <v>0.04</v>
      </c>
      <c r="L303" s="965"/>
      <c r="M303" s="53">
        <f>(SUMIF($11:$11,L303,$12:$12)-SUMIF($11:$11,$L$24,$12:$12)+100)/100</f>
        <v>1</v>
      </c>
      <c r="N303" s="965"/>
      <c r="O303" s="53">
        <f>(SUMIF($13:$13,N303,$14:$14)-SUMIF($13:$13,$N$24,$14:$14)+100)/100</f>
        <v>1</v>
      </c>
      <c r="P303" s="965"/>
      <c r="Q303" s="53">
        <f>(SUMIF($15:$15,P303,$16:$16)-SUMIF($15:$15,$P$24,$16:$16)+100)/100</f>
        <v>1</v>
      </c>
      <c r="R303" s="965"/>
      <c r="S303" s="53">
        <f>(SUMIF($17:$17,R303,$18:$18)-SUMIF($17:$17,$R$24,$18:$18)+100)/100</f>
        <v>1</v>
      </c>
      <c r="T303" s="493">
        <f>IF(D303="",0,ROUND($T$24*E303*G303*I303*K303*M303*O303*Q303*S303,0))</f>
        <v>0</v>
      </c>
      <c r="U303" s="802">
        <f t="shared" si="17"/>
        <v>0</v>
      </c>
    </row>
    <row r="304" spans="3:21">
      <c r="C304" s="967"/>
      <c r="D304" s="137"/>
      <c r="E304" s="53">
        <f>IF(D304="",1,(LOOKUP(D304,$3:$3,$4:$4)-LOOKUP($D$24,$3:$3,$4:$4)+100)/100)</f>
        <v>1</v>
      </c>
      <c r="F304" s="965"/>
      <c r="G304" s="53">
        <f>(SUMIF($5:$5,F304,$6:$6)-SUMIF($5:$5,$F$24,$6:$6)+100)/100</f>
        <v>0.01</v>
      </c>
      <c r="H304" s="965"/>
      <c r="I304" s="53">
        <f>(SUMIF($7:$7,H304,$8:$8)-SUMIF($7:$7,$H$24,$8:$8)+100)/100</f>
        <v>0.04</v>
      </c>
      <c r="J304" s="965"/>
      <c r="K304" s="53">
        <f>(SUMIF($9:$9,J304,$10:$10)-SUMIF($9:$9,$J$24,$10:$10)+100)/100</f>
        <v>0.04</v>
      </c>
      <c r="L304" s="965"/>
      <c r="M304" s="53">
        <f>(SUMIF($11:$11,L304,$12:$12)-SUMIF($11:$11,$L$24,$12:$12)+100)/100</f>
        <v>1</v>
      </c>
      <c r="N304" s="965"/>
      <c r="O304" s="53">
        <f>(SUMIF($13:$13,N304,$14:$14)-SUMIF($13:$13,$N$24,$14:$14)+100)/100</f>
        <v>1</v>
      </c>
      <c r="P304" s="965"/>
      <c r="Q304" s="53">
        <f>(SUMIF($15:$15,P304,$16:$16)-SUMIF($15:$15,$P$24,$16:$16)+100)/100</f>
        <v>1</v>
      </c>
      <c r="R304" s="965"/>
      <c r="S304" s="53">
        <f>(SUMIF($17:$17,R304,$18:$18)-SUMIF($17:$17,$R$24,$18:$18)+100)/100</f>
        <v>1</v>
      </c>
      <c r="T304" s="493">
        <f>IF(D304="",0,ROUND($T$24*E304*G304*I304*K304*M304*O304*Q304*S304,0))</f>
        <v>0</v>
      </c>
      <c r="U304" s="802">
        <f t="shared" si="17"/>
        <v>0</v>
      </c>
    </row>
    <row r="305" spans="3:21">
      <c r="C305" s="967"/>
      <c r="D305" s="137"/>
      <c r="E305" s="53">
        <f>IF(D305="",1,(LOOKUP(D305,$3:$3,$4:$4)-LOOKUP($D$24,$3:$3,$4:$4)+100)/100)</f>
        <v>1</v>
      </c>
      <c r="F305" s="965"/>
      <c r="G305" s="53">
        <f>(SUMIF($5:$5,F305,$6:$6)-SUMIF($5:$5,$F$24,$6:$6)+100)/100</f>
        <v>0.01</v>
      </c>
      <c r="H305" s="965"/>
      <c r="I305" s="53">
        <f>(SUMIF($7:$7,H305,$8:$8)-SUMIF($7:$7,$H$24,$8:$8)+100)/100</f>
        <v>0.04</v>
      </c>
      <c r="J305" s="965"/>
      <c r="K305" s="53">
        <f>(SUMIF($9:$9,J305,$10:$10)-SUMIF($9:$9,$J$24,$10:$10)+100)/100</f>
        <v>0.04</v>
      </c>
      <c r="L305" s="965"/>
      <c r="M305" s="53">
        <f>(SUMIF($11:$11,L305,$12:$12)-SUMIF($11:$11,$L$24,$12:$12)+100)/100</f>
        <v>1</v>
      </c>
      <c r="N305" s="965"/>
      <c r="O305" s="53">
        <f>(SUMIF($13:$13,N305,$14:$14)-SUMIF($13:$13,$N$24,$14:$14)+100)/100</f>
        <v>1</v>
      </c>
      <c r="P305" s="965"/>
      <c r="Q305" s="53">
        <f>(SUMIF($15:$15,P305,$16:$16)-SUMIF($15:$15,$P$24,$16:$16)+100)/100</f>
        <v>1</v>
      </c>
      <c r="R305" s="965"/>
      <c r="S305" s="53">
        <f>(SUMIF($17:$17,R305,$18:$18)-SUMIF($17:$17,$R$24,$18:$18)+100)/100</f>
        <v>1</v>
      </c>
      <c r="T305" s="493">
        <f>IF(D305="",0,ROUND($T$24*E305*G305*I305*K305*M305*O305*Q305*S305,0))</f>
        <v>0</v>
      </c>
      <c r="U305" s="802">
        <f t="shared" si="17"/>
        <v>0</v>
      </c>
    </row>
    <row r="306" spans="3:21">
      <c r="C306" s="967"/>
      <c r="D306" s="137"/>
      <c r="E306" s="53">
        <f>IF(D306="",1,(LOOKUP(D306,$3:$3,$4:$4)-LOOKUP($D$24,$3:$3,$4:$4)+100)/100)</f>
        <v>1</v>
      </c>
      <c r="F306" s="965"/>
      <c r="G306" s="53">
        <f>(SUMIF($5:$5,F306,$6:$6)-SUMIF($5:$5,$F$24,$6:$6)+100)/100</f>
        <v>0.01</v>
      </c>
      <c r="H306" s="965"/>
      <c r="I306" s="53">
        <f>(SUMIF($7:$7,H306,$8:$8)-SUMIF($7:$7,$H$24,$8:$8)+100)/100</f>
        <v>0.04</v>
      </c>
      <c r="J306" s="965"/>
      <c r="K306" s="53">
        <f>(SUMIF($9:$9,J306,$10:$10)-SUMIF($9:$9,$J$24,$10:$10)+100)/100</f>
        <v>0.04</v>
      </c>
      <c r="L306" s="965"/>
      <c r="M306" s="53">
        <f>(SUMIF($11:$11,L306,$12:$12)-SUMIF($11:$11,$L$24,$12:$12)+100)/100</f>
        <v>1</v>
      </c>
      <c r="N306" s="965"/>
      <c r="O306" s="53">
        <f>(SUMIF($13:$13,N306,$14:$14)-SUMIF($13:$13,$N$24,$14:$14)+100)/100</f>
        <v>1</v>
      </c>
      <c r="P306" s="965"/>
      <c r="Q306" s="53">
        <f>(SUMIF($15:$15,P306,$16:$16)-SUMIF($15:$15,$P$24,$16:$16)+100)/100</f>
        <v>1</v>
      </c>
      <c r="R306" s="965"/>
      <c r="S306" s="53">
        <f>(SUMIF($17:$17,R306,$18:$18)-SUMIF($17:$17,$R$24,$18:$18)+100)/100</f>
        <v>1</v>
      </c>
      <c r="T306" s="493">
        <f>IF(D306="",0,ROUND($T$24*E306*G306*I306*K306*M306*O306*Q306*S306,0))</f>
        <v>0</v>
      </c>
      <c r="U306" s="802">
        <f t="shared" si="17"/>
        <v>0</v>
      </c>
    </row>
    <row r="307" spans="3:21">
      <c r="C307" s="967"/>
      <c r="D307" s="137"/>
      <c r="E307" s="53">
        <f>IF(D307="",1,(LOOKUP(D307,$3:$3,$4:$4)-LOOKUP($D$24,$3:$3,$4:$4)+100)/100)</f>
        <v>1</v>
      </c>
      <c r="F307" s="965"/>
      <c r="G307" s="53">
        <f>(SUMIF($5:$5,F307,$6:$6)-SUMIF($5:$5,$F$24,$6:$6)+100)/100</f>
        <v>0.01</v>
      </c>
      <c r="H307" s="965"/>
      <c r="I307" s="53">
        <f>(SUMIF($7:$7,H307,$8:$8)-SUMIF($7:$7,$H$24,$8:$8)+100)/100</f>
        <v>0.04</v>
      </c>
      <c r="J307" s="965"/>
      <c r="K307" s="53">
        <f>(SUMIF($9:$9,J307,$10:$10)-SUMIF($9:$9,$J$24,$10:$10)+100)/100</f>
        <v>0.04</v>
      </c>
      <c r="L307" s="965"/>
      <c r="M307" s="53">
        <f>(SUMIF($11:$11,L307,$12:$12)-SUMIF($11:$11,$L$24,$12:$12)+100)/100</f>
        <v>1</v>
      </c>
      <c r="N307" s="965"/>
      <c r="O307" s="53">
        <f>(SUMIF($13:$13,N307,$14:$14)-SUMIF($13:$13,$N$24,$14:$14)+100)/100</f>
        <v>1</v>
      </c>
      <c r="P307" s="965"/>
      <c r="Q307" s="53">
        <f>(SUMIF($15:$15,P307,$16:$16)-SUMIF($15:$15,$P$24,$16:$16)+100)/100</f>
        <v>1</v>
      </c>
      <c r="R307" s="965"/>
      <c r="S307" s="53">
        <f>(SUMIF($17:$17,R307,$18:$18)-SUMIF($17:$17,$R$24,$18:$18)+100)/100</f>
        <v>1</v>
      </c>
      <c r="T307" s="493">
        <f>IF(D307="",0,ROUND($T$24*E307*G307*I307*K307*M307*O307*Q307*S307,0))</f>
        <v>0</v>
      </c>
      <c r="U307" s="802">
        <f t="shared" si="17"/>
        <v>0</v>
      </c>
    </row>
    <row r="308" spans="3:21">
      <c r="C308" s="967"/>
      <c r="D308" s="137"/>
      <c r="E308" s="53">
        <f>IF(D308="",1,(LOOKUP(D308,$3:$3,$4:$4)-LOOKUP($D$24,$3:$3,$4:$4)+100)/100)</f>
        <v>1</v>
      </c>
      <c r="F308" s="965"/>
      <c r="G308" s="53">
        <f>(SUMIF($5:$5,F308,$6:$6)-SUMIF($5:$5,$F$24,$6:$6)+100)/100</f>
        <v>0.01</v>
      </c>
      <c r="H308" s="965"/>
      <c r="I308" s="53">
        <f>(SUMIF($7:$7,H308,$8:$8)-SUMIF($7:$7,$H$24,$8:$8)+100)/100</f>
        <v>0.04</v>
      </c>
      <c r="J308" s="965"/>
      <c r="K308" s="53">
        <f>(SUMIF($9:$9,J308,$10:$10)-SUMIF($9:$9,$J$24,$10:$10)+100)/100</f>
        <v>0.04</v>
      </c>
      <c r="L308" s="965"/>
      <c r="M308" s="53">
        <f>(SUMIF($11:$11,L308,$12:$12)-SUMIF($11:$11,$L$24,$12:$12)+100)/100</f>
        <v>1</v>
      </c>
      <c r="N308" s="965"/>
      <c r="O308" s="53">
        <f>(SUMIF($13:$13,N308,$14:$14)-SUMIF($13:$13,$N$24,$14:$14)+100)/100</f>
        <v>1</v>
      </c>
      <c r="P308" s="965"/>
      <c r="Q308" s="53">
        <f>(SUMIF($15:$15,P308,$16:$16)-SUMIF($15:$15,$P$24,$16:$16)+100)/100</f>
        <v>1</v>
      </c>
      <c r="R308" s="965"/>
      <c r="S308" s="53">
        <f>(SUMIF($17:$17,R308,$18:$18)-SUMIF($17:$17,$R$24,$18:$18)+100)/100</f>
        <v>1</v>
      </c>
      <c r="T308" s="493">
        <f>IF(D308="",0,ROUND($T$24*E308*G308*I308*K308*M308*O308*Q308*S308,0))</f>
        <v>0</v>
      </c>
      <c r="U308" s="802">
        <f t="shared" si="17"/>
        <v>0</v>
      </c>
    </row>
    <row r="309" spans="3:21">
      <c r="C309" s="967"/>
      <c r="D309" s="137"/>
      <c r="E309" s="53">
        <f>IF(D309="",1,(LOOKUP(D309,$3:$3,$4:$4)-LOOKUP($D$24,$3:$3,$4:$4)+100)/100)</f>
        <v>1</v>
      </c>
      <c r="F309" s="965"/>
      <c r="G309" s="53">
        <f>(SUMIF($5:$5,F309,$6:$6)-SUMIF($5:$5,$F$24,$6:$6)+100)/100</f>
        <v>0.01</v>
      </c>
      <c r="H309" s="965"/>
      <c r="I309" s="53">
        <f>(SUMIF($7:$7,H309,$8:$8)-SUMIF($7:$7,$H$24,$8:$8)+100)/100</f>
        <v>0.04</v>
      </c>
      <c r="J309" s="965"/>
      <c r="K309" s="53">
        <f>(SUMIF($9:$9,J309,$10:$10)-SUMIF($9:$9,$J$24,$10:$10)+100)/100</f>
        <v>0.04</v>
      </c>
      <c r="L309" s="965"/>
      <c r="M309" s="53">
        <f>(SUMIF($11:$11,L309,$12:$12)-SUMIF($11:$11,$L$24,$12:$12)+100)/100</f>
        <v>1</v>
      </c>
      <c r="N309" s="965"/>
      <c r="O309" s="53">
        <f>(SUMIF($13:$13,N309,$14:$14)-SUMIF($13:$13,$N$24,$14:$14)+100)/100</f>
        <v>1</v>
      </c>
      <c r="P309" s="965"/>
      <c r="Q309" s="53">
        <f>(SUMIF($15:$15,P309,$16:$16)-SUMIF($15:$15,$P$24,$16:$16)+100)/100</f>
        <v>1</v>
      </c>
      <c r="R309" s="965"/>
      <c r="S309" s="53">
        <f>(SUMIF($17:$17,R309,$18:$18)-SUMIF($17:$17,$R$24,$18:$18)+100)/100</f>
        <v>1</v>
      </c>
      <c r="T309" s="493">
        <f>IF(D309="",0,ROUND($T$24*E309*G309*I309*K309*M309*O309*Q309*S309,0))</f>
        <v>0</v>
      </c>
      <c r="U309" s="802">
        <f t="shared" si="17"/>
        <v>0</v>
      </c>
    </row>
    <row r="310" spans="3:21">
      <c r="C310" s="967"/>
      <c r="D310" s="137"/>
      <c r="E310" s="53">
        <f>IF(D310="",1,(LOOKUP(D310,$3:$3,$4:$4)-LOOKUP($D$24,$3:$3,$4:$4)+100)/100)</f>
        <v>1</v>
      </c>
      <c r="F310" s="965"/>
      <c r="G310" s="53">
        <f>(SUMIF($5:$5,F310,$6:$6)-SUMIF($5:$5,$F$24,$6:$6)+100)/100</f>
        <v>0.01</v>
      </c>
      <c r="H310" s="965"/>
      <c r="I310" s="53">
        <f>(SUMIF($7:$7,H310,$8:$8)-SUMIF($7:$7,$H$24,$8:$8)+100)/100</f>
        <v>0.04</v>
      </c>
      <c r="J310" s="965"/>
      <c r="K310" s="53">
        <f>(SUMIF($9:$9,J310,$10:$10)-SUMIF($9:$9,$J$24,$10:$10)+100)/100</f>
        <v>0.04</v>
      </c>
      <c r="L310" s="965"/>
      <c r="M310" s="53">
        <f>(SUMIF($11:$11,L310,$12:$12)-SUMIF($11:$11,$L$24,$12:$12)+100)/100</f>
        <v>1</v>
      </c>
      <c r="N310" s="965"/>
      <c r="O310" s="53">
        <f>(SUMIF($13:$13,N310,$14:$14)-SUMIF($13:$13,$N$24,$14:$14)+100)/100</f>
        <v>1</v>
      </c>
      <c r="P310" s="965"/>
      <c r="Q310" s="53">
        <f>(SUMIF($15:$15,P310,$16:$16)-SUMIF($15:$15,$P$24,$16:$16)+100)/100</f>
        <v>1</v>
      </c>
      <c r="R310" s="965"/>
      <c r="S310" s="53">
        <f>(SUMIF($17:$17,R310,$18:$18)-SUMIF($17:$17,$R$24,$18:$18)+100)/100</f>
        <v>1</v>
      </c>
      <c r="T310" s="493">
        <f>IF(D310="",0,ROUND($T$24*E310*G310*I310*K310*M310*O310*Q310*S310,0))</f>
        <v>0</v>
      </c>
      <c r="U310" s="802">
        <f t="shared" si="17"/>
        <v>0</v>
      </c>
    </row>
    <row r="311" spans="3:21">
      <c r="C311" s="967"/>
      <c r="D311" s="137"/>
      <c r="E311" s="53">
        <f>IF(D311="",1,(LOOKUP(D311,$3:$3,$4:$4)-LOOKUP($D$24,$3:$3,$4:$4)+100)/100)</f>
        <v>1</v>
      </c>
      <c r="F311" s="965"/>
      <c r="G311" s="53">
        <f>(SUMIF($5:$5,F311,$6:$6)-SUMIF($5:$5,$F$24,$6:$6)+100)/100</f>
        <v>0.01</v>
      </c>
      <c r="H311" s="965"/>
      <c r="I311" s="53">
        <f>(SUMIF($7:$7,H311,$8:$8)-SUMIF($7:$7,$H$24,$8:$8)+100)/100</f>
        <v>0.04</v>
      </c>
      <c r="J311" s="965"/>
      <c r="K311" s="53">
        <f>(SUMIF($9:$9,J311,$10:$10)-SUMIF($9:$9,$J$24,$10:$10)+100)/100</f>
        <v>0.04</v>
      </c>
      <c r="L311" s="965"/>
      <c r="M311" s="53">
        <f>(SUMIF($11:$11,L311,$12:$12)-SUMIF($11:$11,$L$24,$12:$12)+100)/100</f>
        <v>1</v>
      </c>
      <c r="N311" s="965"/>
      <c r="O311" s="53">
        <f>(SUMIF($13:$13,N311,$14:$14)-SUMIF($13:$13,$N$24,$14:$14)+100)/100</f>
        <v>1</v>
      </c>
      <c r="P311" s="965"/>
      <c r="Q311" s="53">
        <f>(SUMIF($15:$15,P311,$16:$16)-SUMIF($15:$15,$P$24,$16:$16)+100)/100</f>
        <v>1</v>
      </c>
      <c r="R311" s="965"/>
      <c r="S311" s="53">
        <f>(SUMIF($17:$17,R311,$18:$18)-SUMIF($17:$17,$R$24,$18:$18)+100)/100</f>
        <v>1</v>
      </c>
      <c r="T311" s="493">
        <f>IF(D311="",0,ROUND($T$24*E311*G311*I311*K311*M311*O311*Q311*S311,0))</f>
        <v>0</v>
      </c>
      <c r="U311" s="802">
        <f t="shared" si="17"/>
        <v>0</v>
      </c>
    </row>
    <row r="312" spans="3:21">
      <c r="C312" s="967"/>
      <c r="D312" s="137"/>
      <c r="E312" s="53">
        <f>IF(D312="",1,(LOOKUP(D312,$3:$3,$4:$4)-LOOKUP($D$24,$3:$3,$4:$4)+100)/100)</f>
        <v>1</v>
      </c>
      <c r="F312" s="965"/>
      <c r="G312" s="53">
        <f>(SUMIF($5:$5,F312,$6:$6)-SUMIF($5:$5,$F$24,$6:$6)+100)/100</f>
        <v>0.01</v>
      </c>
      <c r="H312" s="965"/>
      <c r="I312" s="53">
        <f>(SUMIF($7:$7,H312,$8:$8)-SUMIF($7:$7,$H$24,$8:$8)+100)/100</f>
        <v>0.04</v>
      </c>
      <c r="J312" s="965"/>
      <c r="K312" s="53">
        <f>(SUMIF($9:$9,J312,$10:$10)-SUMIF($9:$9,$J$24,$10:$10)+100)/100</f>
        <v>0.04</v>
      </c>
      <c r="L312" s="965"/>
      <c r="M312" s="53">
        <f>(SUMIF($11:$11,L312,$12:$12)-SUMIF($11:$11,$L$24,$12:$12)+100)/100</f>
        <v>1</v>
      </c>
      <c r="N312" s="965"/>
      <c r="O312" s="53">
        <f>(SUMIF($13:$13,N312,$14:$14)-SUMIF($13:$13,$N$24,$14:$14)+100)/100</f>
        <v>1</v>
      </c>
      <c r="P312" s="965"/>
      <c r="Q312" s="53">
        <f>(SUMIF($15:$15,P312,$16:$16)-SUMIF($15:$15,$P$24,$16:$16)+100)/100</f>
        <v>1</v>
      </c>
      <c r="R312" s="965"/>
      <c r="S312" s="53">
        <f>(SUMIF($17:$17,R312,$18:$18)-SUMIF($17:$17,$R$24,$18:$18)+100)/100</f>
        <v>1</v>
      </c>
      <c r="T312" s="493">
        <f>IF(D312="",0,ROUND($T$24*E312*G312*I312*K312*M312*O312*Q312*S312,0))</f>
        <v>0</v>
      </c>
      <c r="U312" s="802">
        <f t="shared" si="17"/>
        <v>0</v>
      </c>
    </row>
    <row r="313" spans="3:21">
      <c r="C313" s="967"/>
      <c r="D313" s="137"/>
      <c r="E313" s="53">
        <f>IF(D313="",1,(LOOKUP(D313,$3:$3,$4:$4)-LOOKUP($D$24,$3:$3,$4:$4)+100)/100)</f>
        <v>1</v>
      </c>
      <c r="F313" s="965"/>
      <c r="G313" s="53">
        <f>(SUMIF($5:$5,F313,$6:$6)-SUMIF($5:$5,$F$24,$6:$6)+100)/100</f>
        <v>0.01</v>
      </c>
      <c r="H313" s="965"/>
      <c r="I313" s="53">
        <f>(SUMIF($7:$7,H313,$8:$8)-SUMIF($7:$7,$H$24,$8:$8)+100)/100</f>
        <v>0.04</v>
      </c>
      <c r="J313" s="965"/>
      <c r="K313" s="53">
        <f>(SUMIF($9:$9,J313,$10:$10)-SUMIF($9:$9,$J$24,$10:$10)+100)/100</f>
        <v>0.04</v>
      </c>
      <c r="L313" s="965"/>
      <c r="M313" s="53">
        <f>(SUMIF($11:$11,L313,$12:$12)-SUMIF($11:$11,$L$24,$12:$12)+100)/100</f>
        <v>1</v>
      </c>
      <c r="N313" s="965"/>
      <c r="O313" s="53">
        <f>(SUMIF($13:$13,N313,$14:$14)-SUMIF($13:$13,$N$24,$14:$14)+100)/100</f>
        <v>1</v>
      </c>
      <c r="P313" s="965"/>
      <c r="Q313" s="53">
        <f>(SUMIF($15:$15,P313,$16:$16)-SUMIF($15:$15,$P$24,$16:$16)+100)/100</f>
        <v>1</v>
      </c>
      <c r="R313" s="965"/>
      <c r="S313" s="53">
        <f>(SUMIF($17:$17,R313,$18:$18)-SUMIF($17:$17,$R$24,$18:$18)+100)/100</f>
        <v>1</v>
      </c>
      <c r="T313" s="493">
        <f>IF(D313="",0,ROUND($T$24*E313*G313*I313*K313*M313*O313*Q313*S313,0))</f>
        <v>0</v>
      </c>
      <c r="U313" s="802">
        <f t="shared" si="17"/>
        <v>0</v>
      </c>
    </row>
    <row r="314" spans="3:21">
      <c r="C314" s="967"/>
      <c r="D314" s="137"/>
      <c r="E314" s="53">
        <f>IF(D314="",1,(LOOKUP(D314,$3:$3,$4:$4)-LOOKUP($D$24,$3:$3,$4:$4)+100)/100)</f>
        <v>1</v>
      </c>
      <c r="F314" s="965"/>
      <c r="G314" s="53">
        <f>(SUMIF($5:$5,F314,$6:$6)-SUMIF($5:$5,$F$24,$6:$6)+100)/100</f>
        <v>0.01</v>
      </c>
      <c r="H314" s="965"/>
      <c r="I314" s="53">
        <f>(SUMIF($7:$7,H314,$8:$8)-SUMIF($7:$7,$H$24,$8:$8)+100)/100</f>
        <v>0.04</v>
      </c>
      <c r="J314" s="965"/>
      <c r="K314" s="53">
        <f>(SUMIF($9:$9,J314,$10:$10)-SUMIF($9:$9,$J$24,$10:$10)+100)/100</f>
        <v>0.04</v>
      </c>
      <c r="L314" s="965"/>
      <c r="M314" s="53">
        <f>(SUMIF($11:$11,L314,$12:$12)-SUMIF($11:$11,$L$24,$12:$12)+100)/100</f>
        <v>1</v>
      </c>
      <c r="N314" s="965"/>
      <c r="O314" s="53">
        <f>(SUMIF($13:$13,N314,$14:$14)-SUMIF($13:$13,$N$24,$14:$14)+100)/100</f>
        <v>1</v>
      </c>
      <c r="P314" s="965"/>
      <c r="Q314" s="53">
        <f>(SUMIF($15:$15,P314,$16:$16)-SUMIF($15:$15,$P$24,$16:$16)+100)/100</f>
        <v>1</v>
      </c>
      <c r="R314" s="965"/>
      <c r="S314" s="53">
        <f>(SUMIF($17:$17,R314,$18:$18)-SUMIF($17:$17,$R$24,$18:$18)+100)/100</f>
        <v>1</v>
      </c>
      <c r="T314" s="493">
        <f>IF(D314="",0,ROUND($T$24*E314*G314*I314*K314*M314*O314*Q314*S314,0))</f>
        <v>0</v>
      </c>
      <c r="U314" s="802">
        <f t="shared" si="17"/>
        <v>0</v>
      </c>
    </row>
    <row r="315" spans="3:21">
      <c r="C315" s="967"/>
      <c r="D315" s="137"/>
      <c r="E315" s="53">
        <f>IF(D315="",1,(LOOKUP(D315,$3:$3,$4:$4)-LOOKUP($D$24,$3:$3,$4:$4)+100)/100)</f>
        <v>1</v>
      </c>
      <c r="F315" s="965"/>
      <c r="G315" s="53">
        <f>(SUMIF($5:$5,F315,$6:$6)-SUMIF($5:$5,$F$24,$6:$6)+100)/100</f>
        <v>0.01</v>
      </c>
      <c r="H315" s="965"/>
      <c r="I315" s="53">
        <f>(SUMIF($7:$7,H315,$8:$8)-SUMIF($7:$7,$H$24,$8:$8)+100)/100</f>
        <v>0.04</v>
      </c>
      <c r="J315" s="965"/>
      <c r="K315" s="53">
        <f>(SUMIF($9:$9,J315,$10:$10)-SUMIF($9:$9,$J$24,$10:$10)+100)/100</f>
        <v>0.04</v>
      </c>
      <c r="L315" s="965"/>
      <c r="M315" s="53">
        <f>(SUMIF($11:$11,L315,$12:$12)-SUMIF($11:$11,$L$24,$12:$12)+100)/100</f>
        <v>1</v>
      </c>
      <c r="N315" s="965"/>
      <c r="O315" s="53">
        <f>(SUMIF($13:$13,N315,$14:$14)-SUMIF($13:$13,$N$24,$14:$14)+100)/100</f>
        <v>1</v>
      </c>
      <c r="P315" s="965"/>
      <c r="Q315" s="53">
        <f>(SUMIF($15:$15,P315,$16:$16)-SUMIF($15:$15,$P$24,$16:$16)+100)/100</f>
        <v>1</v>
      </c>
      <c r="R315" s="965"/>
      <c r="S315" s="53">
        <f>(SUMIF($17:$17,R315,$18:$18)-SUMIF($17:$17,$R$24,$18:$18)+100)/100</f>
        <v>1</v>
      </c>
      <c r="T315" s="493">
        <f>IF(D315="",0,ROUND($T$24*E315*G315*I315*K315*M315*O315*Q315*S315,0))</f>
        <v>0</v>
      </c>
      <c r="U315" s="802">
        <f t="shared" si="17"/>
        <v>0</v>
      </c>
    </row>
    <row r="316" spans="3:21">
      <c r="C316" s="967"/>
      <c r="D316" s="137"/>
      <c r="E316" s="53">
        <f>IF(D316="",1,(LOOKUP(D316,$3:$3,$4:$4)-LOOKUP($D$24,$3:$3,$4:$4)+100)/100)</f>
        <v>1</v>
      </c>
      <c r="F316" s="965"/>
      <c r="G316" s="53">
        <f>(SUMIF($5:$5,F316,$6:$6)-SUMIF($5:$5,$F$24,$6:$6)+100)/100</f>
        <v>0.01</v>
      </c>
      <c r="H316" s="965"/>
      <c r="I316" s="53">
        <f>(SUMIF($7:$7,H316,$8:$8)-SUMIF($7:$7,$H$24,$8:$8)+100)/100</f>
        <v>0.04</v>
      </c>
      <c r="J316" s="965"/>
      <c r="K316" s="53">
        <f>(SUMIF($9:$9,J316,$10:$10)-SUMIF($9:$9,$J$24,$10:$10)+100)/100</f>
        <v>0.04</v>
      </c>
      <c r="L316" s="965"/>
      <c r="M316" s="53">
        <f>(SUMIF($11:$11,L316,$12:$12)-SUMIF($11:$11,$L$24,$12:$12)+100)/100</f>
        <v>1</v>
      </c>
      <c r="N316" s="965"/>
      <c r="O316" s="53">
        <f>(SUMIF($13:$13,N316,$14:$14)-SUMIF($13:$13,$N$24,$14:$14)+100)/100</f>
        <v>1</v>
      </c>
      <c r="P316" s="965"/>
      <c r="Q316" s="53">
        <f>(SUMIF($15:$15,P316,$16:$16)-SUMIF($15:$15,$P$24,$16:$16)+100)/100</f>
        <v>1</v>
      </c>
      <c r="R316" s="965"/>
      <c r="S316" s="53">
        <f>(SUMIF($17:$17,R316,$18:$18)-SUMIF($17:$17,$R$24,$18:$18)+100)/100</f>
        <v>1</v>
      </c>
      <c r="T316" s="493">
        <f>IF(D316="",0,ROUND($T$24*E316*G316*I316*K316*M316*O316*Q316*S316,0))</f>
        <v>0</v>
      </c>
      <c r="U316" s="802">
        <f t="shared" si="17"/>
        <v>0</v>
      </c>
    </row>
    <row r="317" spans="3:21">
      <c r="C317" s="967"/>
      <c r="D317" s="137"/>
      <c r="E317" s="53">
        <f>IF(D317="",1,(LOOKUP(D317,$3:$3,$4:$4)-LOOKUP($D$24,$3:$3,$4:$4)+100)/100)</f>
        <v>1</v>
      </c>
      <c r="F317" s="965"/>
      <c r="G317" s="53">
        <f>(SUMIF($5:$5,F317,$6:$6)-SUMIF($5:$5,$F$24,$6:$6)+100)/100</f>
        <v>0.01</v>
      </c>
      <c r="H317" s="965"/>
      <c r="I317" s="53">
        <f>(SUMIF($7:$7,H317,$8:$8)-SUMIF($7:$7,$H$24,$8:$8)+100)/100</f>
        <v>0.04</v>
      </c>
      <c r="J317" s="965"/>
      <c r="K317" s="53">
        <f>(SUMIF($9:$9,J317,$10:$10)-SUMIF($9:$9,$J$24,$10:$10)+100)/100</f>
        <v>0.04</v>
      </c>
      <c r="L317" s="965"/>
      <c r="M317" s="53">
        <f>(SUMIF($11:$11,L317,$12:$12)-SUMIF($11:$11,$L$24,$12:$12)+100)/100</f>
        <v>1</v>
      </c>
      <c r="N317" s="965"/>
      <c r="O317" s="53">
        <f>(SUMIF($13:$13,N317,$14:$14)-SUMIF($13:$13,$N$24,$14:$14)+100)/100</f>
        <v>1</v>
      </c>
      <c r="P317" s="965"/>
      <c r="Q317" s="53">
        <f>(SUMIF($15:$15,P317,$16:$16)-SUMIF($15:$15,$P$24,$16:$16)+100)/100</f>
        <v>1</v>
      </c>
      <c r="R317" s="965"/>
      <c r="S317" s="53">
        <f>(SUMIF($17:$17,R317,$18:$18)-SUMIF($17:$17,$R$24,$18:$18)+100)/100</f>
        <v>1</v>
      </c>
      <c r="T317" s="493">
        <f>IF(D317="",0,ROUND($T$24*E317*G317*I317*K317*M317*O317*Q317*S317,0))</f>
        <v>0</v>
      </c>
      <c r="U317" s="802">
        <f t="shared" si="17"/>
        <v>0</v>
      </c>
    </row>
    <row r="318" spans="3:21">
      <c r="C318" s="967"/>
      <c r="D318" s="137"/>
      <c r="E318" s="53">
        <f>IF(D318="",1,(LOOKUP(D318,$3:$3,$4:$4)-LOOKUP($D$24,$3:$3,$4:$4)+100)/100)</f>
        <v>1</v>
      </c>
      <c r="F318" s="965"/>
      <c r="G318" s="53">
        <f>(SUMIF($5:$5,F318,$6:$6)-SUMIF($5:$5,$F$24,$6:$6)+100)/100</f>
        <v>0.01</v>
      </c>
      <c r="H318" s="965"/>
      <c r="I318" s="53">
        <f>(SUMIF($7:$7,H318,$8:$8)-SUMIF($7:$7,$H$24,$8:$8)+100)/100</f>
        <v>0.04</v>
      </c>
      <c r="J318" s="965"/>
      <c r="K318" s="53">
        <f>(SUMIF($9:$9,J318,$10:$10)-SUMIF($9:$9,$J$24,$10:$10)+100)/100</f>
        <v>0.04</v>
      </c>
      <c r="L318" s="965"/>
      <c r="M318" s="53">
        <f>(SUMIF($11:$11,L318,$12:$12)-SUMIF($11:$11,$L$24,$12:$12)+100)/100</f>
        <v>1</v>
      </c>
      <c r="N318" s="965"/>
      <c r="O318" s="53">
        <f>(SUMIF($13:$13,N318,$14:$14)-SUMIF($13:$13,$N$24,$14:$14)+100)/100</f>
        <v>1</v>
      </c>
      <c r="P318" s="965"/>
      <c r="Q318" s="53">
        <f>(SUMIF($15:$15,P318,$16:$16)-SUMIF($15:$15,$P$24,$16:$16)+100)/100</f>
        <v>1</v>
      </c>
      <c r="R318" s="965"/>
      <c r="S318" s="53">
        <f>(SUMIF($17:$17,R318,$18:$18)-SUMIF($17:$17,$R$24,$18:$18)+100)/100</f>
        <v>1</v>
      </c>
      <c r="T318" s="493">
        <f>IF(D318="",0,ROUND($T$24*E318*G318*I318*K318*M318*O318*Q318*S318,0))</f>
        <v>0</v>
      </c>
      <c r="U318" s="802">
        <f t="shared" si="17"/>
        <v>0</v>
      </c>
    </row>
    <row r="319" spans="3:21">
      <c r="C319" s="967"/>
      <c r="D319" s="137"/>
      <c r="E319" s="53">
        <f>IF(D319="",1,(LOOKUP(D319,$3:$3,$4:$4)-LOOKUP($D$24,$3:$3,$4:$4)+100)/100)</f>
        <v>1</v>
      </c>
      <c r="F319" s="965"/>
      <c r="G319" s="53">
        <f>(SUMIF($5:$5,F319,$6:$6)-SUMIF($5:$5,$F$24,$6:$6)+100)/100</f>
        <v>0.01</v>
      </c>
      <c r="H319" s="965"/>
      <c r="I319" s="53">
        <f>(SUMIF($7:$7,H319,$8:$8)-SUMIF($7:$7,$H$24,$8:$8)+100)/100</f>
        <v>0.04</v>
      </c>
      <c r="J319" s="965"/>
      <c r="K319" s="53">
        <f>(SUMIF($9:$9,J319,$10:$10)-SUMIF($9:$9,$J$24,$10:$10)+100)/100</f>
        <v>0.04</v>
      </c>
      <c r="L319" s="965"/>
      <c r="M319" s="53">
        <f>(SUMIF($11:$11,L319,$12:$12)-SUMIF($11:$11,$L$24,$12:$12)+100)/100</f>
        <v>1</v>
      </c>
      <c r="N319" s="965"/>
      <c r="O319" s="53">
        <f>(SUMIF($13:$13,N319,$14:$14)-SUMIF($13:$13,$N$24,$14:$14)+100)/100</f>
        <v>1</v>
      </c>
      <c r="P319" s="965"/>
      <c r="Q319" s="53">
        <f>(SUMIF($15:$15,P319,$16:$16)-SUMIF($15:$15,$P$24,$16:$16)+100)/100</f>
        <v>1</v>
      </c>
      <c r="R319" s="965"/>
      <c r="S319" s="53">
        <f>(SUMIF($17:$17,R319,$18:$18)-SUMIF($17:$17,$R$24,$18:$18)+100)/100</f>
        <v>1</v>
      </c>
      <c r="T319" s="493">
        <f>IF(D319="",0,ROUND($T$24*E319*G319*I319*K319*M319*O319*Q319*S319,0))</f>
        <v>0</v>
      </c>
      <c r="U319" s="802">
        <f t="shared" si="17"/>
        <v>0</v>
      </c>
    </row>
    <row r="320" spans="3:21">
      <c r="C320" s="967"/>
      <c r="D320" s="137"/>
      <c r="E320" s="53">
        <f>IF(D320="",1,(LOOKUP(D320,$3:$3,$4:$4)-LOOKUP($D$24,$3:$3,$4:$4)+100)/100)</f>
        <v>1</v>
      </c>
      <c r="F320" s="965"/>
      <c r="G320" s="53">
        <f>(SUMIF($5:$5,F320,$6:$6)-SUMIF($5:$5,$F$24,$6:$6)+100)/100</f>
        <v>0.01</v>
      </c>
      <c r="H320" s="965"/>
      <c r="I320" s="53">
        <f>(SUMIF($7:$7,H320,$8:$8)-SUMIF($7:$7,$H$24,$8:$8)+100)/100</f>
        <v>0.04</v>
      </c>
      <c r="J320" s="965"/>
      <c r="K320" s="53">
        <f>(SUMIF($9:$9,J320,$10:$10)-SUMIF($9:$9,$J$24,$10:$10)+100)/100</f>
        <v>0.04</v>
      </c>
      <c r="L320" s="965"/>
      <c r="M320" s="53">
        <f>(SUMIF($11:$11,L320,$12:$12)-SUMIF($11:$11,$L$24,$12:$12)+100)/100</f>
        <v>1</v>
      </c>
      <c r="N320" s="965"/>
      <c r="O320" s="53">
        <f>(SUMIF($13:$13,N320,$14:$14)-SUMIF($13:$13,$N$24,$14:$14)+100)/100</f>
        <v>1</v>
      </c>
      <c r="P320" s="965"/>
      <c r="Q320" s="53">
        <f>(SUMIF($15:$15,P320,$16:$16)-SUMIF($15:$15,$P$24,$16:$16)+100)/100</f>
        <v>1</v>
      </c>
      <c r="R320" s="965"/>
      <c r="S320" s="53">
        <f>(SUMIF($17:$17,R320,$18:$18)-SUMIF($17:$17,$R$24,$18:$18)+100)/100</f>
        <v>1</v>
      </c>
      <c r="T320" s="493">
        <f>IF(D320="",0,ROUND($T$24*E320*G320*I320*K320*M320*O320*Q320*S320,0))</f>
        <v>0</v>
      </c>
      <c r="U320" s="802">
        <f t="shared" si="17"/>
        <v>0</v>
      </c>
    </row>
    <row r="321" spans="3:21">
      <c r="C321" s="967"/>
      <c r="D321" s="137"/>
      <c r="E321" s="53">
        <f>IF(D321="",1,(LOOKUP(D321,$3:$3,$4:$4)-LOOKUP($D$24,$3:$3,$4:$4)+100)/100)</f>
        <v>1</v>
      </c>
      <c r="F321" s="965"/>
      <c r="G321" s="53">
        <f>(SUMIF($5:$5,F321,$6:$6)-SUMIF($5:$5,$F$24,$6:$6)+100)/100</f>
        <v>0.01</v>
      </c>
      <c r="H321" s="965"/>
      <c r="I321" s="53">
        <f>(SUMIF($7:$7,H321,$8:$8)-SUMIF($7:$7,$H$24,$8:$8)+100)/100</f>
        <v>0.04</v>
      </c>
      <c r="J321" s="965"/>
      <c r="K321" s="53">
        <f>(SUMIF($9:$9,J321,$10:$10)-SUMIF($9:$9,$J$24,$10:$10)+100)/100</f>
        <v>0.04</v>
      </c>
      <c r="L321" s="965"/>
      <c r="M321" s="53">
        <f>(SUMIF($11:$11,L321,$12:$12)-SUMIF($11:$11,$L$24,$12:$12)+100)/100</f>
        <v>1</v>
      </c>
      <c r="N321" s="965"/>
      <c r="O321" s="53">
        <f>(SUMIF($13:$13,N321,$14:$14)-SUMIF($13:$13,$N$24,$14:$14)+100)/100</f>
        <v>1</v>
      </c>
      <c r="P321" s="965"/>
      <c r="Q321" s="53">
        <f>(SUMIF($15:$15,P321,$16:$16)-SUMIF($15:$15,$P$24,$16:$16)+100)/100</f>
        <v>1</v>
      </c>
      <c r="R321" s="965"/>
      <c r="S321" s="53">
        <f>(SUMIF($17:$17,R321,$18:$18)-SUMIF($17:$17,$R$24,$18:$18)+100)/100</f>
        <v>1</v>
      </c>
      <c r="T321" s="493">
        <f>IF(D321="",0,ROUND($T$24*E321*G321*I321*K321*M321*O321*Q321*S321,0))</f>
        <v>0</v>
      </c>
      <c r="U321" s="802">
        <f t="shared" ref="U321:U384" si="18">ROUND(T321*D321/10000,0)</f>
        <v>0</v>
      </c>
    </row>
    <row r="322" spans="3:21">
      <c r="C322" s="967"/>
      <c r="D322" s="137"/>
      <c r="E322" s="53">
        <f>IF(D322="",1,(LOOKUP(D322,$3:$3,$4:$4)-LOOKUP($D$24,$3:$3,$4:$4)+100)/100)</f>
        <v>1</v>
      </c>
      <c r="F322" s="965"/>
      <c r="G322" s="53">
        <f>(SUMIF($5:$5,F322,$6:$6)-SUMIF($5:$5,$F$24,$6:$6)+100)/100</f>
        <v>0.01</v>
      </c>
      <c r="H322" s="965"/>
      <c r="I322" s="53">
        <f>(SUMIF($7:$7,H322,$8:$8)-SUMIF($7:$7,$H$24,$8:$8)+100)/100</f>
        <v>0.04</v>
      </c>
      <c r="J322" s="965"/>
      <c r="K322" s="53">
        <f>(SUMIF($9:$9,J322,$10:$10)-SUMIF($9:$9,$J$24,$10:$10)+100)/100</f>
        <v>0.04</v>
      </c>
      <c r="L322" s="965"/>
      <c r="M322" s="53">
        <f>(SUMIF($11:$11,L322,$12:$12)-SUMIF($11:$11,$L$24,$12:$12)+100)/100</f>
        <v>1</v>
      </c>
      <c r="N322" s="965"/>
      <c r="O322" s="53">
        <f>(SUMIF($13:$13,N322,$14:$14)-SUMIF($13:$13,$N$24,$14:$14)+100)/100</f>
        <v>1</v>
      </c>
      <c r="P322" s="965"/>
      <c r="Q322" s="53">
        <f>(SUMIF($15:$15,P322,$16:$16)-SUMIF($15:$15,$P$24,$16:$16)+100)/100</f>
        <v>1</v>
      </c>
      <c r="R322" s="965"/>
      <c r="S322" s="53">
        <f>(SUMIF($17:$17,R322,$18:$18)-SUMIF($17:$17,$R$24,$18:$18)+100)/100</f>
        <v>1</v>
      </c>
      <c r="T322" s="493">
        <f>IF(D322="",0,ROUND($T$24*E322*G322*I322*K322*M322*O322*Q322*S322,0))</f>
        <v>0</v>
      </c>
      <c r="U322" s="802">
        <f t="shared" si="18"/>
        <v>0</v>
      </c>
    </row>
    <row r="323" spans="3:21">
      <c r="C323" s="967"/>
      <c r="D323" s="137"/>
      <c r="E323" s="53">
        <f>IF(D323="",1,(LOOKUP(D323,$3:$3,$4:$4)-LOOKUP($D$24,$3:$3,$4:$4)+100)/100)</f>
        <v>1</v>
      </c>
      <c r="F323" s="965"/>
      <c r="G323" s="53">
        <f>(SUMIF($5:$5,F323,$6:$6)-SUMIF($5:$5,$F$24,$6:$6)+100)/100</f>
        <v>0.01</v>
      </c>
      <c r="H323" s="965"/>
      <c r="I323" s="53">
        <f>(SUMIF($7:$7,H323,$8:$8)-SUMIF($7:$7,$H$24,$8:$8)+100)/100</f>
        <v>0.04</v>
      </c>
      <c r="J323" s="965"/>
      <c r="K323" s="53">
        <f>(SUMIF($9:$9,J323,$10:$10)-SUMIF($9:$9,$J$24,$10:$10)+100)/100</f>
        <v>0.04</v>
      </c>
      <c r="L323" s="965"/>
      <c r="M323" s="53">
        <f>(SUMIF($11:$11,L323,$12:$12)-SUMIF($11:$11,$L$24,$12:$12)+100)/100</f>
        <v>1</v>
      </c>
      <c r="N323" s="965"/>
      <c r="O323" s="53">
        <f>(SUMIF($13:$13,N323,$14:$14)-SUMIF($13:$13,$N$24,$14:$14)+100)/100</f>
        <v>1</v>
      </c>
      <c r="P323" s="965"/>
      <c r="Q323" s="53">
        <f>(SUMIF($15:$15,P323,$16:$16)-SUMIF($15:$15,$P$24,$16:$16)+100)/100</f>
        <v>1</v>
      </c>
      <c r="R323" s="965"/>
      <c r="S323" s="53">
        <f>(SUMIF($17:$17,R323,$18:$18)-SUMIF($17:$17,$R$24,$18:$18)+100)/100</f>
        <v>1</v>
      </c>
      <c r="T323" s="493">
        <f>IF(D323="",0,ROUND($T$24*E323*G323*I323*K323*M323*O323*Q323*S323,0))</f>
        <v>0</v>
      </c>
      <c r="U323" s="802">
        <f t="shared" si="18"/>
        <v>0</v>
      </c>
    </row>
    <row r="324" spans="3:21">
      <c r="C324" s="967"/>
      <c r="D324" s="137"/>
      <c r="E324" s="53">
        <f>IF(D324="",1,(LOOKUP(D324,$3:$3,$4:$4)-LOOKUP($D$24,$3:$3,$4:$4)+100)/100)</f>
        <v>1</v>
      </c>
      <c r="F324" s="965"/>
      <c r="G324" s="53">
        <f>(SUMIF($5:$5,F324,$6:$6)-SUMIF($5:$5,$F$24,$6:$6)+100)/100</f>
        <v>0.01</v>
      </c>
      <c r="H324" s="965"/>
      <c r="I324" s="53">
        <f>(SUMIF($7:$7,H324,$8:$8)-SUMIF($7:$7,$H$24,$8:$8)+100)/100</f>
        <v>0.04</v>
      </c>
      <c r="J324" s="965"/>
      <c r="K324" s="53">
        <f>(SUMIF($9:$9,J324,$10:$10)-SUMIF($9:$9,$J$24,$10:$10)+100)/100</f>
        <v>0.04</v>
      </c>
      <c r="L324" s="965"/>
      <c r="M324" s="53">
        <f>(SUMIF($11:$11,L324,$12:$12)-SUMIF($11:$11,$L$24,$12:$12)+100)/100</f>
        <v>1</v>
      </c>
      <c r="N324" s="965"/>
      <c r="O324" s="53">
        <f>(SUMIF($13:$13,N324,$14:$14)-SUMIF($13:$13,$N$24,$14:$14)+100)/100</f>
        <v>1</v>
      </c>
      <c r="P324" s="965"/>
      <c r="Q324" s="53">
        <f>(SUMIF($15:$15,P324,$16:$16)-SUMIF($15:$15,$P$24,$16:$16)+100)/100</f>
        <v>1</v>
      </c>
      <c r="R324" s="965"/>
      <c r="S324" s="53">
        <f>(SUMIF($17:$17,R324,$18:$18)-SUMIF($17:$17,$R$24,$18:$18)+100)/100</f>
        <v>1</v>
      </c>
      <c r="T324" s="493">
        <f>IF(D324="",0,ROUND($T$24*E324*G324*I324*K324*M324*O324*Q324*S324,0))</f>
        <v>0</v>
      </c>
      <c r="U324" s="802">
        <f t="shared" si="18"/>
        <v>0</v>
      </c>
    </row>
    <row r="325" spans="3:21">
      <c r="C325" s="967"/>
      <c r="D325" s="137"/>
      <c r="E325" s="53">
        <f>IF(D325="",1,(LOOKUP(D325,$3:$3,$4:$4)-LOOKUP($D$24,$3:$3,$4:$4)+100)/100)</f>
        <v>1</v>
      </c>
      <c r="F325" s="965"/>
      <c r="G325" s="53">
        <f>(SUMIF($5:$5,F325,$6:$6)-SUMIF($5:$5,$F$24,$6:$6)+100)/100</f>
        <v>0.01</v>
      </c>
      <c r="H325" s="965"/>
      <c r="I325" s="53">
        <f>(SUMIF($7:$7,H325,$8:$8)-SUMIF($7:$7,$H$24,$8:$8)+100)/100</f>
        <v>0.04</v>
      </c>
      <c r="J325" s="965"/>
      <c r="K325" s="53">
        <f>(SUMIF($9:$9,J325,$10:$10)-SUMIF($9:$9,$J$24,$10:$10)+100)/100</f>
        <v>0.04</v>
      </c>
      <c r="L325" s="965"/>
      <c r="M325" s="53">
        <f>(SUMIF($11:$11,L325,$12:$12)-SUMIF($11:$11,$L$24,$12:$12)+100)/100</f>
        <v>1</v>
      </c>
      <c r="N325" s="965"/>
      <c r="O325" s="53">
        <f>(SUMIF($13:$13,N325,$14:$14)-SUMIF($13:$13,$N$24,$14:$14)+100)/100</f>
        <v>1</v>
      </c>
      <c r="P325" s="965"/>
      <c r="Q325" s="53">
        <f>(SUMIF($15:$15,P325,$16:$16)-SUMIF($15:$15,$P$24,$16:$16)+100)/100</f>
        <v>1</v>
      </c>
      <c r="R325" s="965"/>
      <c r="S325" s="53">
        <f>(SUMIF($17:$17,R325,$18:$18)-SUMIF($17:$17,$R$24,$18:$18)+100)/100</f>
        <v>1</v>
      </c>
      <c r="T325" s="493">
        <f>IF(D325="",0,ROUND($T$24*E325*G325*I325*K325*M325*O325*Q325*S325,0))</f>
        <v>0</v>
      </c>
      <c r="U325" s="802">
        <f t="shared" si="18"/>
        <v>0</v>
      </c>
    </row>
    <row r="326" spans="3:21">
      <c r="C326" s="967"/>
      <c r="D326" s="137"/>
      <c r="E326" s="53">
        <f>IF(D326="",1,(LOOKUP(D326,$3:$3,$4:$4)-LOOKUP($D$24,$3:$3,$4:$4)+100)/100)</f>
        <v>1</v>
      </c>
      <c r="F326" s="965"/>
      <c r="G326" s="53">
        <f>(SUMIF($5:$5,F326,$6:$6)-SUMIF($5:$5,$F$24,$6:$6)+100)/100</f>
        <v>0.01</v>
      </c>
      <c r="H326" s="965"/>
      <c r="I326" s="53">
        <f>(SUMIF($7:$7,H326,$8:$8)-SUMIF($7:$7,$H$24,$8:$8)+100)/100</f>
        <v>0.04</v>
      </c>
      <c r="J326" s="965"/>
      <c r="K326" s="53">
        <f>(SUMIF($9:$9,J326,$10:$10)-SUMIF($9:$9,$J$24,$10:$10)+100)/100</f>
        <v>0.04</v>
      </c>
      <c r="L326" s="965"/>
      <c r="M326" s="53">
        <f>(SUMIF($11:$11,L326,$12:$12)-SUMIF($11:$11,$L$24,$12:$12)+100)/100</f>
        <v>1</v>
      </c>
      <c r="N326" s="965"/>
      <c r="O326" s="53">
        <f>(SUMIF($13:$13,N326,$14:$14)-SUMIF($13:$13,$N$24,$14:$14)+100)/100</f>
        <v>1</v>
      </c>
      <c r="P326" s="965"/>
      <c r="Q326" s="53">
        <f>(SUMIF($15:$15,P326,$16:$16)-SUMIF($15:$15,$P$24,$16:$16)+100)/100</f>
        <v>1</v>
      </c>
      <c r="R326" s="965"/>
      <c r="S326" s="53">
        <f>(SUMIF($17:$17,R326,$18:$18)-SUMIF($17:$17,$R$24,$18:$18)+100)/100</f>
        <v>1</v>
      </c>
      <c r="T326" s="493">
        <f>IF(D326="",0,ROUND($T$24*E326*G326*I326*K326*M326*O326*Q326*S326,0))</f>
        <v>0</v>
      </c>
      <c r="U326" s="802">
        <f t="shared" si="18"/>
        <v>0</v>
      </c>
    </row>
    <row r="327" spans="3:21">
      <c r="C327" s="967"/>
      <c r="D327" s="137"/>
      <c r="E327" s="53">
        <f>IF(D327="",1,(LOOKUP(D327,$3:$3,$4:$4)-LOOKUP($D$24,$3:$3,$4:$4)+100)/100)</f>
        <v>1</v>
      </c>
      <c r="F327" s="965"/>
      <c r="G327" s="53">
        <f>(SUMIF($5:$5,F327,$6:$6)-SUMIF($5:$5,$F$24,$6:$6)+100)/100</f>
        <v>0.01</v>
      </c>
      <c r="H327" s="965"/>
      <c r="I327" s="53">
        <f>(SUMIF($7:$7,H327,$8:$8)-SUMIF($7:$7,$H$24,$8:$8)+100)/100</f>
        <v>0.04</v>
      </c>
      <c r="J327" s="965"/>
      <c r="K327" s="53">
        <f>(SUMIF($9:$9,J327,$10:$10)-SUMIF($9:$9,$J$24,$10:$10)+100)/100</f>
        <v>0.04</v>
      </c>
      <c r="L327" s="965"/>
      <c r="M327" s="53">
        <f>(SUMIF($11:$11,L327,$12:$12)-SUMIF($11:$11,$L$24,$12:$12)+100)/100</f>
        <v>1</v>
      </c>
      <c r="N327" s="965"/>
      <c r="O327" s="53">
        <f>(SUMIF($13:$13,N327,$14:$14)-SUMIF($13:$13,$N$24,$14:$14)+100)/100</f>
        <v>1</v>
      </c>
      <c r="P327" s="965"/>
      <c r="Q327" s="53">
        <f>(SUMIF($15:$15,P327,$16:$16)-SUMIF($15:$15,$P$24,$16:$16)+100)/100</f>
        <v>1</v>
      </c>
      <c r="R327" s="965"/>
      <c r="S327" s="53">
        <f>(SUMIF($17:$17,R327,$18:$18)-SUMIF($17:$17,$R$24,$18:$18)+100)/100</f>
        <v>1</v>
      </c>
      <c r="T327" s="493">
        <f>IF(D327="",0,ROUND($T$24*E327*G327*I327*K327*M327*O327*Q327*S327,0))</f>
        <v>0</v>
      </c>
      <c r="U327" s="802">
        <f t="shared" si="18"/>
        <v>0</v>
      </c>
    </row>
    <row r="328" spans="3:21">
      <c r="C328" s="967"/>
      <c r="D328" s="137"/>
      <c r="E328" s="53">
        <f>IF(D328="",1,(LOOKUP(D328,$3:$3,$4:$4)-LOOKUP($D$24,$3:$3,$4:$4)+100)/100)</f>
        <v>1</v>
      </c>
      <c r="F328" s="965"/>
      <c r="G328" s="53">
        <f>(SUMIF($5:$5,F328,$6:$6)-SUMIF($5:$5,$F$24,$6:$6)+100)/100</f>
        <v>0.01</v>
      </c>
      <c r="H328" s="965"/>
      <c r="I328" s="53">
        <f>(SUMIF($7:$7,H328,$8:$8)-SUMIF($7:$7,$H$24,$8:$8)+100)/100</f>
        <v>0.04</v>
      </c>
      <c r="J328" s="965"/>
      <c r="K328" s="53">
        <f>(SUMIF($9:$9,J328,$10:$10)-SUMIF($9:$9,$J$24,$10:$10)+100)/100</f>
        <v>0.04</v>
      </c>
      <c r="L328" s="965"/>
      <c r="M328" s="53">
        <f>(SUMIF($11:$11,L328,$12:$12)-SUMIF($11:$11,$L$24,$12:$12)+100)/100</f>
        <v>1</v>
      </c>
      <c r="N328" s="965"/>
      <c r="O328" s="53">
        <f>(SUMIF($13:$13,N328,$14:$14)-SUMIF($13:$13,$N$24,$14:$14)+100)/100</f>
        <v>1</v>
      </c>
      <c r="P328" s="965"/>
      <c r="Q328" s="53">
        <f>(SUMIF($15:$15,P328,$16:$16)-SUMIF($15:$15,$P$24,$16:$16)+100)/100</f>
        <v>1</v>
      </c>
      <c r="R328" s="965"/>
      <c r="S328" s="53">
        <f>(SUMIF($17:$17,R328,$18:$18)-SUMIF($17:$17,$R$24,$18:$18)+100)/100</f>
        <v>1</v>
      </c>
      <c r="T328" s="493">
        <f>IF(D328="",0,ROUND($T$24*E328*G328*I328*K328*M328*O328*Q328*S328,0))</f>
        <v>0</v>
      </c>
      <c r="U328" s="802">
        <f t="shared" si="18"/>
        <v>0</v>
      </c>
    </row>
    <row r="329" spans="3:21">
      <c r="C329" s="967"/>
      <c r="D329" s="137"/>
      <c r="E329" s="53">
        <f>IF(D329="",1,(LOOKUP(D329,$3:$3,$4:$4)-LOOKUP($D$24,$3:$3,$4:$4)+100)/100)</f>
        <v>1</v>
      </c>
      <c r="F329" s="965"/>
      <c r="G329" s="53">
        <f>(SUMIF($5:$5,F329,$6:$6)-SUMIF($5:$5,$F$24,$6:$6)+100)/100</f>
        <v>0.01</v>
      </c>
      <c r="H329" s="965"/>
      <c r="I329" s="53">
        <f>(SUMIF($7:$7,H329,$8:$8)-SUMIF($7:$7,$H$24,$8:$8)+100)/100</f>
        <v>0.04</v>
      </c>
      <c r="J329" s="965"/>
      <c r="K329" s="53">
        <f>(SUMIF($9:$9,J329,$10:$10)-SUMIF($9:$9,$J$24,$10:$10)+100)/100</f>
        <v>0.04</v>
      </c>
      <c r="L329" s="965"/>
      <c r="M329" s="53">
        <f>(SUMIF($11:$11,L329,$12:$12)-SUMIF($11:$11,$L$24,$12:$12)+100)/100</f>
        <v>1</v>
      </c>
      <c r="N329" s="965"/>
      <c r="O329" s="53">
        <f>(SUMIF($13:$13,N329,$14:$14)-SUMIF($13:$13,$N$24,$14:$14)+100)/100</f>
        <v>1</v>
      </c>
      <c r="P329" s="965"/>
      <c r="Q329" s="53">
        <f>(SUMIF($15:$15,P329,$16:$16)-SUMIF($15:$15,$P$24,$16:$16)+100)/100</f>
        <v>1</v>
      </c>
      <c r="R329" s="965"/>
      <c r="S329" s="53">
        <f>(SUMIF($17:$17,R329,$18:$18)-SUMIF($17:$17,$R$24,$18:$18)+100)/100</f>
        <v>1</v>
      </c>
      <c r="T329" s="493">
        <f>IF(D329="",0,ROUND($T$24*E329*G329*I329*K329*M329*O329*Q329*S329,0))</f>
        <v>0</v>
      </c>
      <c r="U329" s="802">
        <f t="shared" si="18"/>
        <v>0</v>
      </c>
    </row>
    <row r="330" spans="3:21">
      <c r="C330" s="967"/>
      <c r="D330" s="137"/>
      <c r="E330" s="53">
        <f>IF(D330="",1,(LOOKUP(D330,$3:$3,$4:$4)-LOOKUP($D$24,$3:$3,$4:$4)+100)/100)</f>
        <v>1</v>
      </c>
      <c r="F330" s="965"/>
      <c r="G330" s="53">
        <f>(SUMIF($5:$5,F330,$6:$6)-SUMIF($5:$5,$F$24,$6:$6)+100)/100</f>
        <v>0.01</v>
      </c>
      <c r="H330" s="965"/>
      <c r="I330" s="53">
        <f>(SUMIF($7:$7,H330,$8:$8)-SUMIF($7:$7,$H$24,$8:$8)+100)/100</f>
        <v>0.04</v>
      </c>
      <c r="J330" s="965"/>
      <c r="K330" s="53">
        <f>(SUMIF($9:$9,J330,$10:$10)-SUMIF($9:$9,$J$24,$10:$10)+100)/100</f>
        <v>0.04</v>
      </c>
      <c r="L330" s="965"/>
      <c r="M330" s="53">
        <f>(SUMIF($11:$11,L330,$12:$12)-SUMIF($11:$11,$L$24,$12:$12)+100)/100</f>
        <v>1</v>
      </c>
      <c r="N330" s="965"/>
      <c r="O330" s="53">
        <f>(SUMIF($13:$13,N330,$14:$14)-SUMIF($13:$13,$N$24,$14:$14)+100)/100</f>
        <v>1</v>
      </c>
      <c r="P330" s="965"/>
      <c r="Q330" s="53">
        <f>(SUMIF($15:$15,P330,$16:$16)-SUMIF($15:$15,$P$24,$16:$16)+100)/100</f>
        <v>1</v>
      </c>
      <c r="R330" s="965"/>
      <c r="S330" s="53">
        <f>(SUMIF($17:$17,R330,$18:$18)-SUMIF($17:$17,$R$24,$18:$18)+100)/100</f>
        <v>1</v>
      </c>
      <c r="T330" s="493">
        <f>IF(D330="",0,ROUND($T$24*E330*G330*I330*K330*M330*O330*Q330*S330,0))</f>
        <v>0</v>
      </c>
      <c r="U330" s="802">
        <f t="shared" si="18"/>
        <v>0</v>
      </c>
    </row>
    <row r="331" spans="3:21">
      <c r="C331" s="967"/>
      <c r="D331" s="137"/>
      <c r="E331" s="53">
        <f>IF(D331="",1,(LOOKUP(D331,$3:$3,$4:$4)-LOOKUP($D$24,$3:$3,$4:$4)+100)/100)</f>
        <v>1</v>
      </c>
      <c r="F331" s="965"/>
      <c r="G331" s="53">
        <f>(SUMIF($5:$5,F331,$6:$6)-SUMIF($5:$5,$F$24,$6:$6)+100)/100</f>
        <v>0.01</v>
      </c>
      <c r="H331" s="965"/>
      <c r="I331" s="53">
        <f>(SUMIF($7:$7,H331,$8:$8)-SUMIF($7:$7,$H$24,$8:$8)+100)/100</f>
        <v>0.04</v>
      </c>
      <c r="J331" s="965"/>
      <c r="K331" s="53">
        <f>(SUMIF($9:$9,J331,$10:$10)-SUMIF($9:$9,$J$24,$10:$10)+100)/100</f>
        <v>0.04</v>
      </c>
      <c r="L331" s="965"/>
      <c r="M331" s="53">
        <f>(SUMIF($11:$11,L331,$12:$12)-SUMIF($11:$11,$L$24,$12:$12)+100)/100</f>
        <v>1</v>
      </c>
      <c r="N331" s="965"/>
      <c r="O331" s="53">
        <f>(SUMIF($13:$13,N331,$14:$14)-SUMIF($13:$13,$N$24,$14:$14)+100)/100</f>
        <v>1</v>
      </c>
      <c r="P331" s="965"/>
      <c r="Q331" s="53">
        <f>(SUMIF($15:$15,P331,$16:$16)-SUMIF($15:$15,$P$24,$16:$16)+100)/100</f>
        <v>1</v>
      </c>
      <c r="R331" s="965"/>
      <c r="S331" s="53">
        <f>(SUMIF($17:$17,R331,$18:$18)-SUMIF($17:$17,$R$24,$18:$18)+100)/100</f>
        <v>1</v>
      </c>
      <c r="T331" s="493">
        <f>IF(D331="",0,ROUND($T$24*E331*G331*I331*K331*M331*O331*Q331*S331,0))</f>
        <v>0</v>
      </c>
      <c r="U331" s="802">
        <f t="shared" si="18"/>
        <v>0</v>
      </c>
    </row>
    <row r="332" spans="3:21">
      <c r="C332" s="967"/>
      <c r="D332" s="137"/>
      <c r="E332" s="53">
        <f>IF(D332="",1,(LOOKUP(D332,$3:$3,$4:$4)-LOOKUP($D$24,$3:$3,$4:$4)+100)/100)</f>
        <v>1</v>
      </c>
      <c r="F332" s="965"/>
      <c r="G332" s="53">
        <f>(SUMIF($5:$5,F332,$6:$6)-SUMIF($5:$5,$F$24,$6:$6)+100)/100</f>
        <v>0.01</v>
      </c>
      <c r="H332" s="965"/>
      <c r="I332" s="53">
        <f>(SUMIF($7:$7,H332,$8:$8)-SUMIF($7:$7,$H$24,$8:$8)+100)/100</f>
        <v>0.04</v>
      </c>
      <c r="J332" s="965"/>
      <c r="K332" s="53">
        <f>(SUMIF($9:$9,J332,$10:$10)-SUMIF($9:$9,$J$24,$10:$10)+100)/100</f>
        <v>0.04</v>
      </c>
      <c r="L332" s="965"/>
      <c r="M332" s="53">
        <f>(SUMIF($11:$11,L332,$12:$12)-SUMIF($11:$11,$L$24,$12:$12)+100)/100</f>
        <v>1</v>
      </c>
      <c r="N332" s="965"/>
      <c r="O332" s="53">
        <f>(SUMIF($13:$13,N332,$14:$14)-SUMIF($13:$13,$N$24,$14:$14)+100)/100</f>
        <v>1</v>
      </c>
      <c r="P332" s="965"/>
      <c r="Q332" s="53">
        <f>(SUMIF($15:$15,P332,$16:$16)-SUMIF($15:$15,$P$24,$16:$16)+100)/100</f>
        <v>1</v>
      </c>
      <c r="R332" s="965"/>
      <c r="S332" s="53">
        <f>(SUMIF($17:$17,R332,$18:$18)-SUMIF($17:$17,$R$24,$18:$18)+100)/100</f>
        <v>1</v>
      </c>
      <c r="T332" s="493">
        <f>IF(D332="",0,ROUND($T$24*E332*G332*I332*K332*M332*O332*Q332*S332,0))</f>
        <v>0</v>
      </c>
      <c r="U332" s="802">
        <f t="shared" si="18"/>
        <v>0</v>
      </c>
    </row>
    <row r="333" spans="3:21">
      <c r="C333" s="967"/>
      <c r="D333" s="137"/>
      <c r="E333" s="53">
        <f>IF(D333="",1,(LOOKUP(D333,$3:$3,$4:$4)-LOOKUP($D$24,$3:$3,$4:$4)+100)/100)</f>
        <v>1</v>
      </c>
      <c r="F333" s="965"/>
      <c r="G333" s="53">
        <f>(SUMIF($5:$5,F333,$6:$6)-SUMIF($5:$5,$F$24,$6:$6)+100)/100</f>
        <v>0.01</v>
      </c>
      <c r="H333" s="965"/>
      <c r="I333" s="53">
        <f>(SUMIF($7:$7,H333,$8:$8)-SUMIF($7:$7,$H$24,$8:$8)+100)/100</f>
        <v>0.04</v>
      </c>
      <c r="J333" s="965"/>
      <c r="K333" s="53">
        <f>(SUMIF($9:$9,J333,$10:$10)-SUMIF($9:$9,$J$24,$10:$10)+100)/100</f>
        <v>0.04</v>
      </c>
      <c r="L333" s="965"/>
      <c r="M333" s="53">
        <f>(SUMIF($11:$11,L333,$12:$12)-SUMIF($11:$11,$L$24,$12:$12)+100)/100</f>
        <v>1</v>
      </c>
      <c r="N333" s="965"/>
      <c r="O333" s="53">
        <f>(SUMIF($13:$13,N333,$14:$14)-SUMIF($13:$13,$N$24,$14:$14)+100)/100</f>
        <v>1</v>
      </c>
      <c r="P333" s="965"/>
      <c r="Q333" s="53">
        <f>(SUMIF($15:$15,P333,$16:$16)-SUMIF($15:$15,$P$24,$16:$16)+100)/100</f>
        <v>1</v>
      </c>
      <c r="R333" s="965"/>
      <c r="S333" s="53">
        <f>(SUMIF($17:$17,R333,$18:$18)-SUMIF($17:$17,$R$24,$18:$18)+100)/100</f>
        <v>1</v>
      </c>
      <c r="T333" s="493">
        <f>IF(D333="",0,ROUND($T$24*E333*G333*I333*K333*M333*O333*Q333*S333,0))</f>
        <v>0</v>
      </c>
      <c r="U333" s="802">
        <f t="shared" si="18"/>
        <v>0</v>
      </c>
    </row>
    <row r="334" spans="3:21">
      <c r="C334" s="967"/>
      <c r="D334" s="137"/>
      <c r="E334" s="53">
        <f>IF(D334="",1,(LOOKUP(D334,$3:$3,$4:$4)-LOOKUP($D$24,$3:$3,$4:$4)+100)/100)</f>
        <v>1</v>
      </c>
      <c r="F334" s="965"/>
      <c r="G334" s="53">
        <f>(SUMIF($5:$5,F334,$6:$6)-SUMIF($5:$5,$F$24,$6:$6)+100)/100</f>
        <v>0.01</v>
      </c>
      <c r="H334" s="965"/>
      <c r="I334" s="53">
        <f>(SUMIF($7:$7,H334,$8:$8)-SUMIF($7:$7,$H$24,$8:$8)+100)/100</f>
        <v>0.04</v>
      </c>
      <c r="J334" s="965"/>
      <c r="K334" s="53">
        <f>(SUMIF($9:$9,J334,$10:$10)-SUMIF($9:$9,$J$24,$10:$10)+100)/100</f>
        <v>0.04</v>
      </c>
      <c r="L334" s="965"/>
      <c r="M334" s="53">
        <f>(SUMIF($11:$11,L334,$12:$12)-SUMIF($11:$11,$L$24,$12:$12)+100)/100</f>
        <v>1</v>
      </c>
      <c r="N334" s="965"/>
      <c r="O334" s="53">
        <f>(SUMIF($13:$13,N334,$14:$14)-SUMIF($13:$13,$N$24,$14:$14)+100)/100</f>
        <v>1</v>
      </c>
      <c r="P334" s="965"/>
      <c r="Q334" s="53">
        <f>(SUMIF($15:$15,P334,$16:$16)-SUMIF($15:$15,$P$24,$16:$16)+100)/100</f>
        <v>1</v>
      </c>
      <c r="R334" s="965"/>
      <c r="S334" s="53">
        <f>(SUMIF($17:$17,R334,$18:$18)-SUMIF($17:$17,$R$24,$18:$18)+100)/100</f>
        <v>1</v>
      </c>
      <c r="T334" s="493">
        <f>IF(D334="",0,ROUND($T$24*E334*G334*I334*K334*M334*O334*Q334*S334,0))</f>
        <v>0</v>
      </c>
      <c r="U334" s="802">
        <f t="shared" si="18"/>
        <v>0</v>
      </c>
    </row>
    <row r="335" spans="3:21">
      <c r="C335" s="967"/>
      <c r="D335" s="137"/>
      <c r="E335" s="53">
        <f>IF(D335="",1,(LOOKUP(D335,$3:$3,$4:$4)-LOOKUP($D$24,$3:$3,$4:$4)+100)/100)</f>
        <v>1</v>
      </c>
      <c r="F335" s="965"/>
      <c r="G335" s="53">
        <f>(SUMIF($5:$5,F335,$6:$6)-SUMIF($5:$5,$F$24,$6:$6)+100)/100</f>
        <v>0.01</v>
      </c>
      <c r="H335" s="965"/>
      <c r="I335" s="53">
        <f>(SUMIF($7:$7,H335,$8:$8)-SUMIF($7:$7,$H$24,$8:$8)+100)/100</f>
        <v>0.04</v>
      </c>
      <c r="J335" s="965"/>
      <c r="K335" s="53">
        <f>(SUMIF($9:$9,J335,$10:$10)-SUMIF($9:$9,$J$24,$10:$10)+100)/100</f>
        <v>0.04</v>
      </c>
      <c r="L335" s="965"/>
      <c r="M335" s="53">
        <f>(SUMIF($11:$11,L335,$12:$12)-SUMIF($11:$11,$L$24,$12:$12)+100)/100</f>
        <v>1</v>
      </c>
      <c r="N335" s="965"/>
      <c r="O335" s="53">
        <f>(SUMIF($13:$13,N335,$14:$14)-SUMIF($13:$13,$N$24,$14:$14)+100)/100</f>
        <v>1</v>
      </c>
      <c r="P335" s="965"/>
      <c r="Q335" s="53">
        <f>(SUMIF($15:$15,P335,$16:$16)-SUMIF($15:$15,$P$24,$16:$16)+100)/100</f>
        <v>1</v>
      </c>
      <c r="R335" s="965"/>
      <c r="S335" s="53">
        <f>(SUMIF($17:$17,R335,$18:$18)-SUMIF($17:$17,$R$24,$18:$18)+100)/100</f>
        <v>1</v>
      </c>
      <c r="T335" s="493">
        <f>IF(D335="",0,ROUND($T$24*E335*G335*I335*K335*M335*O335*Q335*S335,0))</f>
        <v>0</v>
      </c>
      <c r="U335" s="802">
        <f t="shared" si="18"/>
        <v>0</v>
      </c>
    </row>
    <row r="336" spans="3:21">
      <c r="C336" s="967"/>
      <c r="D336" s="137"/>
      <c r="E336" s="53">
        <f>IF(D336="",1,(LOOKUP(D336,$3:$3,$4:$4)-LOOKUP($D$24,$3:$3,$4:$4)+100)/100)</f>
        <v>1</v>
      </c>
      <c r="F336" s="965"/>
      <c r="G336" s="53">
        <f>(SUMIF($5:$5,F336,$6:$6)-SUMIF($5:$5,$F$24,$6:$6)+100)/100</f>
        <v>0.01</v>
      </c>
      <c r="H336" s="965"/>
      <c r="I336" s="53">
        <f>(SUMIF($7:$7,H336,$8:$8)-SUMIF($7:$7,$H$24,$8:$8)+100)/100</f>
        <v>0.04</v>
      </c>
      <c r="J336" s="965"/>
      <c r="K336" s="53">
        <f>(SUMIF($9:$9,J336,$10:$10)-SUMIF($9:$9,$J$24,$10:$10)+100)/100</f>
        <v>0.04</v>
      </c>
      <c r="L336" s="965"/>
      <c r="M336" s="53">
        <f>(SUMIF($11:$11,L336,$12:$12)-SUMIF($11:$11,$L$24,$12:$12)+100)/100</f>
        <v>1</v>
      </c>
      <c r="N336" s="965"/>
      <c r="O336" s="53">
        <f>(SUMIF($13:$13,N336,$14:$14)-SUMIF($13:$13,$N$24,$14:$14)+100)/100</f>
        <v>1</v>
      </c>
      <c r="P336" s="965"/>
      <c r="Q336" s="53">
        <f>(SUMIF($15:$15,P336,$16:$16)-SUMIF($15:$15,$P$24,$16:$16)+100)/100</f>
        <v>1</v>
      </c>
      <c r="R336" s="965"/>
      <c r="S336" s="53">
        <f>(SUMIF($17:$17,R336,$18:$18)-SUMIF($17:$17,$R$24,$18:$18)+100)/100</f>
        <v>1</v>
      </c>
      <c r="T336" s="493">
        <f>IF(D336="",0,ROUND($T$24*E336*G336*I336*K336*M336*O336*Q336*S336,0))</f>
        <v>0</v>
      </c>
      <c r="U336" s="802">
        <f t="shared" si="18"/>
        <v>0</v>
      </c>
    </row>
    <row r="337" spans="3:21">
      <c r="C337" s="967"/>
      <c r="D337" s="137"/>
      <c r="E337" s="53">
        <f>IF(D337="",1,(LOOKUP(D337,$3:$3,$4:$4)-LOOKUP($D$24,$3:$3,$4:$4)+100)/100)</f>
        <v>1</v>
      </c>
      <c r="F337" s="965"/>
      <c r="G337" s="53">
        <f>(SUMIF($5:$5,F337,$6:$6)-SUMIF($5:$5,$F$24,$6:$6)+100)/100</f>
        <v>0.01</v>
      </c>
      <c r="H337" s="965"/>
      <c r="I337" s="53">
        <f>(SUMIF($7:$7,H337,$8:$8)-SUMIF($7:$7,$H$24,$8:$8)+100)/100</f>
        <v>0.04</v>
      </c>
      <c r="J337" s="965"/>
      <c r="K337" s="53">
        <f>(SUMIF($9:$9,J337,$10:$10)-SUMIF($9:$9,$J$24,$10:$10)+100)/100</f>
        <v>0.04</v>
      </c>
      <c r="L337" s="965"/>
      <c r="M337" s="53">
        <f>(SUMIF($11:$11,L337,$12:$12)-SUMIF($11:$11,$L$24,$12:$12)+100)/100</f>
        <v>1</v>
      </c>
      <c r="N337" s="965"/>
      <c r="O337" s="53">
        <f>(SUMIF($13:$13,N337,$14:$14)-SUMIF($13:$13,$N$24,$14:$14)+100)/100</f>
        <v>1</v>
      </c>
      <c r="P337" s="965"/>
      <c r="Q337" s="53">
        <f>(SUMIF($15:$15,P337,$16:$16)-SUMIF($15:$15,$P$24,$16:$16)+100)/100</f>
        <v>1</v>
      </c>
      <c r="R337" s="965"/>
      <c r="S337" s="53">
        <f>(SUMIF($17:$17,R337,$18:$18)-SUMIF($17:$17,$R$24,$18:$18)+100)/100</f>
        <v>1</v>
      </c>
      <c r="T337" s="493">
        <f>IF(D337="",0,ROUND($T$24*E337*G337*I337*K337*M337*O337*Q337*S337,0))</f>
        <v>0</v>
      </c>
      <c r="U337" s="802">
        <f t="shared" si="18"/>
        <v>0</v>
      </c>
    </row>
    <row r="338" spans="3:21">
      <c r="C338" s="967"/>
      <c r="D338" s="137"/>
      <c r="E338" s="53">
        <f>IF(D338="",1,(LOOKUP(D338,$3:$3,$4:$4)-LOOKUP($D$24,$3:$3,$4:$4)+100)/100)</f>
        <v>1</v>
      </c>
      <c r="F338" s="965"/>
      <c r="G338" s="53">
        <f>(SUMIF($5:$5,F338,$6:$6)-SUMIF($5:$5,$F$24,$6:$6)+100)/100</f>
        <v>0.01</v>
      </c>
      <c r="H338" s="965"/>
      <c r="I338" s="53">
        <f>(SUMIF($7:$7,H338,$8:$8)-SUMIF($7:$7,$H$24,$8:$8)+100)/100</f>
        <v>0.04</v>
      </c>
      <c r="J338" s="965"/>
      <c r="K338" s="53">
        <f>(SUMIF($9:$9,J338,$10:$10)-SUMIF($9:$9,$J$24,$10:$10)+100)/100</f>
        <v>0.04</v>
      </c>
      <c r="L338" s="965"/>
      <c r="M338" s="53">
        <f>(SUMIF($11:$11,L338,$12:$12)-SUMIF($11:$11,$L$24,$12:$12)+100)/100</f>
        <v>1</v>
      </c>
      <c r="N338" s="965"/>
      <c r="O338" s="53">
        <f>(SUMIF($13:$13,N338,$14:$14)-SUMIF($13:$13,$N$24,$14:$14)+100)/100</f>
        <v>1</v>
      </c>
      <c r="P338" s="965"/>
      <c r="Q338" s="53">
        <f>(SUMIF($15:$15,P338,$16:$16)-SUMIF($15:$15,$P$24,$16:$16)+100)/100</f>
        <v>1</v>
      </c>
      <c r="R338" s="965"/>
      <c r="S338" s="53">
        <f>(SUMIF($17:$17,R338,$18:$18)-SUMIF($17:$17,$R$24,$18:$18)+100)/100</f>
        <v>1</v>
      </c>
      <c r="T338" s="493">
        <f>IF(D338="",0,ROUND($T$24*E338*G338*I338*K338*M338*O338*Q338*S338,0))</f>
        <v>0</v>
      </c>
      <c r="U338" s="802">
        <f t="shared" si="18"/>
        <v>0</v>
      </c>
    </row>
    <row r="339" spans="3:21">
      <c r="C339" s="967"/>
      <c r="D339" s="137"/>
      <c r="E339" s="53">
        <f>IF(D339="",1,(LOOKUP(D339,$3:$3,$4:$4)-LOOKUP($D$24,$3:$3,$4:$4)+100)/100)</f>
        <v>1</v>
      </c>
      <c r="F339" s="965"/>
      <c r="G339" s="53">
        <f>(SUMIF($5:$5,F339,$6:$6)-SUMIF($5:$5,$F$24,$6:$6)+100)/100</f>
        <v>0.01</v>
      </c>
      <c r="H339" s="965"/>
      <c r="I339" s="53">
        <f>(SUMIF($7:$7,H339,$8:$8)-SUMIF($7:$7,$H$24,$8:$8)+100)/100</f>
        <v>0.04</v>
      </c>
      <c r="J339" s="965"/>
      <c r="K339" s="53">
        <f>(SUMIF($9:$9,J339,$10:$10)-SUMIF($9:$9,$J$24,$10:$10)+100)/100</f>
        <v>0.04</v>
      </c>
      <c r="L339" s="965"/>
      <c r="M339" s="53">
        <f>(SUMIF($11:$11,L339,$12:$12)-SUMIF($11:$11,$L$24,$12:$12)+100)/100</f>
        <v>1</v>
      </c>
      <c r="N339" s="965"/>
      <c r="O339" s="53">
        <f>(SUMIF($13:$13,N339,$14:$14)-SUMIF($13:$13,$N$24,$14:$14)+100)/100</f>
        <v>1</v>
      </c>
      <c r="P339" s="965"/>
      <c r="Q339" s="53">
        <f>(SUMIF($15:$15,P339,$16:$16)-SUMIF($15:$15,$P$24,$16:$16)+100)/100</f>
        <v>1</v>
      </c>
      <c r="R339" s="965"/>
      <c r="S339" s="53">
        <f>(SUMIF($17:$17,R339,$18:$18)-SUMIF($17:$17,$R$24,$18:$18)+100)/100</f>
        <v>1</v>
      </c>
      <c r="T339" s="493">
        <f>IF(D339="",0,ROUND($T$24*E339*G339*I339*K339*M339*O339*Q339*S339,0))</f>
        <v>0</v>
      </c>
      <c r="U339" s="802">
        <f t="shared" si="18"/>
        <v>0</v>
      </c>
    </row>
    <row r="340" spans="3:21">
      <c r="C340" s="967"/>
      <c r="D340" s="137"/>
      <c r="E340" s="53">
        <f>IF(D340="",1,(LOOKUP(D340,$3:$3,$4:$4)-LOOKUP($D$24,$3:$3,$4:$4)+100)/100)</f>
        <v>1</v>
      </c>
      <c r="F340" s="965"/>
      <c r="G340" s="53">
        <f>(SUMIF($5:$5,F340,$6:$6)-SUMIF($5:$5,$F$24,$6:$6)+100)/100</f>
        <v>0.01</v>
      </c>
      <c r="H340" s="965"/>
      <c r="I340" s="53">
        <f>(SUMIF($7:$7,H340,$8:$8)-SUMIF($7:$7,$H$24,$8:$8)+100)/100</f>
        <v>0.04</v>
      </c>
      <c r="J340" s="965"/>
      <c r="K340" s="53">
        <f>(SUMIF($9:$9,J340,$10:$10)-SUMIF($9:$9,$J$24,$10:$10)+100)/100</f>
        <v>0.04</v>
      </c>
      <c r="L340" s="965"/>
      <c r="M340" s="53">
        <f>(SUMIF($11:$11,L340,$12:$12)-SUMIF($11:$11,$L$24,$12:$12)+100)/100</f>
        <v>1</v>
      </c>
      <c r="N340" s="965"/>
      <c r="O340" s="53">
        <f>(SUMIF($13:$13,N340,$14:$14)-SUMIF($13:$13,$N$24,$14:$14)+100)/100</f>
        <v>1</v>
      </c>
      <c r="P340" s="965"/>
      <c r="Q340" s="53">
        <f>(SUMIF($15:$15,P340,$16:$16)-SUMIF($15:$15,$P$24,$16:$16)+100)/100</f>
        <v>1</v>
      </c>
      <c r="R340" s="965"/>
      <c r="S340" s="53">
        <f>(SUMIF($17:$17,R340,$18:$18)-SUMIF($17:$17,$R$24,$18:$18)+100)/100</f>
        <v>1</v>
      </c>
      <c r="T340" s="493">
        <f>IF(D340="",0,ROUND($T$24*E340*G340*I340*K340*M340*O340*Q340*S340,0))</f>
        <v>0</v>
      </c>
      <c r="U340" s="802">
        <f t="shared" si="18"/>
        <v>0</v>
      </c>
    </row>
    <row r="341" spans="3:21">
      <c r="C341" s="967"/>
      <c r="D341" s="137"/>
      <c r="E341" s="53">
        <f>IF(D341="",1,(LOOKUP(D341,$3:$3,$4:$4)-LOOKUP($D$24,$3:$3,$4:$4)+100)/100)</f>
        <v>1</v>
      </c>
      <c r="F341" s="965"/>
      <c r="G341" s="53">
        <f>(SUMIF($5:$5,F341,$6:$6)-SUMIF($5:$5,$F$24,$6:$6)+100)/100</f>
        <v>0.01</v>
      </c>
      <c r="H341" s="965"/>
      <c r="I341" s="53">
        <f>(SUMIF($7:$7,H341,$8:$8)-SUMIF($7:$7,$H$24,$8:$8)+100)/100</f>
        <v>0.04</v>
      </c>
      <c r="J341" s="965"/>
      <c r="K341" s="53">
        <f>(SUMIF($9:$9,J341,$10:$10)-SUMIF($9:$9,$J$24,$10:$10)+100)/100</f>
        <v>0.04</v>
      </c>
      <c r="L341" s="965"/>
      <c r="M341" s="53">
        <f>(SUMIF($11:$11,L341,$12:$12)-SUMIF($11:$11,$L$24,$12:$12)+100)/100</f>
        <v>1</v>
      </c>
      <c r="N341" s="965"/>
      <c r="O341" s="53">
        <f>(SUMIF($13:$13,N341,$14:$14)-SUMIF($13:$13,$N$24,$14:$14)+100)/100</f>
        <v>1</v>
      </c>
      <c r="P341" s="965"/>
      <c r="Q341" s="53">
        <f>(SUMIF($15:$15,P341,$16:$16)-SUMIF($15:$15,$P$24,$16:$16)+100)/100</f>
        <v>1</v>
      </c>
      <c r="R341" s="965"/>
      <c r="S341" s="53">
        <f>(SUMIF($17:$17,R341,$18:$18)-SUMIF($17:$17,$R$24,$18:$18)+100)/100</f>
        <v>1</v>
      </c>
      <c r="T341" s="493">
        <f>IF(D341="",0,ROUND($T$24*E341*G341*I341*K341*M341*O341*Q341*S341,0))</f>
        <v>0</v>
      </c>
      <c r="U341" s="802">
        <f t="shared" si="18"/>
        <v>0</v>
      </c>
    </row>
    <row r="342" spans="3:21">
      <c r="C342" s="967"/>
      <c r="D342" s="137"/>
      <c r="E342" s="53">
        <f>IF(D342="",1,(LOOKUP(D342,$3:$3,$4:$4)-LOOKUP($D$24,$3:$3,$4:$4)+100)/100)</f>
        <v>1</v>
      </c>
      <c r="F342" s="965"/>
      <c r="G342" s="53">
        <f>(SUMIF($5:$5,F342,$6:$6)-SUMIF($5:$5,$F$24,$6:$6)+100)/100</f>
        <v>0.01</v>
      </c>
      <c r="H342" s="965"/>
      <c r="I342" s="53">
        <f>(SUMIF($7:$7,H342,$8:$8)-SUMIF($7:$7,$H$24,$8:$8)+100)/100</f>
        <v>0.04</v>
      </c>
      <c r="J342" s="965"/>
      <c r="K342" s="53">
        <f>(SUMIF($9:$9,J342,$10:$10)-SUMIF($9:$9,$J$24,$10:$10)+100)/100</f>
        <v>0.04</v>
      </c>
      <c r="L342" s="965"/>
      <c r="M342" s="53">
        <f>(SUMIF($11:$11,L342,$12:$12)-SUMIF($11:$11,$L$24,$12:$12)+100)/100</f>
        <v>1</v>
      </c>
      <c r="N342" s="965"/>
      <c r="O342" s="53">
        <f>(SUMIF($13:$13,N342,$14:$14)-SUMIF($13:$13,$N$24,$14:$14)+100)/100</f>
        <v>1</v>
      </c>
      <c r="P342" s="965"/>
      <c r="Q342" s="53">
        <f>(SUMIF($15:$15,P342,$16:$16)-SUMIF($15:$15,$P$24,$16:$16)+100)/100</f>
        <v>1</v>
      </c>
      <c r="R342" s="965"/>
      <c r="S342" s="53">
        <f>(SUMIF($17:$17,R342,$18:$18)-SUMIF($17:$17,$R$24,$18:$18)+100)/100</f>
        <v>1</v>
      </c>
      <c r="T342" s="493">
        <f>IF(D342="",0,ROUND($T$24*E342*G342*I342*K342*M342*O342*Q342*S342,0))</f>
        <v>0</v>
      </c>
      <c r="U342" s="802">
        <f t="shared" si="18"/>
        <v>0</v>
      </c>
    </row>
    <row r="343" spans="3:21">
      <c r="C343" s="967"/>
      <c r="D343" s="137"/>
      <c r="E343" s="53">
        <f>IF(D343="",1,(LOOKUP(D343,$3:$3,$4:$4)-LOOKUP($D$24,$3:$3,$4:$4)+100)/100)</f>
        <v>1</v>
      </c>
      <c r="F343" s="965"/>
      <c r="G343" s="53">
        <f>(SUMIF($5:$5,F343,$6:$6)-SUMIF($5:$5,$F$24,$6:$6)+100)/100</f>
        <v>0.01</v>
      </c>
      <c r="H343" s="965"/>
      <c r="I343" s="53">
        <f>(SUMIF($7:$7,H343,$8:$8)-SUMIF($7:$7,$H$24,$8:$8)+100)/100</f>
        <v>0.04</v>
      </c>
      <c r="J343" s="965"/>
      <c r="K343" s="53">
        <f>(SUMIF($9:$9,J343,$10:$10)-SUMIF($9:$9,$J$24,$10:$10)+100)/100</f>
        <v>0.04</v>
      </c>
      <c r="L343" s="965"/>
      <c r="M343" s="53">
        <f>(SUMIF($11:$11,L343,$12:$12)-SUMIF($11:$11,$L$24,$12:$12)+100)/100</f>
        <v>1</v>
      </c>
      <c r="N343" s="965"/>
      <c r="O343" s="53">
        <f>(SUMIF($13:$13,N343,$14:$14)-SUMIF($13:$13,$N$24,$14:$14)+100)/100</f>
        <v>1</v>
      </c>
      <c r="P343" s="965"/>
      <c r="Q343" s="53">
        <f>(SUMIF($15:$15,P343,$16:$16)-SUMIF($15:$15,$P$24,$16:$16)+100)/100</f>
        <v>1</v>
      </c>
      <c r="R343" s="965"/>
      <c r="S343" s="53">
        <f>(SUMIF($17:$17,R343,$18:$18)-SUMIF($17:$17,$R$24,$18:$18)+100)/100</f>
        <v>1</v>
      </c>
      <c r="T343" s="493">
        <f>IF(D343="",0,ROUND($T$24*E343*G343*I343*K343*M343*O343*Q343*S343,0))</f>
        <v>0</v>
      </c>
      <c r="U343" s="802">
        <f t="shared" si="18"/>
        <v>0</v>
      </c>
    </row>
    <row r="344" spans="3:21">
      <c r="C344" s="967"/>
      <c r="D344" s="137"/>
      <c r="E344" s="53">
        <f>IF(D344="",1,(LOOKUP(D344,$3:$3,$4:$4)-LOOKUP($D$24,$3:$3,$4:$4)+100)/100)</f>
        <v>1</v>
      </c>
      <c r="F344" s="965"/>
      <c r="G344" s="53">
        <f>(SUMIF($5:$5,F344,$6:$6)-SUMIF($5:$5,$F$24,$6:$6)+100)/100</f>
        <v>0.01</v>
      </c>
      <c r="H344" s="965"/>
      <c r="I344" s="53">
        <f>(SUMIF($7:$7,H344,$8:$8)-SUMIF($7:$7,$H$24,$8:$8)+100)/100</f>
        <v>0.04</v>
      </c>
      <c r="J344" s="965"/>
      <c r="K344" s="53">
        <f>(SUMIF($9:$9,J344,$10:$10)-SUMIF($9:$9,$J$24,$10:$10)+100)/100</f>
        <v>0.04</v>
      </c>
      <c r="L344" s="965"/>
      <c r="M344" s="53">
        <f>(SUMIF($11:$11,L344,$12:$12)-SUMIF($11:$11,$L$24,$12:$12)+100)/100</f>
        <v>1</v>
      </c>
      <c r="N344" s="965"/>
      <c r="O344" s="53">
        <f>(SUMIF($13:$13,N344,$14:$14)-SUMIF($13:$13,$N$24,$14:$14)+100)/100</f>
        <v>1</v>
      </c>
      <c r="P344" s="965"/>
      <c r="Q344" s="53">
        <f>(SUMIF($15:$15,P344,$16:$16)-SUMIF($15:$15,$P$24,$16:$16)+100)/100</f>
        <v>1</v>
      </c>
      <c r="R344" s="965"/>
      <c r="S344" s="53">
        <f>(SUMIF($17:$17,R344,$18:$18)-SUMIF($17:$17,$R$24,$18:$18)+100)/100</f>
        <v>1</v>
      </c>
      <c r="T344" s="493">
        <f>IF(D344="",0,ROUND($T$24*E344*G344*I344*K344*M344*O344*Q344*S344,0))</f>
        <v>0</v>
      </c>
      <c r="U344" s="802">
        <f t="shared" si="18"/>
        <v>0</v>
      </c>
    </row>
    <row r="345" spans="3:21">
      <c r="C345" s="967"/>
      <c r="D345" s="137"/>
      <c r="E345" s="53">
        <f>IF(D345="",1,(LOOKUP(D345,$3:$3,$4:$4)-LOOKUP($D$24,$3:$3,$4:$4)+100)/100)</f>
        <v>1</v>
      </c>
      <c r="F345" s="965"/>
      <c r="G345" s="53">
        <f>(SUMIF($5:$5,F345,$6:$6)-SUMIF($5:$5,$F$24,$6:$6)+100)/100</f>
        <v>0.01</v>
      </c>
      <c r="H345" s="965"/>
      <c r="I345" s="53">
        <f>(SUMIF($7:$7,H345,$8:$8)-SUMIF($7:$7,$H$24,$8:$8)+100)/100</f>
        <v>0.04</v>
      </c>
      <c r="J345" s="965"/>
      <c r="K345" s="53">
        <f>(SUMIF($9:$9,J345,$10:$10)-SUMIF($9:$9,$J$24,$10:$10)+100)/100</f>
        <v>0.04</v>
      </c>
      <c r="L345" s="965"/>
      <c r="M345" s="53">
        <f>(SUMIF($11:$11,L345,$12:$12)-SUMIF($11:$11,$L$24,$12:$12)+100)/100</f>
        <v>1</v>
      </c>
      <c r="N345" s="965"/>
      <c r="O345" s="53">
        <f>(SUMIF($13:$13,N345,$14:$14)-SUMIF($13:$13,$N$24,$14:$14)+100)/100</f>
        <v>1</v>
      </c>
      <c r="P345" s="965"/>
      <c r="Q345" s="53">
        <f>(SUMIF($15:$15,P345,$16:$16)-SUMIF($15:$15,$P$24,$16:$16)+100)/100</f>
        <v>1</v>
      </c>
      <c r="R345" s="965"/>
      <c r="S345" s="53">
        <f>(SUMIF($17:$17,R345,$18:$18)-SUMIF($17:$17,$R$24,$18:$18)+100)/100</f>
        <v>1</v>
      </c>
      <c r="T345" s="493">
        <f>IF(D345="",0,ROUND($T$24*E345*G345*I345*K345*M345*O345*Q345*S345,0))</f>
        <v>0</v>
      </c>
      <c r="U345" s="802">
        <f t="shared" si="18"/>
        <v>0</v>
      </c>
    </row>
    <row r="346" spans="3:21">
      <c r="C346" s="967"/>
      <c r="D346" s="137"/>
      <c r="E346" s="53">
        <f>IF(D346="",1,(LOOKUP(D346,$3:$3,$4:$4)-LOOKUP($D$24,$3:$3,$4:$4)+100)/100)</f>
        <v>1</v>
      </c>
      <c r="F346" s="965"/>
      <c r="G346" s="53">
        <f>(SUMIF($5:$5,F346,$6:$6)-SUMIF($5:$5,$F$24,$6:$6)+100)/100</f>
        <v>0.01</v>
      </c>
      <c r="H346" s="965"/>
      <c r="I346" s="53">
        <f>(SUMIF($7:$7,H346,$8:$8)-SUMIF($7:$7,$H$24,$8:$8)+100)/100</f>
        <v>0.04</v>
      </c>
      <c r="J346" s="965"/>
      <c r="K346" s="53">
        <f>(SUMIF($9:$9,J346,$10:$10)-SUMIF($9:$9,$J$24,$10:$10)+100)/100</f>
        <v>0.04</v>
      </c>
      <c r="L346" s="965"/>
      <c r="M346" s="53">
        <f>(SUMIF($11:$11,L346,$12:$12)-SUMIF($11:$11,$L$24,$12:$12)+100)/100</f>
        <v>1</v>
      </c>
      <c r="N346" s="965"/>
      <c r="O346" s="53">
        <f>(SUMIF($13:$13,N346,$14:$14)-SUMIF($13:$13,$N$24,$14:$14)+100)/100</f>
        <v>1</v>
      </c>
      <c r="P346" s="965"/>
      <c r="Q346" s="53">
        <f>(SUMIF($15:$15,P346,$16:$16)-SUMIF($15:$15,$P$24,$16:$16)+100)/100</f>
        <v>1</v>
      </c>
      <c r="R346" s="965"/>
      <c r="S346" s="53">
        <f>(SUMIF($17:$17,R346,$18:$18)-SUMIF($17:$17,$R$24,$18:$18)+100)/100</f>
        <v>1</v>
      </c>
      <c r="T346" s="493">
        <f>IF(D346="",0,ROUND($T$24*E346*G346*I346*K346*M346*O346*Q346*S346,0))</f>
        <v>0</v>
      </c>
      <c r="U346" s="802">
        <f t="shared" si="18"/>
        <v>0</v>
      </c>
    </row>
    <row r="347" spans="3:21">
      <c r="C347" s="967"/>
      <c r="D347" s="137"/>
      <c r="E347" s="53">
        <f>IF(D347="",1,(LOOKUP(D347,$3:$3,$4:$4)-LOOKUP($D$24,$3:$3,$4:$4)+100)/100)</f>
        <v>1</v>
      </c>
      <c r="F347" s="965"/>
      <c r="G347" s="53">
        <f>(SUMIF($5:$5,F347,$6:$6)-SUMIF($5:$5,$F$24,$6:$6)+100)/100</f>
        <v>0.01</v>
      </c>
      <c r="H347" s="965"/>
      <c r="I347" s="53">
        <f>(SUMIF($7:$7,H347,$8:$8)-SUMIF($7:$7,$H$24,$8:$8)+100)/100</f>
        <v>0.04</v>
      </c>
      <c r="J347" s="965"/>
      <c r="K347" s="53">
        <f>(SUMIF($9:$9,J347,$10:$10)-SUMIF($9:$9,$J$24,$10:$10)+100)/100</f>
        <v>0.04</v>
      </c>
      <c r="L347" s="965"/>
      <c r="M347" s="53">
        <f>(SUMIF($11:$11,L347,$12:$12)-SUMIF($11:$11,$L$24,$12:$12)+100)/100</f>
        <v>1</v>
      </c>
      <c r="N347" s="965"/>
      <c r="O347" s="53">
        <f>(SUMIF($13:$13,N347,$14:$14)-SUMIF($13:$13,$N$24,$14:$14)+100)/100</f>
        <v>1</v>
      </c>
      <c r="P347" s="965"/>
      <c r="Q347" s="53">
        <f>(SUMIF($15:$15,P347,$16:$16)-SUMIF($15:$15,$P$24,$16:$16)+100)/100</f>
        <v>1</v>
      </c>
      <c r="R347" s="965"/>
      <c r="S347" s="53">
        <f>(SUMIF($17:$17,R347,$18:$18)-SUMIF($17:$17,$R$24,$18:$18)+100)/100</f>
        <v>1</v>
      </c>
      <c r="T347" s="493">
        <f>IF(D347="",0,ROUND($T$24*E347*G347*I347*K347*M347*O347*Q347*S347,0))</f>
        <v>0</v>
      </c>
      <c r="U347" s="802">
        <f t="shared" si="18"/>
        <v>0</v>
      </c>
    </row>
    <row r="348" spans="3:21">
      <c r="C348" s="967"/>
      <c r="D348" s="137"/>
      <c r="E348" s="53">
        <f>IF(D348="",1,(LOOKUP(D348,$3:$3,$4:$4)-LOOKUP($D$24,$3:$3,$4:$4)+100)/100)</f>
        <v>1</v>
      </c>
      <c r="F348" s="965"/>
      <c r="G348" s="53">
        <f>(SUMIF($5:$5,F348,$6:$6)-SUMIF($5:$5,$F$24,$6:$6)+100)/100</f>
        <v>0.01</v>
      </c>
      <c r="H348" s="965"/>
      <c r="I348" s="53">
        <f>(SUMIF($7:$7,H348,$8:$8)-SUMIF($7:$7,$H$24,$8:$8)+100)/100</f>
        <v>0.04</v>
      </c>
      <c r="J348" s="965"/>
      <c r="K348" s="53">
        <f>(SUMIF($9:$9,J348,$10:$10)-SUMIF($9:$9,$J$24,$10:$10)+100)/100</f>
        <v>0.04</v>
      </c>
      <c r="L348" s="965"/>
      <c r="M348" s="53">
        <f>(SUMIF($11:$11,L348,$12:$12)-SUMIF($11:$11,$L$24,$12:$12)+100)/100</f>
        <v>1</v>
      </c>
      <c r="N348" s="965"/>
      <c r="O348" s="53">
        <f>(SUMIF($13:$13,N348,$14:$14)-SUMIF($13:$13,$N$24,$14:$14)+100)/100</f>
        <v>1</v>
      </c>
      <c r="P348" s="965"/>
      <c r="Q348" s="53">
        <f>(SUMIF($15:$15,P348,$16:$16)-SUMIF($15:$15,$P$24,$16:$16)+100)/100</f>
        <v>1</v>
      </c>
      <c r="R348" s="965"/>
      <c r="S348" s="53">
        <f>(SUMIF($17:$17,R348,$18:$18)-SUMIF($17:$17,$R$24,$18:$18)+100)/100</f>
        <v>1</v>
      </c>
      <c r="T348" s="493">
        <f>IF(D348="",0,ROUND($T$24*E348*G348*I348*K348*M348*O348*Q348*S348,0))</f>
        <v>0</v>
      </c>
      <c r="U348" s="802">
        <f t="shared" si="18"/>
        <v>0</v>
      </c>
    </row>
    <row r="349" spans="3:21">
      <c r="C349" s="967"/>
      <c r="D349" s="137"/>
      <c r="E349" s="53">
        <f>IF(D349="",1,(LOOKUP(D349,$3:$3,$4:$4)-LOOKUP($D$24,$3:$3,$4:$4)+100)/100)</f>
        <v>1</v>
      </c>
      <c r="F349" s="965"/>
      <c r="G349" s="53">
        <f>(SUMIF($5:$5,F349,$6:$6)-SUMIF($5:$5,$F$24,$6:$6)+100)/100</f>
        <v>0.01</v>
      </c>
      <c r="H349" s="965"/>
      <c r="I349" s="53">
        <f>(SUMIF($7:$7,H349,$8:$8)-SUMIF($7:$7,$H$24,$8:$8)+100)/100</f>
        <v>0.04</v>
      </c>
      <c r="J349" s="965"/>
      <c r="K349" s="53">
        <f>(SUMIF($9:$9,J349,$10:$10)-SUMIF($9:$9,$J$24,$10:$10)+100)/100</f>
        <v>0.04</v>
      </c>
      <c r="L349" s="965"/>
      <c r="M349" s="53">
        <f>(SUMIF($11:$11,L349,$12:$12)-SUMIF($11:$11,$L$24,$12:$12)+100)/100</f>
        <v>1</v>
      </c>
      <c r="N349" s="965"/>
      <c r="O349" s="53">
        <f>(SUMIF($13:$13,N349,$14:$14)-SUMIF($13:$13,$N$24,$14:$14)+100)/100</f>
        <v>1</v>
      </c>
      <c r="P349" s="965"/>
      <c r="Q349" s="53">
        <f>(SUMIF($15:$15,P349,$16:$16)-SUMIF($15:$15,$P$24,$16:$16)+100)/100</f>
        <v>1</v>
      </c>
      <c r="R349" s="965"/>
      <c r="S349" s="53">
        <f>(SUMIF($17:$17,R349,$18:$18)-SUMIF($17:$17,$R$24,$18:$18)+100)/100</f>
        <v>1</v>
      </c>
      <c r="T349" s="493">
        <f>IF(D349="",0,ROUND($T$24*E349*G349*I349*K349*M349*O349*Q349*S349,0))</f>
        <v>0</v>
      </c>
      <c r="U349" s="802">
        <f t="shared" si="18"/>
        <v>0</v>
      </c>
    </row>
    <row r="350" spans="3:21">
      <c r="C350" s="967"/>
      <c r="D350" s="137"/>
      <c r="E350" s="53">
        <f>IF(D350="",1,(LOOKUP(D350,$3:$3,$4:$4)-LOOKUP($D$24,$3:$3,$4:$4)+100)/100)</f>
        <v>1</v>
      </c>
      <c r="F350" s="965"/>
      <c r="G350" s="53">
        <f>(SUMIF($5:$5,F350,$6:$6)-SUMIF($5:$5,$F$24,$6:$6)+100)/100</f>
        <v>0.01</v>
      </c>
      <c r="H350" s="965"/>
      <c r="I350" s="53">
        <f>(SUMIF($7:$7,H350,$8:$8)-SUMIF($7:$7,$H$24,$8:$8)+100)/100</f>
        <v>0.04</v>
      </c>
      <c r="J350" s="965"/>
      <c r="K350" s="53">
        <f>(SUMIF($9:$9,J350,$10:$10)-SUMIF($9:$9,$J$24,$10:$10)+100)/100</f>
        <v>0.04</v>
      </c>
      <c r="L350" s="965"/>
      <c r="M350" s="53">
        <f>(SUMIF($11:$11,L350,$12:$12)-SUMIF($11:$11,$L$24,$12:$12)+100)/100</f>
        <v>1</v>
      </c>
      <c r="N350" s="965"/>
      <c r="O350" s="53">
        <f>(SUMIF($13:$13,N350,$14:$14)-SUMIF($13:$13,$N$24,$14:$14)+100)/100</f>
        <v>1</v>
      </c>
      <c r="P350" s="965"/>
      <c r="Q350" s="53">
        <f>(SUMIF($15:$15,P350,$16:$16)-SUMIF($15:$15,$P$24,$16:$16)+100)/100</f>
        <v>1</v>
      </c>
      <c r="R350" s="965"/>
      <c r="S350" s="53">
        <f>(SUMIF($17:$17,R350,$18:$18)-SUMIF($17:$17,$R$24,$18:$18)+100)/100</f>
        <v>1</v>
      </c>
      <c r="T350" s="493">
        <f>IF(D350="",0,ROUND($T$24*E350*G350*I350*K350*M350*O350*Q350*S350,0))</f>
        <v>0</v>
      </c>
      <c r="U350" s="802">
        <f t="shared" si="18"/>
        <v>0</v>
      </c>
    </row>
    <row r="351" spans="3:21">
      <c r="C351" s="967"/>
      <c r="D351" s="137"/>
      <c r="E351" s="53">
        <f>IF(D351="",1,(LOOKUP(D351,$3:$3,$4:$4)-LOOKUP($D$24,$3:$3,$4:$4)+100)/100)</f>
        <v>1</v>
      </c>
      <c r="F351" s="965"/>
      <c r="G351" s="53">
        <f>(SUMIF($5:$5,F351,$6:$6)-SUMIF($5:$5,$F$24,$6:$6)+100)/100</f>
        <v>0.01</v>
      </c>
      <c r="H351" s="965"/>
      <c r="I351" s="53">
        <f>(SUMIF($7:$7,H351,$8:$8)-SUMIF($7:$7,$H$24,$8:$8)+100)/100</f>
        <v>0.04</v>
      </c>
      <c r="J351" s="965"/>
      <c r="K351" s="53">
        <f>(SUMIF($9:$9,J351,$10:$10)-SUMIF($9:$9,$J$24,$10:$10)+100)/100</f>
        <v>0.04</v>
      </c>
      <c r="L351" s="965"/>
      <c r="M351" s="53">
        <f>(SUMIF($11:$11,L351,$12:$12)-SUMIF($11:$11,$L$24,$12:$12)+100)/100</f>
        <v>1</v>
      </c>
      <c r="N351" s="965"/>
      <c r="O351" s="53">
        <f>(SUMIF($13:$13,N351,$14:$14)-SUMIF($13:$13,$N$24,$14:$14)+100)/100</f>
        <v>1</v>
      </c>
      <c r="P351" s="965"/>
      <c r="Q351" s="53">
        <f>(SUMIF($15:$15,P351,$16:$16)-SUMIF($15:$15,$P$24,$16:$16)+100)/100</f>
        <v>1</v>
      </c>
      <c r="R351" s="965"/>
      <c r="S351" s="53">
        <f>(SUMIF($17:$17,R351,$18:$18)-SUMIF($17:$17,$R$24,$18:$18)+100)/100</f>
        <v>1</v>
      </c>
      <c r="T351" s="493">
        <f>IF(D351="",0,ROUND($T$24*E351*G351*I351*K351*M351*O351*Q351*S351,0))</f>
        <v>0</v>
      </c>
      <c r="U351" s="802">
        <f t="shared" si="18"/>
        <v>0</v>
      </c>
    </row>
    <row r="352" spans="3:21">
      <c r="C352" s="967"/>
      <c r="D352" s="137"/>
      <c r="E352" s="53">
        <f>IF(D352="",1,(LOOKUP(D352,$3:$3,$4:$4)-LOOKUP($D$24,$3:$3,$4:$4)+100)/100)</f>
        <v>1</v>
      </c>
      <c r="F352" s="965"/>
      <c r="G352" s="53">
        <f>(SUMIF($5:$5,F352,$6:$6)-SUMIF($5:$5,$F$24,$6:$6)+100)/100</f>
        <v>0.01</v>
      </c>
      <c r="H352" s="965"/>
      <c r="I352" s="53">
        <f>(SUMIF($7:$7,H352,$8:$8)-SUMIF($7:$7,$H$24,$8:$8)+100)/100</f>
        <v>0.04</v>
      </c>
      <c r="J352" s="965"/>
      <c r="K352" s="53">
        <f>(SUMIF($9:$9,J352,$10:$10)-SUMIF($9:$9,$J$24,$10:$10)+100)/100</f>
        <v>0.04</v>
      </c>
      <c r="L352" s="965"/>
      <c r="M352" s="53">
        <f>(SUMIF($11:$11,L352,$12:$12)-SUMIF($11:$11,$L$24,$12:$12)+100)/100</f>
        <v>1</v>
      </c>
      <c r="N352" s="965"/>
      <c r="O352" s="53">
        <f>(SUMIF($13:$13,N352,$14:$14)-SUMIF($13:$13,$N$24,$14:$14)+100)/100</f>
        <v>1</v>
      </c>
      <c r="P352" s="965"/>
      <c r="Q352" s="53">
        <f>(SUMIF($15:$15,P352,$16:$16)-SUMIF($15:$15,$P$24,$16:$16)+100)/100</f>
        <v>1</v>
      </c>
      <c r="R352" s="965"/>
      <c r="S352" s="53">
        <f>(SUMIF($17:$17,R352,$18:$18)-SUMIF($17:$17,$R$24,$18:$18)+100)/100</f>
        <v>1</v>
      </c>
      <c r="T352" s="493">
        <f>IF(D352="",0,ROUND($T$24*E352*G352*I352*K352*M352*O352*Q352*S352,0))</f>
        <v>0</v>
      </c>
      <c r="U352" s="802">
        <f t="shared" si="18"/>
        <v>0</v>
      </c>
    </row>
    <row r="353" spans="3:21">
      <c r="C353" s="967"/>
      <c r="D353" s="137"/>
      <c r="E353" s="53">
        <f>IF(D353="",1,(LOOKUP(D353,$3:$3,$4:$4)-LOOKUP($D$24,$3:$3,$4:$4)+100)/100)</f>
        <v>1</v>
      </c>
      <c r="F353" s="965"/>
      <c r="G353" s="53">
        <f>(SUMIF($5:$5,F353,$6:$6)-SUMIF($5:$5,$F$24,$6:$6)+100)/100</f>
        <v>0.01</v>
      </c>
      <c r="H353" s="965"/>
      <c r="I353" s="53">
        <f>(SUMIF($7:$7,H353,$8:$8)-SUMIF($7:$7,$H$24,$8:$8)+100)/100</f>
        <v>0.04</v>
      </c>
      <c r="J353" s="965"/>
      <c r="K353" s="53">
        <f>(SUMIF($9:$9,J353,$10:$10)-SUMIF($9:$9,$J$24,$10:$10)+100)/100</f>
        <v>0.04</v>
      </c>
      <c r="L353" s="965"/>
      <c r="M353" s="53">
        <f>(SUMIF($11:$11,L353,$12:$12)-SUMIF($11:$11,$L$24,$12:$12)+100)/100</f>
        <v>1</v>
      </c>
      <c r="N353" s="965"/>
      <c r="O353" s="53">
        <f>(SUMIF($13:$13,N353,$14:$14)-SUMIF($13:$13,$N$24,$14:$14)+100)/100</f>
        <v>1</v>
      </c>
      <c r="P353" s="965"/>
      <c r="Q353" s="53">
        <f>(SUMIF($15:$15,P353,$16:$16)-SUMIF($15:$15,$P$24,$16:$16)+100)/100</f>
        <v>1</v>
      </c>
      <c r="R353" s="965"/>
      <c r="S353" s="53">
        <f>(SUMIF($17:$17,R353,$18:$18)-SUMIF($17:$17,$R$24,$18:$18)+100)/100</f>
        <v>1</v>
      </c>
      <c r="T353" s="493">
        <f>IF(D353="",0,ROUND($T$24*E353*G353*I353*K353*M353*O353*Q353*S353,0))</f>
        <v>0</v>
      </c>
      <c r="U353" s="802">
        <f t="shared" si="18"/>
        <v>0</v>
      </c>
    </row>
    <row r="354" spans="3:21">
      <c r="C354" s="967"/>
      <c r="D354" s="137"/>
      <c r="E354" s="53">
        <f>IF(D354="",1,(LOOKUP(D354,$3:$3,$4:$4)-LOOKUP($D$24,$3:$3,$4:$4)+100)/100)</f>
        <v>1</v>
      </c>
      <c r="F354" s="965"/>
      <c r="G354" s="53">
        <f>(SUMIF($5:$5,F354,$6:$6)-SUMIF($5:$5,$F$24,$6:$6)+100)/100</f>
        <v>0.01</v>
      </c>
      <c r="H354" s="965"/>
      <c r="I354" s="53">
        <f>(SUMIF($7:$7,H354,$8:$8)-SUMIF($7:$7,$H$24,$8:$8)+100)/100</f>
        <v>0.04</v>
      </c>
      <c r="J354" s="965"/>
      <c r="K354" s="53">
        <f>(SUMIF($9:$9,J354,$10:$10)-SUMIF($9:$9,$J$24,$10:$10)+100)/100</f>
        <v>0.04</v>
      </c>
      <c r="L354" s="965"/>
      <c r="M354" s="53">
        <f>(SUMIF($11:$11,L354,$12:$12)-SUMIF($11:$11,$L$24,$12:$12)+100)/100</f>
        <v>1</v>
      </c>
      <c r="N354" s="965"/>
      <c r="O354" s="53">
        <f>(SUMIF($13:$13,N354,$14:$14)-SUMIF($13:$13,$N$24,$14:$14)+100)/100</f>
        <v>1</v>
      </c>
      <c r="P354" s="965"/>
      <c r="Q354" s="53">
        <f>(SUMIF($15:$15,P354,$16:$16)-SUMIF($15:$15,$P$24,$16:$16)+100)/100</f>
        <v>1</v>
      </c>
      <c r="R354" s="965"/>
      <c r="S354" s="53">
        <f>(SUMIF($17:$17,R354,$18:$18)-SUMIF($17:$17,$R$24,$18:$18)+100)/100</f>
        <v>1</v>
      </c>
      <c r="T354" s="493">
        <f>IF(D354="",0,ROUND($T$24*E354*G354*I354*K354*M354*O354*Q354*S354,0))</f>
        <v>0</v>
      </c>
      <c r="U354" s="802">
        <f t="shared" si="18"/>
        <v>0</v>
      </c>
    </row>
    <row r="355" spans="3:21">
      <c r="C355" s="967"/>
      <c r="D355" s="137"/>
      <c r="E355" s="53">
        <f>IF(D355="",1,(LOOKUP(D355,$3:$3,$4:$4)-LOOKUP($D$24,$3:$3,$4:$4)+100)/100)</f>
        <v>1</v>
      </c>
      <c r="F355" s="965"/>
      <c r="G355" s="53">
        <f>(SUMIF($5:$5,F355,$6:$6)-SUMIF($5:$5,$F$24,$6:$6)+100)/100</f>
        <v>0.01</v>
      </c>
      <c r="H355" s="965"/>
      <c r="I355" s="53">
        <f>(SUMIF($7:$7,H355,$8:$8)-SUMIF($7:$7,$H$24,$8:$8)+100)/100</f>
        <v>0.04</v>
      </c>
      <c r="J355" s="965"/>
      <c r="K355" s="53">
        <f>(SUMIF($9:$9,J355,$10:$10)-SUMIF($9:$9,$J$24,$10:$10)+100)/100</f>
        <v>0.04</v>
      </c>
      <c r="L355" s="965"/>
      <c r="M355" s="53">
        <f>(SUMIF($11:$11,L355,$12:$12)-SUMIF($11:$11,$L$24,$12:$12)+100)/100</f>
        <v>1</v>
      </c>
      <c r="N355" s="965"/>
      <c r="O355" s="53">
        <f>(SUMIF($13:$13,N355,$14:$14)-SUMIF($13:$13,$N$24,$14:$14)+100)/100</f>
        <v>1</v>
      </c>
      <c r="P355" s="965"/>
      <c r="Q355" s="53">
        <f>(SUMIF($15:$15,P355,$16:$16)-SUMIF($15:$15,$P$24,$16:$16)+100)/100</f>
        <v>1</v>
      </c>
      <c r="R355" s="965"/>
      <c r="S355" s="53">
        <f>(SUMIF($17:$17,R355,$18:$18)-SUMIF($17:$17,$R$24,$18:$18)+100)/100</f>
        <v>1</v>
      </c>
      <c r="T355" s="493">
        <f>IF(D355="",0,ROUND($T$24*E355*G355*I355*K355*M355*O355*Q355*S355,0))</f>
        <v>0</v>
      </c>
      <c r="U355" s="802">
        <f t="shared" si="18"/>
        <v>0</v>
      </c>
    </row>
    <row r="356" spans="3:21">
      <c r="C356" s="967"/>
      <c r="D356" s="137"/>
      <c r="E356" s="53">
        <f>IF(D356="",1,(LOOKUP(D356,$3:$3,$4:$4)-LOOKUP($D$24,$3:$3,$4:$4)+100)/100)</f>
        <v>1</v>
      </c>
      <c r="F356" s="965"/>
      <c r="G356" s="53">
        <f>(SUMIF($5:$5,F356,$6:$6)-SUMIF($5:$5,$F$24,$6:$6)+100)/100</f>
        <v>0.01</v>
      </c>
      <c r="H356" s="965"/>
      <c r="I356" s="53">
        <f>(SUMIF($7:$7,H356,$8:$8)-SUMIF($7:$7,$H$24,$8:$8)+100)/100</f>
        <v>0.04</v>
      </c>
      <c r="J356" s="965"/>
      <c r="K356" s="53">
        <f>(SUMIF($9:$9,J356,$10:$10)-SUMIF($9:$9,$J$24,$10:$10)+100)/100</f>
        <v>0.04</v>
      </c>
      <c r="L356" s="965"/>
      <c r="M356" s="53">
        <f>(SUMIF($11:$11,L356,$12:$12)-SUMIF($11:$11,$L$24,$12:$12)+100)/100</f>
        <v>1</v>
      </c>
      <c r="N356" s="965"/>
      <c r="O356" s="53">
        <f>(SUMIF($13:$13,N356,$14:$14)-SUMIF($13:$13,$N$24,$14:$14)+100)/100</f>
        <v>1</v>
      </c>
      <c r="P356" s="965"/>
      <c r="Q356" s="53">
        <f>(SUMIF($15:$15,P356,$16:$16)-SUMIF($15:$15,$P$24,$16:$16)+100)/100</f>
        <v>1</v>
      </c>
      <c r="R356" s="965"/>
      <c r="S356" s="53">
        <f>(SUMIF($17:$17,R356,$18:$18)-SUMIF($17:$17,$R$24,$18:$18)+100)/100</f>
        <v>1</v>
      </c>
      <c r="T356" s="493">
        <f>IF(D356="",0,ROUND($T$24*E356*G356*I356*K356*M356*O356*Q356*S356,0))</f>
        <v>0</v>
      </c>
      <c r="U356" s="802">
        <f t="shared" si="18"/>
        <v>0</v>
      </c>
    </row>
    <row r="357" spans="3:21">
      <c r="C357" s="967"/>
      <c r="D357" s="137"/>
      <c r="E357" s="53">
        <f>IF(D357="",1,(LOOKUP(D357,$3:$3,$4:$4)-LOOKUP($D$24,$3:$3,$4:$4)+100)/100)</f>
        <v>1</v>
      </c>
      <c r="F357" s="965"/>
      <c r="G357" s="53">
        <f>(SUMIF($5:$5,F357,$6:$6)-SUMIF($5:$5,$F$24,$6:$6)+100)/100</f>
        <v>0.01</v>
      </c>
      <c r="H357" s="965"/>
      <c r="I357" s="53">
        <f>(SUMIF($7:$7,H357,$8:$8)-SUMIF($7:$7,$H$24,$8:$8)+100)/100</f>
        <v>0.04</v>
      </c>
      <c r="J357" s="965"/>
      <c r="K357" s="53">
        <f>(SUMIF($9:$9,J357,$10:$10)-SUMIF($9:$9,$J$24,$10:$10)+100)/100</f>
        <v>0.04</v>
      </c>
      <c r="L357" s="965"/>
      <c r="M357" s="53">
        <f>(SUMIF($11:$11,L357,$12:$12)-SUMIF($11:$11,$L$24,$12:$12)+100)/100</f>
        <v>1</v>
      </c>
      <c r="N357" s="965"/>
      <c r="O357" s="53">
        <f>(SUMIF($13:$13,N357,$14:$14)-SUMIF($13:$13,$N$24,$14:$14)+100)/100</f>
        <v>1</v>
      </c>
      <c r="P357" s="965"/>
      <c r="Q357" s="53">
        <f>(SUMIF($15:$15,P357,$16:$16)-SUMIF($15:$15,$P$24,$16:$16)+100)/100</f>
        <v>1</v>
      </c>
      <c r="R357" s="965"/>
      <c r="S357" s="53">
        <f>(SUMIF($17:$17,R357,$18:$18)-SUMIF($17:$17,$R$24,$18:$18)+100)/100</f>
        <v>1</v>
      </c>
      <c r="T357" s="493">
        <f>IF(D357="",0,ROUND($T$24*E357*G357*I357*K357*M357*O357*Q357*S357,0))</f>
        <v>0</v>
      </c>
      <c r="U357" s="802">
        <f t="shared" si="18"/>
        <v>0</v>
      </c>
    </row>
    <row r="358" spans="3:21">
      <c r="C358" s="967"/>
      <c r="D358" s="137"/>
      <c r="E358" s="53">
        <f>IF(D358="",1,(LOOKUP(D358,$3:$3,$4:$4)-LOOKUP($D$24,$3:$3,$4:$4)+100)/100)</f>
        <v>1</v>
      </c>
      <c r="F358" s="965"/>
      <c r="G358" s="53">
        <f>(SUMIF($5:$5,F358,$6:$6)-SUMIF($5:$5,$F$24,$6:$6)+100)/100</f>
        <v>0.01</v>
      </c>
      <c r="H358" s="965"/>
      <c r="I358" s="53">
        <f>(SUMIF($7:$7,H358,$8:$8)-SUMIF($7:$7,$H$24,$8:$8)+100)/100</f>
        <v>0.04</v>
      </c>
      <c r="J358" s="965"/>
      <c r="K358" s="53">
        <f>(SUMIF($9:$9,J358,$10:$10)-SUMIF($9:$9,$J$24,$10:$10)+100)/100</f>
        <v>0.04</v>
      </c>
      <c r="L358" s="965"/>
      <c r="M358" s="53">
        <f>(SUMIF($11:$11,L358,$12:$12)-SUMIF($11:$11,$L$24,$12:$12)+100)/100</f>
        <v>1</v>
      </c>
      <c r="N358" s="965"/>
      <c r="O358" s="53">
        <f>(SUMIF($13:$13,N358,$14:$14)-SUMIF($13:$13,$N$24,$14:$14)+100)/100</f>
        <v>1</v>
      </c>
      <c r="P358" s="965"/>
      <c r="Q358" s="53">
        <f>(SUMIF($15:$15,P358,$16:$16)-SUMIF($15:$15,$P$24,$16:$16)+100)/100</f>
        <v>1</v>
      </c>
      <c r="R358" s="965"/>
      <c r="S358" s="53">
        <f>(SUMIF($17:$17,R358,$18:$18)-SUMIF($17:$17,$R$24,$18:$18)+100)/100</f>
        <v>1</v>
      </c>
      <c r="T358" s="493">
        <f>IF(D358="",0,ROUND($T$24*E358*G358*I358*K358*M358*O358*Q358*S358,0))</f>
        <v>0</v>
      </c>
      <c r="U358" s="802">
        <f t="shared" si="18"/>
        <v>0</v>
      </c>
    </row>
    <row r="359" spans="3:21">
      <c r="C359" s="967"/>
      <c r="D359" s="137"/>
      <c r="E359" s="53">
        <f>IF(D359="",1,(LOOKUP(D359,$3:$3,$4:$4)-LOOKUP($D$24,$3:$3,$4:$4)+100)/100)</f>
        <v>1</v>
      </c>
      <c r="F359" s="965"/>
      <c r="G359" s="53">
        <f>(SUMIF($5:$5,F359,$6:$6)-SUMIF($5:$5,$F$24,$6:$6)+100)/100</f>
        <v>0.01</v>
      </c>
      <c r="H359" s="965"/>
      <c r="I359" s="53">
        <f>(SUMIF($7:$7,H359,$8:$8)-SUMIF($7:$7,$H$24,$8:$8)+100)/100</f>
        <v>0.04</v>
      </c>
      <c r="J359" s="965"/>
      <c r="K359" s="53">
        <f>(SUMIF($9:$9,J359,$10:$10)-SUMIF($9:$9,$J$24,$10:$10)+100)/100</f>
        <v>0.04</v>
      </c>
      <c r="L359" s="965"/>
      <c r="M359" s="53">
        <f>(SUMIF($11:$11,L359,$12:$12)-SUMIF($11:$11,$L$24,$12:$12)+100)/100</f>
        <v>1</v>
      </c>
      <c r="N359" s="965"/>
      <c r="O359" s="53">
        <f>(SUMIF($13:$13,N359,$14:$14)-SUMIF($13:$13,$N$24,$14:$14)+100)/100</f>
        <v>1</v>
      </c>
      <c r="P359" s="965"/>
      <c r="Q359" s="53">
        <f>(SUMIF($15:$15,P359,$16:$16)-SUMIF($15:$15,$P$24,$16:$16)+100)/100</f>
        <v>1</v>
      </c>
      <c r="R359" s="965"/>
      <c r="S359" s="53">
        <f>(SUMIF($17:$17,R359,$18:$18)-SUMIF($17:$17,$R$24,$18:$18)+100)/100</f>
        <v>1</v>
      </c>
      <c r="T359" s="493">
        <f>IF(D359="",0,ROUND($T$24*E359*G359*I359*K359*M359*O359*Q359*S359,0))</f>
        <v>0</v>
      </c>
      <c r="U359" s="802">
        <f t="shared" si="18"/>
        <v>0</v>
      </c>
    </row>
    <row r="360" spans="3:21">
      <c r="C360" s="967"/>
      <c r="D360" s="137"/>
      <c r="E360" s="53">
        <f>IF(D360="",1,(LOOKUP(D360,$3:$3,$4:$4)-LOOKUP($D$24,$3:$3,$4:$4)+100)/100)</f>
        <v>1</v>
      </c>
      <c r="F360" s="965"/>
      <c r="G360" s="53">
        <f>(SUMIF($5:$5,F360,$6:$6)-SUMIF($5:$5,$F$24,$6:$6)+100)/100</f>
        <v>0.01</v>
      </c>
      <c r="H360" s="965"/>
      <c r="I360" s="53">
        <f>(SUMIF($7:$7,H360,$8:$8)-SUMIF($7:$7,$H$24,$8:$8)+100)/100</f>
        <v>0.04</v>
      </c>
      <c r="J360" s="965"/>
      <c r="K360" s="53">
        <f>(SUMIF($9:$9,J360,$10:$10)-SUMIF($9:$9,$J$24,$10:$10)+100)/100</f>
        <v>0.04</v>
      </c>
      <c r="L360" s="965"/>
      <c r="M360" s="53">
        <f>(SUMIF($11:$11,L360,$12:$12)-SUMIF($11:$11,$L$24,$12:$12)+100)/100</f>
        <v>1</v>
      </c>
      <c r="N360" s="965"/>
      <c r="O360" s="53">
        <f>(SUMIF($13:$13,N360,$14:$14)-SUMIF($13:$13,$N$24,$14:$14)+100)/100</f>
        <v>1</v>
      </c>
      <c r="P360" s="965"/>
      <c r="Q360" s="53">
        <f>(SUMIF($15:$15,P360,$16:$16)-SUMIF($15:$15,$P$24,$16:$16)+100)/100</f>
        <v>1</v>
      </c>
      <c r="R360" s="965"/>
      <c r="S360" s="53">
        <f>(SUMIF($17:$17,R360,$18:$18)-SUMIF($17:$17,$R$24,$18:$18)+100)/100</f>
        <v>1</v>
      </c>
      <c r="T360" s="493">
        <f>IF(D360="",0,ROUND($T$24*E360*G360*I360*K360*M360*O360*Q360*S360,0))</f>
        <v>0</v>
      </c>
      <c r="U360" s="802">
        <f t="shared" si="18"/>
        <v>0</v>
      </c>
    </row>
    <row r="361" spans="3:21">
      <c r="C361" s="967"/>
      <c r="D361" s="137"/>
      <c r="E361" s="53">
        <f>IF(D361="",1,(LOOKUP(D361,$3:$3,$4:$4)-LOOKUP($D$24,$3:$3,$4:$4)+100)/100)</f>
        <v>1</v>
      </c>
      <c r="F361" s="965"/>
      <c r="G361" s="53">
        <f>(SUMIF($5:$5,F361,$6:$6)-SUMIF($5:$5,$F$24,$6:$6)+100)/100</f>
        <v>0.01</v>
      </c>
      <c r="H361" s="965"/>
      <c r="I361" s="53">
        <f>(SUMIF($7:$7,H361,$8:$8)-SUMIF($7:$7,$H$24,$8:$8)+100)/100</f>
        <v>0.04</v>
      </c>
      <c r="J361" s="965"/>
      <c r="K361" s="53">
        <f>(SUMIF($9:$9,J361,$10:$10)-SUMIF($9:$9,$J$24,$10:$10)+100)/100</f>
        <v>0.04</v>
      </c>
      <c r="L361" s="965"/>
      <c r="M361" s="53">
        <f>(SUMIF($11:$11,L361,$12:$12)-SUMIF($11:$11,$L$24,$12:$12)+100)/100</f>
        <v>1</v>
      </c>
      <c r="N361" s="965"/>
      <c r="O361" s="53">
        <f>(SUMIF($13:$13,N361,$14:$14)-SUMIF($13:$13,$N$24,$14:$14)+100)/100</f>
        <v>1</v>
      </c>
      <c r="P361" s="965"/>
      <c r="Q361" s="53">
        <f>(SUMIF($15:$15,P361,$16:$16)-SUMIF($15:$15,$P$24,$16:$16)+100)/100</f>
        <v>1</v>
      </c>
      <c r="R361" s="965"/>
      <c r="S361" s="53">
        <f>(SUMIF($17:$17,R361,$18:$18)-SUMIF($17:$17,$R$24,$18:$18)+100)/100</f>
        <v>1</v>
      </c>
      <c r="T361" s="493">
        <f>IF(D361="",0,ROUND($T$24*E361*G361*I361*K361*M361*O361*Q361*S361,0))</f>
        <v>0</v>
      </c>
      <c r="U361" s="802">
        <f t="shared" si="18"/>
        <v>0</v>
      </c>
    </row>
    <row r="362" spans="3:21">
      <c r="C362" s="967"/>
      <c r="D362" s="137"/>
      <c r="E362" s="53">
        <f>IF(D362="",1,(LOOKUP(D362,$3:$3,$4:$4)-LOOKUP($D$24,$3:$3,$4:$4)+100)/100)</f>
        <v>1</v>
      </c>
      <c r="F362" s="965"/>
      <c r="G362" s="53">
        <f>(SUMIF($5:$5,F362,$6:$6)-SUMIF($5:$5,$F$24,$6:$6)+100)/100</f>
        <v>0.01</v>
      </c>
      <c r="H362" s="965"/>
      <c r="I362" s="53">
        <f>(SUMIF($7:$7,H362,$8:$8)-SUMIF($7:$7,$H$24,$8:$8)+100)/100</f>
        <v>0.04</v>
      </c>
      <c r="J362" s="965"/>
      <c r="K362" s="53">
        <f>(SUMIF($9:$9,J362,$10:$10)-SUMIF($9:$9,$J$24,$10:$10)+100)/100</f>
        <v>0.04</v>
      </c>
      <c r="L362" s="965"/>
      <c r="M362" s="53">
        <f>(SUMIF($11:$11,L362,$12:$12)-SUMIF($11:$11,$L$24,$12:$12)+100)/100</f>
        <v>1</v>
      </c>
      <c r="N362" s="965"/>
      <c r="O362" s="53">
        <f>(SUMIF($13:$13,N362,$14:$14)-SUMIF($13:$13,$N$24,$14:$14)+100)/100</f>
        <v>1</v>
      </c>
      <c r="P362" s="965"/>
      <c r="Q362" s="53">
        <f>(SUMIF($15:$15,P362,$16:$16)-SUMIF($15:$15,$P$24,$16:$16)+100)/100</f>
        <v>1</v>
      </c>
      <c r="R362" s="965"/>
      <c r="S362" s="53">
        <f>(SUMIF($17:$17,R362,$18:$18)-SUMIF($17:$17,$R$24,$18:$18)+100)/100</f>
        <v>1</v>
      </c>
      <c r="T362" s="493">
        <f>IF(D362="",0,ROUND($T$24*E362*G362*I362*K362*M362*O362*Q362*S362,0))</f>
        <v>0</v>
      </c>
      <c r="U362" s="802">
        <f t="shared" si="18"/>
        <v>0</v>
      </c>
    </row>
    <row r="363" spans="3:21">
      <c r="C363" s="967"/>
      <c r="D363" s="137"/>
      <c r="E363" s="53">
        <f>IF(D363="",1,(LOOKUP(D363,$3:$3,$4:$4)-LOOKUP($D$24,$3:$3,$4:$4)+100)/100)</f>
        <v>1</v>
      </c>
      <c r="F363" s="965"/>
      <c r="G363" s="53">
        <f>(SUMIF($5:$5,F363,$6:$6)-SUMIF($5:$5,$F$24,$6:$6)+100)/100</f>
        <v>0.01</v>
      </c>
      <c r="H363" s="965"/>
      <c r="I363" s="53">
        <f>(SUMIF($7:$7,H363,$8:$8)-SUMIF($7:$7,$H$24,$8:$8)+100)/100</f>
        <v>0.04</v>
      </c>
      <c r="J363" s="965"/>
      <c r="K363" s="53">
        <f>(SUMIF($9:$9,J363,$10:$10)-SUMIF($9:$9,$J$24,$10:$10)+100)/100</f>
        <v>0.04</v>
      </c>
      <c r="L363" s="965"/>
      <c r="M363" s="53">
        <f>(SUMIF($11:$11,L363,$12:$12)-SUMIF($11:$11,$L$24,$12:$12)+100)/100</f>
        <v>1</v>
      </c>
      <c r="N363" s="965"/>
      <c r="O363" s="53">
        <f>(SUMIF($13:$13,N363,$14:$14)-SUMIF($13:$13,$N$24,$14:$14)+100)/100</f>
        <v>1</v>
      </c>
      <c r="P363" s="965"/>
      <c r="Q363" s="53">
        <f>(SUMIF($15:$15,P363,$16:$16)-SUMIF($15:$15,$P$24,$16:$16)+100)/100</f>
        <v>1</v>
      </c>
      <c r="R363" s="965"/>
      <c r="S363" s="53">
        <f>(SUMIF($17:$17,R363,$18:$18)-SUMIF($17:$17,$R$24,$18:$18)+100)/100</f>
        <v>1</v>
      </c>
      <c r="T363" s="493">
        <f>IF(D363="",0,ROUND($T$24*E363*G363*I363*K363*M363*O363*Q363*S363,0))</f>
        <v>0</v>
      </c>
      <c r="U363" s="802">
        <f t="shared" si="18"/>
        <v>0</v>
      </c>
    </row>
    <row r="364" spans="3:21">
      <c r="C364" s="967"/>
      <c r="D364" s="137"/>
      <c r="E364" s="53">
        <f>IF(D364="",1,(LOOKUP(D364,$3:$3,$4:$4)-LOOKUP($D$24,$3:$3,$4:$4)+100)/100)</f>
        <v>1</v>
      </c>
      <c r="F364" s="965"/>
      <c r="G364" s="53">
        <f>(SUMIF($5:$5,F364,$6:$6)-SUMIF($5:$5,$F$24,$6:$6)+100)/100</f>
        <v>0.01</v>
      </c>
      <c r="H364" s="965"/>
      <c r="I364" s="53">
        <f>(SUMIF($7:$7,H364,$8:$8)-SUMIF($7:$7,$H$24,$8:$8)+100)/100</f>
        <v>0.04</v>
      </c>
      <c r="J364" s="965"/>
      <c r="K364" s="53">
        <f>(SUMIF($9:$9,J364,$10:$10)-SUMIF($9:$9,$J$24,$10:$10)+100)/100</f>
        <v>0.04</v>
      </c>
      <c r="L364" s="965"/>
      <c r="M364" s="53">
        <f>(SUMIF($11:$11,L364,$12:$12)-SUMIF($11:$11,$L$24,$12:$12)+100)/100</f>
        <v>1</v>
      </c>
      <c r="N364" s="965"/>
      <c r="O364" s="53">
        <f>(SUMIF($13:$13,N364,$14:$14)-SUMIF($13:$13,$N$24,$14:$14)+100)/100</f>
        <v>1</v>
      </c>
      <c r="P364" s="965"/>
      <c r="Q364" s="53">
        <f>(SUMIF($15:$15,P364,$16:$16)-SUMIF($15:$15,$P$24,$16:$16)+100)/100</f>
        <v>1</v>
      </c>
      <c r="R364" s="965"/>
      <c r="S364" s="53">
        <f>(SUMIF($17:$17,R364,$18:$18)-SUMIF($17:$17,$R$24,$18:$18)+100)/100</f>
        <v>1</v>
      </c>
      <c r="T364" s="493">
        <f>IF(D364="",0,ROUND($T$24*E364*G364*I364*K364*M364*O364*Q364*S364,0))</f>
        <v>0</v>
      </c>
      <c r="U364" s="802">
        <f t="shared" si="18"/>
        <v>0</v>
      </c>
    </row>
    <row r="365" spans="3:21">
      <c r="C365" s="967"/>
      <c r="D365" s="137"/>
      <c r="E365" s="53">
        <f>IF(D365="",1,(LOOKUP(D365,$3:$3,$4:$4)-LOOKUP($D$24,$3:$3,$4:$4)+100)/100)</f>
        <v>1</v>
      </c>
      <c r="F365" s="965"/>
      <c r="G365" s="53">
        <f>(SUMIF($5:$5,F365,$6:$6)-SUMIF($5:$5,$F$24,$6:$6)+100)/100</f>
        <v>0.01</v>
      </c>
      <c r="H365" s="965"/>
      <c r="I365" s="53">
        <f>(SUMIF($7:$7,H365,$8:$8)-SUMIF($7:$7,$H$24,$8:$8)+100)/100</f>
        <v>0.04</v>
      </c>
      <c r="J365" s="965"/>
      <c r="K365" s="53">
        <f>(SUMIF($9:$9,J365,$10:$10)-SUMIF($9:$9,$J$24,$10:$10)+100)/100</f>
        <v>0.04</v>
      </c>
      <c r="L365" s="965"/>
      <c r="M365" s="53">
        <f>(SUMIF($11:$11,L365,$12:$12)-SUMIF($11:$11,$L$24,$12:$12)+100)/100</f>
        <v>1</v>
      </c>
      <c r="N365" s="965"/>
      <c r="O365" s="53">
        <f>(SUMIF($13:$13,N365,$14:$14)-SUMIF($13:$13,$N$24,$14:$14)+100)/100</f>
        <v>1</v>
      </c>
      <c r="P365" s="965"/>
      <c r="Q365" s="53">
        <f>(SUMIF($15:$15,P365,$16:$16)-SUMIF($15:$15,$P$24,$16:$16)+100)/100</f>
        <v>1</v>
      </c>
      <c r="R365" s="965"/>
      <c r="S365" s="53">
        <f>(SUMIF($17:$17,R365,$18:$18)-SUMIF($17:$17,$R$24,$18:$18)+100)/100</f>
        <v>1</v>
      </c>
      <c r="T365" s="493">
        <f>IF(D365="",0,ROUND($T$24*E365*G365*I365*K365*M365*O365*Q365*S365,0))</f>
        <v>0</v>
      </c>
      <c r="U365" s="802">
        <f t="shared" si="18"/>
        <v>0</v>
      </c>
    </row>
    <row r="366" spans="3:21">
      <c r="C366" s="967"/>
      <c r="D366" s="137"/>
      <c r="E366" s="53">
        <f>IF(D366="",1,(LOOKUP(D366,$3:$3,$4:$4)-LOOKUP($D$24,$3:$3,$4:$4)+100)/100)</f>
        <v>1</v>
      </c>
      <c r="F366" s="965"/>
      <c r="G366" s="53">
        <f>(SUMIF($5:$5,F366,$6:$6)-SUMIF($5:$5,$F$24,$6:$6)+100)/100</f>
        <v>0.01</v>
      </c>
      <c r="H366" s="965"/>
      <c r="I366" s="53">
        <f>(SUMIF($7:$7,H366,$8:$8)-SUMIF($7:$7,$H$24,$8:$8)+100)/100</f>
        <v>0.04</v>
      </c>
      <c r="J366" s="965"/>
      <c r="K366" s="53">
        <f>(SUMIF($9:$9,J366,$10:$10)-SUMIF($9:$9,$J$24,$10:$10)+100)/100</f>
        <v>0.04</v>
      </c>
      <c r="L366" s="965"/>
      <c r="M366" s="53">
        <f>(SUMIF($11:$11,L366,$12:$12)-SUMIF($11:$11,$L$24,$12:$12)+100)/100</f>
        <v>1</v>
      </c>
      <c r="N366" s="965"/>
      <c r="O366" s="53">
        <f>(SUMIF($13:$13,N366,$14:$14)-SUMIF($13:$13,$N$24,$14:$14)+100)/100</f>
        <v>1</v>
      </c>
      <c r="P366" s="965"/>
      <c r="Q366" s="53">
        <f>(SUMIF($15:$15,P366,$16:$16)-SUMIF($15:$15,$P$24,$16:$16)+100)/100</f>
        <v>1</v>
      </c>
      <c r="R366" s="965"/>
      <c r="S366" s="53">
        <f>(SUMIF($17:$17,R366,$18:$18)-SUMIF($17:$17,$R$24,$18:$18)+100)/100</f>
        <v>1</v>
      </c>
      <c r="T366" s="493">
        <f>IF(D366="",0,ROUND($T$24*E366*G366*I366*K366*M366*O366*Q366*S366,0))</f>
        <v>0</v>
      </c>
      <c r="U366" s="802">
        <f t="shared" si="18"/>
        <v>0</v>
      </c>
    </row>
    <row r="367" spans="3:21">
      <c r="C367" s="967"/>
      <c r="D367" s="137"/>
      <c r="E367" s="53">
        <f>IF(D367="",1,(LOOKUP(D367,$3:$3,$4:$4)-LOOKUP($D$24,$3:$3,$4:$4)+100)/100)</f>
        <v>1</v>
      </c>
      <c r="F367" s="965"/>
      <c r="G367" s="53">
        <f>(SUMIF($5:$5,F367,$6:$6)-SUMIF($5:$5,$F$24,$6:$6)+100)/100</f>
        <v>0.01</v>
      </c>
      <c r="H367" s="965"/>
      <c r="I367" s="53">
        <f>(SUMIF($7:$7,H367,$8:$8)-SUMIF($7:$7,$H$24,$8:$8)+100)/100</f>
        <v>0.04</v>
      </c>
      <c r="J367" s="965"/>
      <c r="K367" s="53">
        <f>(SUMIF($9:$9,J367,$10:$10)-SUMIF($9:$9,$J$24,$10:$10)+100)/100</f>
        <v>0.04</v>
      </c>
      <c r="L367" s="965"/>
      <c r="M367" s="53">
        <f>(SUMIF($11:$11,L367,$12:$12)-SUMIF($11:$11,$L$24,$12:$12)+100)/100</f>
        <v>1</v>
      </c>
      <c r="N367" s="965"/>
      <c r="O367" s="53">
        <f>(SUMIF($13:$13,N367,$14:$14)-SUMIF($13:$13,$N$24,$14:$14)+100)/100</f>
        <v>1</v>
      </c>
      <c r="P367" s="965"/>
      <c r="Q367" s="53">
        <f>(SUMIF($15:$15,P367,$16:$16)-SUMIF($15:$15,$P$24,$16:$16)+100)/100</f>
        <v>1</v>
      </c>
      <c r="R367" s="965"/>
      <c r="S367" s="53">
        <f>(SUMIF($17:$17,R367,$18:$18)-SUMIF($17:$17,$R$24,$18:$18)+100)/100</f>
        <v>1</v>
      </c>
      <c r="T367" s="493">
        <f>IF(D367="",0,ROUND($T$24*E367*G367*I367*K367*M367*O367*Q367*S367,0))</f>
        <v>0</v>
      </c>
      <c r="U367" s="802">
        <f t="shared" si="18"/>
        <v>0</v>
      </c>
    </row>
    <row r="368" spans="3:21">
      <c r="C368" s="967"/>
      <c r="D368" s="137"/>
      <c r="E368" s="53">
        <f>IF(D368="",1,(LOOKUP(D368,$3:$3,$4:$4)-LOOKUP($D$24,$3:$3,$4:$4)+100)/100)</f>
        <v>1</v>
      </c>
      <c r="F368" s="965"/>
      <c r="G368" s="53">
        <f>(SUMIF($5:$5,F368,$6:$6)-SUMIF($5:$5,$F$24,$6:$6)+100)/100</f>
        <v>0.01</v>
      </c>
      <c r="H368" s="965"/>
      <c r="I368" s="53">
        <f>(SUMIF($7:$7,H368,$8:$8)-SUMIF($7:$7,$H$24,$8:$8)+100)/100</f>
        <v>0.04</v>
      </c>
      <c r="J368" s="965"/>
      <c r="K368" s="53">
        <f>(SUMIF($9:$9,J368,$10:$10)-SUMIF($9:$9,$J$24,$10:$10)+100)/100</f>
        <v>0.04</v>
      </c>
      <c r="L368" s="965"/>
      <c r="M368" s="53">
        <f>(SUMIF($11:$11,L368,$12:$12)-SUMIF($11:$11,$L$24,$12:$12)+100)/100</f>
        <v>1</v>
      </c>
      <c r="N368" s="965"/>
      <c r="O368" s="53">
        <f>(SUMIF($13:$13,N368,$14:$14)-SUMIF($13:$13,$N$24,$14:$14)+100)/100</f>
        <v>1</v>
      </c>
      <c r="P368" s="965"/>
      <c r="Q368" s="53">
        <f>(SUMIF($15:$15,P368,$16:$16)-SUMIF($15:$15,$P$24,$16:$16)+100)/100</f>
        <v>1</v>
      </c>
      <c r="R368" s="965"/>
      <c r="S368" s="53">
        <f>(SUMIF($17:$17,R368,$18:$18)-SUMIF($17:$17,$R$24,$18:$18)+100)/100</f>
        <v>1</v>
      </c>
      <c r="T368" s="493">
        <f>IF(D368="",0,ROUND($T$24*E368*G368*I368*K368*M368*O368*Q368*S368,0))</f>
        <v>0</v>
      </c>
      <c r="U368" s="802">
        <f t="shared" si="18"/>
        <v>0</v>
      </c>
    </row>
    <row r="369" spans="3:21">
      <c r="C369" s="967"/>
      <c r="D369" s="137"/>
      <c r="E369" s="53">
        <f>IF(D369="",1,(LOOKUP(D369,$3:$3,$4:$4)-LOOKUP($D$24,$3:$3,$4:$4)+100)/100)</f>
        <v>1</v>
      </c>
      <c r="F369" s="965"/>
      <c r="G369" s="53">
        <f>(SUMIF($5:$5,F369,$6:$6)-SUMIF($5:$5,$F$24,$6:$6)+100)/100</f>
        <v>0.01</v>
      </c>
      <c r="H369" s="965"/>
      <c r="I369" s="53">
        <f>(SUMIF($7:$7,H369,$8:$8)-SUMIF($7:$7,$H$24,$8:$8)+100)/100</f>
        <v>0.04</v>
      </c>
      <c r="J369" s="965"/>
      <c r="K369" s="53">
        <f>(SUMIF($9:$9,J369,$10:$10)-SUMIF($9:$9,$J$24,$10:$10)+100)/100</f>
        <v>0.04</v>
      </c>
      <c r="L369" s="965"/>
      <c r="M369" s="53">
        <f>(SUMIF($11:$11,L369,$12:$12)-SUMIF($11:$11,$L$24,$12:$12)+100)/100</f>
        <v>1</v>
      </c>
      <c r="N369" s="965"/>
      <c r="O369" s="53">
        <f>(SUMIF($13:$13,N369,$14:$14)-SUMIF($13:$13,$N$24,$14:$14)+100)/100</f>
        <v>1</v>
      </c>
      <c r="P369" s="965"/>
      <c r="Q369" s="53">
        <f>(SUMIF($15:$15,P369,$16:$16)-SUMIF($15:$15,$P$24,$16:$16)+100)/100</f>
        <v>1</v>
      </c>
      <c r="R369" s="965"/>
      <c r="S369" s="53">
        <f>(SUMIF($17:$17,R369,$18:$18)-SUMIF($17:$17,$R$24,$18:$18)+100)/100</f>
        <v>1</v>
      </c>
      <c r="T369" s="493">
        <f>IF(D369="",0,ROUND($T$24*E369*G369*I369*K369*M369*O369*Q369*S369,0))</f>
        <v>0</v>
      </c>
      <c r="U369" s="802">
        <f t="shared" si="18"/>
        <v>0</v>
      </c>
    </row>
    <row r="370" spans="3:21">
      <c r="C370" s="967"/>
      <c r="D370" s="137"/>
      <c r="E370" s="53">
        <f>IF(D370="",1,(LOOKUP(D370,$3:$3,$4:$4)-LOOKUP($D$24,$3:$3,$4:$4)+100)/100)</f>
        <v>1</v>
      </c>
      <c r="F370" s="965"/>
      <c r="G370" s="53">
        <f>(SUMIF($5:$5,F370,$6:$6)-SUMIF($5:$5,$F$24,$6:$6)+100)/100</f>
        <v>0.01</v>
      </c>
      <c r="H370" s="965"/>
      <c r="I370" s="53">
        <f>(SUMIF($7:$7,H370,$8:$8)-SUMIF($7:$7,$H$24,$8:$8)+100)/100</f>
        <v>0.04</v>
      </c>
      <c r="J370" s="965"/>
      <c r="K370" s="53">
        <f>(SUMIF($9:$9,J370,$10:$10)-SUMIF($9:$9,$J$24,$10:$10)+100)/100</f>
        <v>0.04</v>
      </c>
      <c r="L370" s="965"/>
      <c r="M370" s="53">
        <f>(SUMIF($11:$11,L370,$12:$12)-SUMIF($11:$11,$L$24,$12:$12)+100)/100</f>
        <v>1</v>
      </c>
      <c r="N370" s="965"/>
      <c r="O370" s="53">
        <f>(SUMIF($13:$13,N370,$14:$14)-SUMIF($13:$13,$N$24,$14:$14)+100)/100</f>
        <v>1</v>
      </c>
      <c r="P370" s="965"/>
      <c r="Q370" s="53">
        <f>(SUMIF($15:$15,P370,$16:$16)-SUMIF($15:$15,$P$24,$16:$16)+100)/100</f>
        <v>1</v>
      </c>
      <c r="R370" s="965"/>
      <c r="S370" s="53">
        <f>(SUMIF($17:$17,R370,$18:$18)-SUMIF($17:$17,$R$24,$18:$18)+100)/100</f>
        <v>1</v>
      </c>
      <c r="T370" s="493">
        <f>IF(D370="",0,ROUND($T$24*E370*G370*I370*K370*M370*O370*Q370*S370,0))</f>
        <v>0</v>
      </c>
      <c r="U370" s="802">
        <f t="shared" si="18"/>
        <v>0</v>
      </c>
    </row>
    <row r="371" spans="3:21">
      <c r="C371" s="967"/>
      <c r="D371" s="137"/>
      <c r="E371" s="53">
        <f>IF(D371="",1,(LOOKUP(D371,$3:$3,$4:$4)-LOOKUP($D$24,$3:$3,$4:$4)+100)/100)</f>
        <v>1</v>
      </c>
      <c r="F371" s="965"/>
      <c r="G371" s="53">
        <f>(SUMIF($5:$5,F371,$6:$6)-SUMIF($5:$5,$F$24,$6:$6)+100)/100</f>
        <v>0.01</v>
      </c>
      <c r="H371" s="965"/>
      <c r="I371" s="53">
        <f>(SUMIF($7:$7,H371,$8:$8)-SUMIF($7:$7,$H$24,$8:$8)+100)/100</f>
        <v>0.04</v>
      </c>
      <c r="J371" s="965"/>
      <c r="K371" s="53">
        <f>(SUMIF($9:$9,J371,$10:$10)-SUMIF($9:$9,$J$24,$10:$10)+100)/100</f>
        <v>0.04</v>
      </c>
      <c r="L371" s="965"/>
      <c r="M371" s="53">
        <f>(SUMIF($11:$11,L371,$12:$12)-SUMIF($11:$11,$L$24,$12:$12)+100)/100</f>
        <v>1</v>
      </c>
      <c r="N371" s="965"/>
      <c r="O371" s="53">
        <f>(SUMIF($13:$13,N371,$14:$14)-SUMIF($13:$13,$N$24,$14:$14)+100)/100</f>
        <v>1</v>
      </c>
      <c r="P371" s="965"/>
      <c r="Q371" s="53">
        <f>(SUMIF($15:$15,P371,$16:$16)-SUMIF($15:$15,$P$24,$16:$16)+100)/100</f>
        <v>1</v>
      </c>
      <c r="R371" s="965"/>
      <c r="S371" s="53">
        <f>(SUMIF($17:$17,R371,$18:$18)-SUMIF($17:$17,$R$24,$18:$18)+100)/100</f>
        <v>1</v>
      </c>
      <c r="T371" s="493">
        <f>IF(D371="",0,ROUND($T$24*E371*G371*I371*K371*M371*O371*Q371*S371,0))</f>
        <v>0</v>
      </c>
      <c r="U371" s="802">
        <f t="shared" si="18"/>
        <v>0</v>
      </c>
    </row>
    <row r="372" spans="3:21">
      <c r="C372" s="967"/>
      <c r="D372" s="137"/>
      <c r="E372" s="53">
        <f>IF(D372="",1,(LOOKUP(D372,$3:$3,$4:$4)-LOOKUP($D$24,$3:$3,$4:$4)+100)/100)</f>
        <v>1</v>
      </c>
      <c r="F372" s="965"/>
      <c r="G372" s="53">
        <f>(SUMIF($5:$5,F372,$6:$6)-SUMIF($5:$5,$F$24,$6:$6)+100)/100</f>
        <v>0.01</v>
      </c>
      <c r="H372" s="965"/>
      <c r="I372" s="53">
        <f>(SUMIF($7:$7,H372,$8:$8)-SUMIF($7:$7,$H$24,$8:$8)+100)/100</f>
        <v>0.04</v>
      </c>
      <c r="J372" s="965"/>
      <c r="K372" s="53">
        <f>(SUMIF($9:$9,J372,$10:$10)-SUMIF($9:$9,$J$24,$10:$10)+100)/100</f>
        <v>0.04</v>
      </c>
      <c r="L372" s="965"/>
      <c r="M372" s="53">
        <f>(SUMIF($11:$11,L372,$12:$12)-SUMIF($11:$11,$L$24,$12:$12)+100)/100</f>
        <v>1</v>
      </c>
      <c r="N372" s="965"/>
      <c r="O372" s="53">
        <f>(SUMIF($13:$13,N372,$14:$14)-SUMIF($13:$13,$N$24,$14:$14)+100)/100</f>
        <v>1</v>
      </c>
      <c r="P372" s="965"/>
      <c r="Q372" s="53">
        <f>(SUMIF($15:$15,P372,$16:$16)-SUMIF($15:$15,$P$24,$16:$16)+100)/100</f>
        <v>1</v>
      </c>
      <c r="R372" s="965"/>
      <c r="S372" s="53">
        <f>(SUMIF($17:$17,R372,$18:$18)-SUMIF($17:$17,$R$24,$18:$18)+100)/100</f>
        <v>1</v>
      </c>
      <c r="T372" s="493">
        <f>IF(D372="",0,ROUND($T$24*E372*G372*I372*K372*M372*O372*Q372*S372,0))</f>
        <v>0</v>
      </c>
      <c r="U372" s="802">
        <f t="shared" si="18"/>
        <v>0</v>
      </c>
    </row>
    <row r="373" spans="3:21">
      <c r="C373" s="967"/>
      <c r="D373" s="137"/>
      <c r="E373" s="53">
        <f>IF(D373="",1,(LOOKUP(D373,$3:$3,$4:$4)-LOOKUP($D$24,$3:$3,$4:$4)+100)/100)</f>
        <v>1</v>
      </c>
      <c r="F373" s="965"/>
      <c r="G373" s="53">
        <f>(SUMIF($5:$5,F373,$6:$6)-SUMIF($5:$5,$F$24,$6:$6)+100)/100</f>
        <v>0.01</v>
      </c>
      <c r="H373" s="965"/>
      <c r="I373" s="53">
        <f>(SUMIF($7:$7,H373,$8:$8)-SUMIF($7:$7,$H$24,$8:$8)+100)/100</f>
        <v>0.04</v>
      </c>
      <c r="J373" s="965"/>
      <c r="K373" s="53">
        <f>(SUMIF($9:$9,J373,$10:$10)-SUMIF($9:$9,$J$24,$10:$10)+100)/100</f>
        <v>0.04</v>
      </c>
      <c r="L373" s="965"/>
      <c r="M373" s="53">
        <f>(SUMIF($11:$11,L373,$12:$12)-SUMIF($11:$11,$L$24,$12:$12)+100)/100</f>
        <v>1</v>
      </c>
      <c r="N373" s="965"/>
      <c r="O373" s="53">
        <f>(SUMIF($13:$13,N373,$14:$14)-SUMIF($13:$13,$N$24,$14:$14)+100)/100</f>
        <v>1</v>
      </c>
      <c r="P373" s="965"/>
      <c r="Q373" s="53">
        <f>(SUMIF($15:$15,P373,$16:$16)-SUMIF($15:$15,$P$24,$16:$16)+100)/100</f>
        <v>1</v>
      </c>
      <c r="R373" s="965"/>
      <c r="S373" s="53">
        <f>(SUMIF($17:$17,R373,$18:$18)-SUMIF($17:$17,$R$24,$18:$18)+100)/100</f>
        <v>1</v>
      </c>
      <c r="T373" s="493">
        <f>IF(D373="",0,ROUND($T$24*E373*G373*I373*K373*M373*O373*Q373*S373,0))</f>
        <v>0</v>
      </c>
      <c r="U373" s="802">
        <f t="shared" si="18"/>
        <v>0</v>
      </c>
    </row>
    <row r="374" spans="3:21">
      <c r="C374" s="967"/>
      <c r="D374" s="137"/>
      <c r="E374" s="53">
        <f>IF(D374="",1,(LOOKUP(D374,$3:$3,$4:$4)-LOOKUP($D$24,$3:$3,$4:$4)+100)/100)</f>
        <v>1</v>
      </c>
      <c r="F374" s="965"/>
      <c r="G374" s="53">
        <f>(SUMIF($5:$5,F374,$6:$6)-SUMIF($5:$5,$F$24,$6:$6)+100)/100</f>
        <v>0.01</v>
      </c>
      <c r="H374" s="965"/>
      <c r="I374" s="53">
        <f>(SUMIF($7:$7,H374,$8:$8)-SUMIF($7:$7,$H$24,$8:$8)+100)/100</f>
        <v>0.04</v>
      </c>
      <c r="J374" s="965"/>
      <c r="K374" s="53">
        <f>(SUMIF($9:$9,J374,$10:$10)-SUMIF($9:$9,$J$24,$10:$10)+100)/100</f>
        <v>0.04</v>
      </c>
      <c r="L374" s="965"/>
      <c r="M374" s="53">
        <f>(SUMIF($11:$11,L374,$12:$12)-SUMIF($11:$11,$L$24,$12:$12)+100)/100</f>
        <v>1</v>
      </c>
      <c r="N374" s="965"/>
      <c r="O374" s="53">
        <f>(SUMIF($13:$13,N374,$14:$14)-SUMIF($13:$13,$N$24,$14:$14)+100)/100</f>
        <v>1</v>
      </c>
      <c r="P374" s="965"/>
      <c r="Q374" s="53">
        <f>(SUMIF($15:$15,P374,$16:$16)-SUMIF($15:$15,$P$24,$16:$16)+100)/100</f>
        <v>1</v>
      </c>
      <c r="R374" s="965"/>
      <c r="S374" s="53">
        <f>(SUMIF($17:$17,R374,$18:$18)-SUMIF($17:$17,$R$24,$18:$18)+100)/100</f>
        <v>1</v>
      </c>
      <c r="T374" s="493">
        <f>IF(D374="",0,ROUND($T$24*E374*G374*I374*K374*M374*O374*Q374*S374,0))</f>
        <v>0</v>
      </c>
      <c r="U374" s="802">
        <f t="shared" si="18"/>
        <v>0</v>
      </c>
    </row>
    <row r="375" spans="3:21">
      <c r="C375" s="967"/>
      <c r="D375" s="137"/>
      <c r="E375" s="53">
        <f>IF(D375="",1,(LOOKUP(D375,$3:$3,$4:$4)-LOOKUP($D$24,$3:$3,$4:$4)+100)/100)</f>
        <v>1</v>
      </c>
      <c r="F375" s="965"/>
      <c r="G375" s="53">
        <f>(SUMIF($5:$5,F375,$6:$6)-SUMIF($5:$5,$F$24,$6:$6)+100)/100</f>
        <v>0.01</v>
      </c>
      <c r="H375" s="965"/>
      <c r="I375" s="53">
        <f>(SUMIF($7:$7,H375,$8:$8)-SUMIF($7:$7,$H$24,$8:$8)+100)/100</f>
        <v>0.04</v>
      </c>
      <c r="J375" s="965"/>
      <c r="K375" s="53">
        <f>(SUMIF($9:$9,J375,$10:$10)-SUMIF($9:$9,$J$24,$10:$10)+100)/100</f>
        <v>0.04</v>
      </c>
      <c r="L375" s="965"/>
      <c r="M375" s="53">
        <f>(SUMIF($11:$11,L375,$12:$12)-SUMIF($11:$11,$L$24,$12:$12)+100)/100</f>
        <v>1</v>
      </c>
      <c r="N375" s="965"/>
      <c r="O375" s="53">
        <f>(SUMIF($13:$13,N375,$14:$14)-SUMIF($13:$13,$N$24,$14:$14)+100)/100</f>
        <v>1</v>
      </c>
      <c r="P375" s="965"/>
      <c r="Q375" s="53">
        <f>(SUMIF($15:$15,P375,$16:$16)-SUMIF($15:$15,$P$24,$16:$16)+100)/100</f>
        <v>1</v>
      </c>
      <c r="R375" s="965"/>
      <c r="S375" s="53">
        <f>(SUMIF($17:$17,R375,$18:$18)-SUMIF($17:$17,$R$24,$18:$18)+100)/100</f>
        <v>1</v>
      </c>
      <c r="T375" s="493">
        <f>IF(D375="",0,ROUND($T$24*E375*G375*I375*K375*M375*O375*Q375*S375,0))</f>
        <v>0</v>
      </c>
      <c r="U375" s="802">
        <f t="shared" si="18"/>
        <v>0</v>
      </c>
    </row>
    <row r="376" spans="3:21">
      <c r="C376" s="967"/>
      <c r="D376" s="137"/>
      <c r="E376" s="53">
        <f>IF(D376="",1,(LOOKUP(D376,$3:$3,$4:$4)-LOOKUP($D$24,$3:$3,$4:$4)+100)/100)</f>
        <v>1</v>
      </c>
      <c r="F376" s="965"/>
      <c r="G376" s="53">
        <f>(SUMIF($5:$5,F376,$6:$6)-SUMIF($5:$5,$F$24,$6:$6)+100)/100</f>
        <v>0.01</v>
      </c>
      <c r="H376" s="965"/>
      <c r="I376" s="53">
        <f>(SUMIF($7:$7,H376,$8:$8)-SUMIF($7:$7,$H$24,$8:$8)+100)/100</f>
        <v>0.04</v>
      </c>
      <c r="J376" s="965"/>
      <c r="K376" s="53">
        <f>(SUMIF($9:$9,J376,$10:$10)-SUMIF($9:$9,$J$24,$10:$10)+100)/100</f>
        <v>0.04</v>
      </c>
      <c r="L376" s="965"/>
      <c r="M376" s="53">
        <f>(SUMIF($11:$11,L376,$12:$12)-SUMIF($11:$11,$L$24,$12:$12)+100)/100</f>
        <v>1</v>
      </c>
      <c r="N376" s="965"/>
      <c r="O376" s="53">
        <f>(SUMIF($13:$13,N376,$14:$14)-SUMIF($13:$13,$N$24,$14:$14)+100)/100</f>
        <v>1</v>
      </c>
      <c r="P376" s="965"/>
      <c r="Q376" s="53">
        <f>(SUMIF($15:$15,P376,$16:$16)-SUMIF($15:$15,$P$24,$16:$16)+100)/100</f>
        <v>1</v>
      </c>
      <c r="R376" s="965"/>
      <c r="S376" s="53">
        <f>(SUMIF($17:$17,R376,$18:$18)-SUMIF($17:$17,$R$24,$18:$18)+100)/100</f>
        <v>1</v>
      </c>
      <c r="T376" s="493">
        <f>IF(D376="",0,ROUND($T$24*E376*G376*I376*K376*M376*O376*Q376*S376,0))</f>
        <v>0</v>
      </c>
      <c r="U376" s="802">
        <f t="shared" si="18"/>
        <v>0</v>
      </c>
    </row>
    <row r="377" spans="3:21">
      <c r="C377" s="967"/>
      <c r="D377" s="137"/>
      <c r="E377" s="53">
        <f>IF(D377="",1,(LOOKUP(D377,$3:$3,$4:$4)-LOOKUP($D$24,$3:$3,$4:$4)+100)/100)</f>
        <v>1</v>
      </c>
      <c r="F377" s="965"/>
      <c r="G377" s="53">
        <f>(SUMIF($5:$5,F377,$6:$6)-SUMIF($5:$5,$F$24,$6:$6)+100)/100</f>
        <v>0.01</v>
      </c>
      <c r="H377" s="965"/>
      <c r="I377" s="53">
        <f>(SUMIF($7:$7,H377,$8:$8)-SUMIF($7:$7,$H$24,$8:$8)+100)/100</f>
        <v>0.04</v>
      </c>
      <c r="J377" s="965"/>
      <c r="K377" s="53">
        <f>(SUMIF($9:$9,J377,$10:$10)-SUMIF($9:$9,$J$24,$10:$10)+100)/100</f>
        <v>0.04</v>
      </c>
      <c r="L377" s="965"/>
      <c r="M377" s="53">
        <f>(SUMIF($11:$11,L377,$12:$12)-SUMIF($11:$11,$L$24,$12:$12)+100)/100</f>
        <v>1</v>
      </c>
      <c r="N377" s="965"/>
      <c r="O377" s="53">
        <f>(SUMIF($13:$13,N377,$14:$14)-SUMIF($13:$13,$N$24,$14:$14)+100)/100</f>
        <v>1</v>
      </c>
      <c r="P377" s="965"/>
      <c r="Q377" s="53">
        <f>(SUMIF($15:$15,P377,$16:$16)-SUMIF($15:$15,$P$24,$16:$16)+100)/100</f>
        <v>1</v>
      </c>
      <c r="R377" s="965"/>
      <c r="S377" s="53">
        <f>(SUMIF($17:$17,R377,$18:$18)-SUMIF($17:$17,$R$24,$18:$18)+100)/100</f>
        <v>1</v>
      </c>
      <c r="T377" s="493">
        <f>IF(D377="",0,ROUND($T$24*E377*G377*I377*K377*M377*O377*Q377*S377,0))</f>
        <v>0</v>
      </c>
      <c r="U377" s="802">
        <f t="shared" si="18"/>
        <v>0</v>
      </c>
    </row>
    <row r="378" spans="3:21">
      <c r="C378" s="967"/>
      <c r="D378" s="137"/>
      <c r="E378" s="53">
        <f>IF(D378="",1,(LOOKUP(D378,$3:$3,$4:$4)-LOOKUP($D$24,$3:$3,$4:$4)+100)/100)</f>
        <v>1</v>
      </c>
      <c r="F378" s="965"/>
      <c r="G378" s="53">
        <f>(SUMIF($5:$5,F378,$6:$6)-SUMIF($5:$5,$F$24,$6:$6)+100)/100</f>
        <v>0.01</v>
      </c>
      <c r="H378" s="965"/>
      <c r="I378" s="53">
        <f>(SUMIF($7:$7,H378,$8:$8)-SUMIF($7:$7,$H$24,$8:$8)+100)/100</f>
        <v>0.04</v>
      </c>
      <c r="J378" s="965"/>
      <c r="K378" s="53">
        <f>(SUMIF($9:$9,J378,$10:$10)-SUMIF($9:$9,$J$24,$10:$10)+100)/100</f>
        <v>0.04</v>
      </c>
      <c r="L378" s="965"/>
      <c r="M378" s="53">
        <f>(SUMIF($11:$11,L378,$12:$12)-SUMIF($11:$11,$L$24,$12:$12)+100)/100</f>
        <v>1</v>
      </c>
      <c r="N378" s="965"/>
      <c r="O378" s="53">
        <f>(SUMIF($13:$13,N378,$14:$14)-SUMIF($13:$13,$N$24,$14:$14)+100)/100</f>
        <v>1</v>
      </c>
      <c r="P378" s="965"/>
      <c r="Q378" s="53">
        <f>(SUMIF($15:$15,P378,$16:$16)-SUMIF($15:$15,$P$24,$16:$16)+100)/100</f>
        <v>1</v>
      </c>
      <c r="R378" s="965"/>
      <c r="S378" s="53">
        <f>(SUMIF($17:$17,R378,$18:$18)-SUMIF($17:$17,$R$24,$18:$18)+100)/100</f>
        <v>1</v>
      </c>
      <c r="T378" s="493">
        <f>IF(D378="",0,ROUND($T$24*E378*G378*I378*K378*M378*O378*Q378*S378,0))</f>
        <v>0</v>
      </c>
      <c r="U378" s="802">
        <f t="shared" si="18"/>
        <v>0</v>
      </c>
    </row>
    <row r="379" spans="3:21">
      <c r="C379" s="967"/>
      <c r="D379" s="137"/>
      <c r="E379" s="53">
        <f>IF(D379="",1,(LOOKUP(D379,$3:$3,$4:$4)-LOOKUP($D$24,$3:$3,$4:$4)+100)/100)</f>
        <v>1</v>
      </c>
      <c r="F379" s="965"/>
      <c r="G379" s="53">
        <f>(SUMIF($5:$5,F379,$6:$6)-SUMIF($5:$5,$F$24,$6:$6)+100)/100</f>
        <v>0.01</v>
      </c>
      <c r="H379" s="965"/>
      <c r="I379" s="53">
        <f>(SUMIF($7:$7,H379,$8:$8)-SUMIF($7:$7,$H$24,$8:$8)+100)/100</f>
        <v>0.04</v>
      </c>
      <c r="J379" s="965"/>
      <c r="K379" s="53">
        <f>(SUMIF($9:$9,J379,$10:$10)-SUMIF($9:$9,$J$24,$10:$10)+100)/100</f>
        <v>0.04</v>
      </c>
      <c r="L379" s="965"/>
      <c r="M379" s="53">
        <f>(SUMIF($11:$11,L379,$12:$12)-SUMIF($11:$11,$L$24,$12:$12)+100)/100</f>
        <v>1</v>
      </c>
      <c r="N379" s="965"/>
      <c r="O379" s="53">
        <f>(SUMIF($13:$13,N379,$14:$14)-SUMIF($13:$13,$N$24,$14:$14)+100)/100</f>
        <v>1</v>
      </c>
      <c r="P379" s="965"/>
      <c r="Q379" s="53">
        <f>(SUMIF($15:$15,P379,$16:$16)-SUMIF($15:$15,$P$24,$16:$16)+100)/100</f>
        <v>1</v>
      </c>
      <c r="R379" s="965"/>
      <c r="S379" s="53">
        <f>(SUMIF($17:$17,R379,$18:$18)-SUMIF($17:$17,$R$24,$18:$18)+100)/100</f>
        <v>1</v>
      </c>
      <c r="T379" s="493">
        <f>IF(D379="",0,ROUND($T$24*E379*G379*I379*K379*M379*O379*Q379*S379,0))</f>
        <v>0</v>
      </c>
      <c r="U379" s="802">
        <f t="shared" si="18"/>
        <v>0</v>
      </c>
    </row>
    <row r="380" spans="3:21">
      <c r="C380" s="967"/>
      <c r="D380" s="137"/>
      <c r="E380" s="53">
        <f>IF(D380="",1,(LOOKUP(D380,$3:$3,$4:$4)-LOOKUP($D$24,$3:$3,$4:$4)+100)/100)</f>
        <v>1</v>
      </c>
      <c r="F380" s="965"/>
      <c r="G380" s="53">
        <f>(SUMIF($5:$5,F380,$6:$6)-SUMIF($5:$5,$F$24,$6:$6)+100)/100</f>
        <v>0.01</v>
      </c>
      <c r="H380" s="965"/>
      <c r="I380" s="53">
        <f>(SUMIF($7:$7,H380,$8:$8)-SUMIF($7:$7,$H$24,$8:$8)+100)/100</f>
        <v>0.04</v>
      </c>
      <c r="J380" s="965"/>
      <c r="K380" s="53">
        <f>(SUMIF($9:$9,J380,$10:$10)-SUMIF($9:$9,$J$24,$10:$10)+100)/100</f>
        <v>0.04</v>
      </c>
      <c r="L380" s="965"/>
      <c r="M380" s="53">
        <f>(SUMIF($11:$11,L380,$12:$12)-SUMIF($11:$11,$L$24,$12:$12)+100)/100</f>
        <v>1</v>
      </c>
      <c r="N380" s="965"/>
      <c r="O380" s="53">
        <f>(SUMIF($13:$13,N380,$14:$14)-SUMIF($13:$13,$N$24,$14:$14)+100)/100</f>
        <v>1</v>
      </c>
      <c r="P380" s="965"/>
      <c r="Q380" s="53">
        <f>(SUMIF($15:$15,P380,$16:$16)-SUMIF($15:$15,$P$24,$16:$16)+100)/100</f>
        <v>1</v>
      </c>
      <c r="R380" s="965"/>
      <c r="S380" s="53">
        <f>(SUMIF($17:$17,R380,$18:$18)-SUMIF($17:$17,$R$24,$18:$18)+100)/100</f>
        <v>1</v>
      </c>
      <c r="T380" s="493">
        <f>IF(D380="",0,ROUND($T$24*E380*G380*I380*K380*M380*O380*Q380*S380,0))</f>
        <v>0</v>
      </c>
      <c r="U380" s="802">
        <f t="shared" si="18"/>
        <v>0</v>
      </c>
    </row>
    <row r="381" spans="3:21">
      <c r="C381" s="967"/>
      <c r="D381" s="137"/>
      <c r="E381" s="53">
        <f>IF(D381="",1,(LOOKUP(D381,$3:$3,$4:$4)-LOOKUP($D$24,$3:$3,$4:$4)+100)/100)</f>
        <v>1</v>
      </c>
      <c r="F381" s="965"/>
      <c r="G381" s="53">
        <f>(SUMIF($5:$5,F381,$6:$6)-SUMIF($5:$5,$F$24,$6:$6)+100)/100</f>
        <v>0.01</v>
      </c>
      <c r="H381" s="965"/>
      <c r="I381" s="53">
        <f>(SUMIF($7:$7,H381,$8:$8)-SUMIF($7:$7,$H$24,$8:$8)+100)/100</f>
        <v>0.04</v>
      </c>
      <c r="J381" s="965"/>
      <c r="K381" s="53">
        <f>(SUMIF($9:$9,J381,$10:$10)-SUMIF($9:$9,$J$24,$10:$10)+100)/100</f>
        <v>0.04</v>
      </c>
      <c r="L381" s="965"/>
      <c r="M381" s="53">
        <f>(SUMIF($11:$11,L381,$12:$12)-SUMIF($11:$11,$L$24,$12:$12)+100)/100</f>
        <v>1</v>
      </c>
      <c r="N381" s="965"/>
      <c r="O381" s="53">
        <f>(SUMIF($13:$13,N381,$14:$14)-SUMIF($13:$13,$N$24,$14:$14)+100)/100</f>
        <v>1</v>
      </c>
      <c r="P381" s="965"/>
      <c r="Q381" s="53">
        <f>(SUMIF($15:$15,P381,$16:$16)-SUMIF($15:$15,$P$24,$16:$16)+100)/100</f>
        <v>1</v>
      </c>
      <c r="R381" s="965"/>
      <c r="S381" s="53">
        <f>(SUMIF($17:$17,R381,$18:$18)-SUMIF($17:$17,$R$24,$18:$18)+100)/100</f>
        <v>1</v>
      </c>
      <c r="T381" s="493">
        <f>IF(D381="",0,ROUND($T$24*E381*G381*I381*K381*M381*O381*Q381*S381,0))</f>
        <v>0</v>
      </c>
      <c r="U381" s="802">
        <f t="shared" si="18"/>
        <v>0</v>
      </c>
    </row>
    <row r="382" spans="3:21">
      <c r="C382" s="967"/>
      <c r="D382" s="137"/>
      <c r="E382" s="53">
        <f>IF(D382="",1,(LOOKUP(D382,$3:$3,$4:$4)-LOOKUP($D$24,$3:$3,$4:$4)+100)/100)</f>
        <v>1</v>
      </c>
      <c r="F382" s="965"/>
      <c r="G382" s="53">
        <f>(SUMIF($5:$5,F382,$6:$6)-SUMIF($5:$5,$F$24,$6:$6)+100)/100</f>
        <v>0.01</v>
      </c>
      <c r="H382" s="965"/>
      <c r="I382" s="53">
        <f>(SUMIF($7:$7,H382,$8:$8)-SUMIF($7:$7,$H$24,$8:$8)+100)/100</f>
        <v>0.04</v>
      </c>
      <c r="J382" s="965"/>
      <c r="K382" s="53">
        <f>(SUMIF($9:$9,J382,$10:$10)-SUMIF($9:$9,$J$24,$10:$10)+100)/100</f>
        <v>0.04</v>
      </c>
      <c r="L382" s="965"/>
      <c r="M382" s="53">
        <f>(SUMIF($11:$11,L382,$12:$12)-SUMIF($11:$11,$L$24,$12:$12)+100)/100</f>
        <v>1</v>
      </c>
      <c r="N382" s="965"/>
      <c r="O382" s="53">
        <f>(SUMIF($13:$13,N382,$14:$14)-SUMIF($13:$13,$N$24,$14:$14)+100)/100</f>
        <v>1</v>
      </c>
      <c r="P382" s="965"/>
      <c r="Q382" s="53">
        <f>(SUMIF($15:$15,P382,$16:$16)-SUMIF($15:$15,$P$24,$16:$16)+100)/100</f>
        <v>1</v>
      </c>
      <c r="R382" s="965"/>
      <c r="S382" s="53">
        <f>(SUMIF($17:$17,R382,$18:$18)-SUMIF($17:$17,$R$24,$18:$18)+100)/100</f>
        <v>1</v>
      </c>
      <c r="T382" s="493">
        <f>IF(D382="",0,ROUND($T$24*E382*G382*I382*K382*M382*O382*Q382*S382,0))</f>
        <v>0</v>
      </c>
      <c r="U382" s="802">
        <f t="shared" si="18"/>
        <v>0</v>
      </c>
    </row>
    <row r="383" spans="3:21">
      <c r="C383" s="967"/>
      <c r="D383" s="137"/>
      <c r="E383" s="53">
        <f>IF(D383="",1,(LOOKUP(D383,$3:$3,$4:$4)-LOOKUP($D$24,$3:$3,$4:$4)+100)/100)</f>
        <v>1</v>
      </c>
      <c r="F383" s="965"/>
      <c r="G383" s="53">
        <f>(SUMIF($5:$5,F383,$6:$6)-SUMIF($5:$5,$F$24,$6:$6)+100)/100</f>
        <v>0.01</v>
      </c>
      <c r="H383" s="965"/>
      <c r="I383" s="53">
        <f>(SUMIF($7:$7,H383,$8:$8)-SUMIF($7:$7,$H$24,$8:$8)+100)/100</f>
        <v>0.04</v>
      </c>
      <c r="J383" s="965"/>
      <c r="K383" s="53">
        <f>(SUMIF($9:$9,J383,$10:$10)-SUMIF($9:$9,$J$24,$10:$10)+100)/100</f>
        <v>0.04</v>
      </c>
      <c r="L383" s="965"/>
      <c r="M383" s="53">
        <f>(SUMIF($11:$11,L383,$12:$12)-SUMIF($11:$11,$L$24,$12:$12)+100)/100</f>
        <v>1</v>
      </c>
      <c r="N383" s="965"/>
      <c r="O383" s="53">
        <f>(SUMIF($13:$13,N383,$14:$14)-SUMIF($13:$13,$N$24,$14:$14)+100)/100</f>
        <v>1</v>
      </c>
      <c r="P383" s="965"/>
      <c r="Q383" s="53">
        <f>(SUMIF($15:$15,P383,$16:$16)-SUMIF($15:$15,$P$24,$16:$16)+100)/100</f>
        <v>1</v>
      </c>
      <c r="R383" s="965"/>
      <c r="S383" s="53">
        <f>(SUMIF($17:$17,R383,$18:$18)-SUMIF($17:$17,$R$24,$18:$18)+100)/100</f>
        <v>1</v>
      </c>
      <c r="T383" s="493">
        <f>IF(D383="",0,ROUND($T$24*E383*G383*I383*K383*M383*O383*Q383*S383,0))</f>
        <v>0</v>
      </c>
      <c r="U383" s="802">
        <f t="shared" si="18"/>
        <v>0</v>
      </c>
    </row>
    <row r="384" spans="3:21">
      <c r="C384" s="967"/>
      <c r="D384" s="137"/>
      <c r="E384" s="53">
        <f>IF(D384="",1,(LOOKUP(D384,$3:$3,$4:$4)-LOOKUP($D$24,$3:$3,$4:$4)+100)/100)</f>
        <v>1</v>
      </c>
      <c r="F384" s="965"/>
      <c r="G384" s="53">
        <f>(SUMIF($5:$5,F384,$6:$6)-SUMIF($5:$5,$F$24,$6:$6)+100)/100</f>
        <v>0.01</v>
      </c>
      <c r="H384" s="965"/>
      <c r="I384" s="53">
        <f>(SUMIF($7:$7,H384,$8:$8)-SUMIF($7:$7,$H$24,$8:$8)+100)/100</f>
        <v>0.04</v>
      </c>
      <c r="J384" s="965"/>
      <c r="K384" s="53">
        <f>(SUMIF($9:$9,J384,$10:$10)-SUMIF($9:$9,$J$24,$10:$10)+100)/100</f>
        <v>0.04</v>
      </c>
      <c r="L384" s="965"/>
      <c r="M384" s="53">
        <f>(SUMIF($11:$11,L384,$12:$12)-SUMIF($11:$11,$L$24,$12:$12)+100)/100</f>
        <v>1</v>
      </c>
      <c r="N384" s="965"/>
      <c r="O384" s="53">
        <f>(SUMIF($13:$13,N384,$14:$14)-SUMIF($13:$13,$N$24,$14:$14)+100)/100</f>
        <v>1</v>
      </c>
      <c r="P384" s="965"/>
      <c r="Q384" s="53">
        <f>(SUMIF($15:$15,P384,$16:$16)-SUMIF($15:$15,$P$24,$16:$16)+100)/100</f>
        <v>1</v>
      </c>
      <c r="R384" s="965"/>
      <c r="S384" s="53">
        <f>(SUMIF($17:$17,R384,$18:$18)-SUMIF($17:$17,$R$24,$18:$18)+100)/100</f>
        <v>1</v>
      </c>
      <c r="T384" s="493">
        <f>IF(D384="",0,ROUND($T$24*E384*G384*I384*K384*M384*O384*Q384*S384,0))</f>
        <v>0</v>
      </c>
      <c r="U384" s="802">
        <f t="shared" si="18"/>
        <v>0</v>
      </c>
    </row>
    <row r="385" spans="3:21">
      <c r="C385" s="967"/>
      <c r="D385" s="137"/>
      <c r="E385" s="53">
        <f>IF(D385="",1,(LOOKUP(D385,$3:$3,$4:$4)-LOOKUP($D$24,$3:$3,$4:$4)+100)/100)</f>
        <v>1</v>
      </c>
      <c r="F385" s="965"/>
      <c r="G385" s="53">
        <f>(SUMIF($5:$5,F385,$6:$6)-SUMIF($5:$5,$F$24,$6:$6)+100)/100</f>
        <v>0.01</v>
      </c>
      <c r="H385" s="965"/>
      <c r="I385" s="53">
        <f>(SUMIF($7:$7,H385,$8:$8)-SUMIF($7:$7,$H$24,$8:$8)+100)/100</f>
        <v>0.04</v>
      </c>
      <c r="J385" s="965"/>
      <c r="K385" s="53">
        <f>(SUMIF($9:$9,J385,$10:$10)-SUMIF($9:$9,$J$24,$10:$10)+100)/100</f>
        <v>0.04</v>
      </c>
      <c r="L385" s="965"/>
      <c r="M385" s="53">
        <f>(SUMIF($11:$11,L385,$12:$12)-SUMIF($11:$11,$L$24,$12:$12)+100)/100</f>
        <v>1</v>
      </c>
      <c r="N385" s="965"/>
      <c r="O385" s="53">
        <f>(SUMIF($13:$13,N385,$14:$14)-SUMIF($13:$13,$N$24,$14:$14)+100)/100</f>
        <v>1</v>
      </c>
      <c r="P385" s="965"/>
      <c r="Q385" s="53">
        <f>(SUMIF($15:$15,P385,$16:$16)-SUMIF($15:$15,$P$24,$16:$16)+100)/100</f>
        <v>1</v>
      </c>
      <c r="R385" s="965"/>
      <c r="S385" s="53">
        <f>(SUMIF($17:$17,R385,$18:$18)-SUMIF($17:$17,$R$24,$18:$18)+100)/100</f>
        <v>1</v>
      </c>
      <c r="T385" s="493">
        <f>IF(D385="",0,ROUND($T$24*E385*G385*I385*K385*M385*O385*Q385*S385,0))</f>
        <v>0</v>
      </c>
      <c r="U385" s="802">
        <f t="shared" ref="U385:U422" si="19">ROUND(T385*D385/10000,0)</f>
        <v>0</v>
      </c>
    </row>
    <row r="386" spans="3:21">
      <c r="C386" s="967"/>
      <c r="D386" s="137"/>
      <c r="E386" s="53">
        <f>IF(D386="",1,(LOOKUP(D386,$3:$3,$4:$4)-LOOKUP($D$24,$3:$3,$4:$4)+100)/100)</f>
        <v>1</v>
      </c>
      <c r="F386" s="965"/>
      <c r="G386" s="53">
        <f>(SUMIF($5:$5,F386,$6:$6)-SUMIF($5:$5,$F$24,$6:$6)+100)/100</f>
        <v>0.01</v>
      </c>
      <c r="H386" s="965"/>
      <c r="I386" s="53">
        <f>(SUMIF($7:$7,H386,$8:$8)-SUMIF($7:$7,$H$24,$8:$8)+100)/100</f>
        <v>0.04</v>
      </c>
      <c r="J386" s="965"/>
      <c r="K386" s="53">
        <f>(SUMIF($9:$9,J386,$10:$10)-SUMIF($9:$9,$J$24,$10:$10)+100)/100</f>
        <v>0.04</v>
      </c>
      <c r="L386" s="965"/>
      <c r="M386" s="53">
        <f>(SUMIF($11:$11,L386,$12:$12)-SUMIF($11:$11,$L$24,$12:$12)+100)/100</f>
        <v>1</v>
      </c>
      <c r="N386" s="965"/>
      <c r="O386" s="53">
        <f>(SUMIF($13:$13,N386,$14:$14)-SUMIF($13:$13,$N$24,$14:$14)+100)/100</f>
        <v>1</v>
      </c>
      <c r="P386" s="965"/>
      <c r="Q386" s="53">
        <f>(SUMIF($15:$15,P386,$16:$16)-SUMIF($15:$15,$P$24,$16:$16)+100)/100</f>
        <v>1</v>
      </c>
      <c r="R386" s="965"/>
      <c r="S386" s="53">
        <f>(SUMIF($17:$17,R386,$18:$18)-SUMIF($17:$17,$R$24,$18:$18)+100)/100</f>
        <v>1</v>
      </c>
      <c r="T386" s="493">
        <f>IF(D386="",0,ROUND($T$24*E386*G386*I386*K386*M386*O386*Q386*S386,0))</f>
        <v>0</v>
      </c>
      <c r="U386" s="802">
        <f t="shared" si="19"/>
        <v>0</v>
      </c>
    </row>
    <row r="387" spans="3:21">
      <c r="C387" s="967"/>
      <c r="D387" s="137"/>
      <c r="E387" s="53">
        <f>IF(D387="",1,(LOOKUP(D387,$3:$3,$4:$4)-LOOKUP($D$24,$3:$3,$4:$4)+100)/100)</f>
        <v>1</v>
      </c>
      <c r="F387" s="965"/>
      <c r="G387" s="53">
        <f>(SUMIF($5:$5,F387,$6:$6)-SUMIF($5:$5,$F$24,$6:$6)+100)/100</f>
        <v>0.01</v>
      </c>
      <c r="H387" s="965"/>
      <c r="I387" s="53">
        <f>(SUMIF($7:$7,H387,$8:$8)-SUMIF($7:$7,$H$24,$8:$8)+100)/100</f>
        <v>0.04</v>
      </c>
      <c r="J387" s="965"/>
      <c r="K387" s="53">
        <f>(SUMIF($9:$9,J387,$10:$10)-SUMIF($9:$9,$J$24,$10:$10)+100)/100</f>
        <v>0.04</v>
      </c>
      <c r="L387" s="965"/>
      <c r="M387" s="53">
        <f>(SUMIF($11:$11,L387,$12:$12)-SUMIF($11:$11,$L$24,$12:$12)+100)/100</f>
        <v>1</v>
      </c>
      <c r="N387" s="965"/>
      <c r="O387" s="53">
        <f>(SUMIF($13:$13,N387,$14:$14)-SUMIF($13:$13,$N$24,$14:$14)+100)/100</f>
        <v>1</v>
      </c>
      <c r="P387" s="965"/>
      <c r="Q387" s="53">
        <f>(SUMIF($15:$15,P387,$16:$16)-SUMIF($15:$15,$P$24,$16:$16)+100)/100</f>
        <v>1</v>
      </c>
      <c r="R387" s="965"/>
      <c r="S387" s="53">
        <f>(SUMIF($17:$17,R387,$18:$18)-SUMIF($17:$17,$R$24,$18:$18)+100)/100</f>
        <v>1</v>
      </c>
      <c r="T387" s="493">
        <f>IF(D387="",0,ROUND($T$24*E387*G387*I387*K387*M387*O387*Q387*S387,0))</f>
        <v>0</v>
      </c>
      <c r="U387" s="802">
        <f t="shared" si="19"/>
        <v>0</v>
      </c>
    </row>
    <row r="388" spans="3:21">
      <c r="C388" s="967"/>
      <c r="D388" s="137"/>
      <c r="E388" s="53">
        <f>IF(D388="",1,(LOOKUP(D388,$3:$3,$4:$4)-LOOKUP($D$24,$3:$3,$4:$4)+100)/100)</f>
        <v>1</v>
      </c>
      <c r="F388" s="965"/>
      <c r="G388" s="53">
        <f>(SUMIF($5:$5,F388,$6:$6)-SUMIF($5:$5,$F$24,$6:$6)+100)/100</f>
        <v>0.01</v>
      </c>
      <c r="H388" s="965"/>
      <c r="I388" s="53">
        <f>(SUMIF($7:$7,H388,$8:$8)-SUMIF($7:$7,$H$24,$8:$8)+100)/100</f>
        <v>0.04</v>
      </c>
      <c r="J388" s="965"/>
      <c r="K388" s="53">
        <f>(SUMIF($9:$9,J388,$10:$10)-SUMIF($9:$9,$J$24,$10:$10)+100)/100</f>
        <v>0.04</v>
      </c>
      <c r="L388" s="965"/>
      <c r="M388" s="53">
        <f>(SUMIF($11:$11,L388,$12:$12)-SUMIF($11:$11,$L$24,$12:$12)+100)/100</f>
        <v>1</v>
      </c>
      <c r="N388" s="965"/>
      <c r="O388" s="53">
        <f>(SUMIF($13:$13,N388,$14:$14)-SUMIF($13:$13,$N$24,$14:$14)+100)/100</f>
        <v>1</v>
      </c>
      <c r="P388" s="965"/>
      <c r="Q388" s="53">
        <f>(SUMIF($15:$15,P388,$16:$16)-SUMIF($15:$15,$P$24,$16:$16)+100)/100</f>
        <v>1</v>
      </c>
      <c r="R388" s="965"/>
      <c r="S388" s="53">
        <f>(SUMIF($17:$17,R388,$18:$18)-SUMIF($17:$17,$R$24,$18:$18)+100)/100</f>
        <v>1</v>
      </c>
      <c r="T388" s="493">
        <f>IF(D388="",0,ROUND($T$24*E388*G388*I388*K388*M388*O388*Q388*S388,0))</f>
        <v>0</v>
      </c>
      <c r="U388" s="802">
        <f t="shared" si="19"/>
        <v>0</v>
      </c>
    </row>
    <row r="389" spans="3:21">
      <c r="C389" s="967"/>
      <c r="D389" s="137"/>
      <c r="E389" s="53">
        <f>IF(D389="",1,(LOOKUP(D389,$3:$3,$4:$4)-LOOKUP($D$24,$3:$3,$4:$4)+100)/100)</f>
        <v>1</v>
      </c>
      <c r="F389" s="965"/>
      <c r="G389" s="53">
        <f>(SUMIF($5:$5,F389,$6:$6)-SUMIF($5:$5,$F$24,$6:$6)+100)/100</f>
        <v>0.01</v>
      </c>
      <c r="H389" s="965"/>
      <c r="I389" s="53">
        <f>(SUMIF($7:$7,H389,$8:$8)-SUMIF($7:$7,$H$24,$8:$8)+100)/100</f>
        <v>0.04</v>
      </c>
      <c r="J389" s="965"/>
      <c r="K389" s="53">
        <f>(SUMIF($9:$9,J389,$10:$10)-SUMIF($9:$9,$J$24,$10:$10)+100)/100</f>
        <v>0.04</v>
      </c>
      <c r="L389" s="965"/>
      <c r="M389" s="53">
        <f>(SUMIF($11:$11,L389,$12:$12)-SUMIF($11:$11,$L$24,$12:$12)+100)/100</f>
        <v>1</v>
      </c>
      <c r="N389" s="965"/>
      <c r="O389" s="53">
        <f>(SUMIF($13:$13,N389,$14:$14)-SUMIF($13:$13,$N$24,$14:$14)+100)/100</f>
        <v>1</v>
      </c>
      <c r="P389" s="965"/>
      <c r="Q389" s="53">
        <f>(SUMIF($15:$15,P389,$16:$16)-SUMIF($15:$15,$P$24,$16:$16)+100)/100</f>
        <v>1</v>
      </c>
      <c r="R389" s="965"/>
      <c r="S389" s="53">
        <f>(SUMIF($17:$17,R389,$18:$18)-SUMIF($17:$17,$R$24,$18:$18)+100)/100</f>
        <v>1</v>
      </c>
      <c r="T389" s="493">
        <f>IF(D389="",0,ROUND($T$24*E389*G389*I389*K389*M389*O389*Q389*S389,0))</f>
        <v>0</v>
      </c>
      <c r="U389" s="802">
        <f t="shared" si="19"/>
        <v>0</v>
      </c>
    </row>
    <row r="390" spans="3:21">
      <c r="C390" s="967"/>
      <c r="D390" s="137"/>
      <c r="E390" s="53">
        <f>IF(D390="",1,(LOOKUP(D390,$3:$3,$4:$4)-LOOKUP($D$24,$3:$3,$4:$4)+100)/100)</f>
        <v>1</v>
      </c>
      <c r="F390" s="965"/>
      <c r="G390" s="53">
        <f>(SUMIF($5:$5,F390,$6:$6)-SUMIF($5:$5,$F$24,$6:$6)+100)/100</f>
        <v>0.01</v>
      </c>
      <c r="H390" s="965"/>
      <c r="I390" s="53">
        <f>(SUMIF($7:$7,H390,$8:$8)-SUMIF($7:$7,$H$24,$8:$8)+100)/100</f>
        <v>0.04</v>
      </c>
      <c r="J390" s="965"/>
      <c r="K390" s="53">
        <f>(SUMIF($9:$9,J390,$10:$10)-SUMIF($9:$9,$J$24,$10:$10)+100)/100</f>
        <v>0.04</v>
      </c>
      <c r="L390" s="965"/>
      <c r="M390" s="53">
        <f>(SUMIF($11:$11,L390,$12:$12)-SUMIF($11:$11,$L$24,$12:$12)+100)/100</f>
        <v>1</v>
      </c>
      <c r="N390" s="965"/>
      <c r="O390" s="53">
        <f>(SUMIF($13:$13,N390,$14:$14)-SUMIF($13:$13,$N$24,$14:$14)+100)/100</f>
        <v>1</v>
      </c>
      <c r="P390" s="965"/>
      <c r="Q390" s="53">
        <f>(SUMIF($15:$15,P390,$16:$16)-SUMIF($15:$15,$P$24,$16:$16)+100)/100</f>
        <v>1</v>
      </c>
      <c r="R390" s="965"/>
      <c r="S390" s="53">
        <f>(SUMIF($17:$17,R390,$18:$18)-SUMIF($17:$17,$R$24,$18:$18)+100)/100</f>
        <v>1</v>
      </c>
      <c r="T390" s="493">
        <f>IF(D390="",0,ROUND($T$24*E390*G390*I390*K390*M390*O390*Q390*S390,0))</f>
        <v>0</v>
      </c>
      <c r="U390" s="802">
        <f t="shared" si="19"/>
        <v>0</v>
      </c>
    </row>
    <row r="391" spans="3:21">
      <c r="C391" s="967"/>
      <c r="D391" s="137"/>
      <c r="E391" s="53">
        <f>IF(D391="",1,(LOOKUP(D391,$3:$3,$4:$4)-LOOKUP($D$24,$3:$3,$4:$4)+100)/100)</f>
        <v>1</v>
      </c>
      <c r="F391" s="965"/>
      <c r="G391" s="53">
        <f>(SUMIF($5:$5,F391,$6:$6)-SUMIF($5:$5,$F$24,$6:$6)+100)/100</f>
        <v>0.01</v>
      </c>
      <c r="H391" s="965"/>
      <c r="I391" s="53">
        <f>(SUMIF($7:$7,H391,$8:$8)-SUMIF($7:$7,$H$24,$8:$8)+100)/100</f>
        <v>0.04</v>
      </c>
      <c r="J391" s="965"/>
      <c r="K391" s="53">
        <f>(SUMIF($9:$9,J391,$10:$10)-SUMIF($9:$9,$J$24,$10:$10)+100)/100</f>
        <v>0.04</v>
      </c>
      <c r="L391" s="965"/>
      <c r="M391" s="53">
        <f>(SUMIF($11:$11,L391,$12:$12)-SUMIF($11:$11,$L$24,$12:$12)+100)/100</f>
        <v>1</v>
      </c>
      <c r="N391" s="965"/>
      <c r="O391" s="53">
        <f>(SUMIF($13:$13,N391,$14:$14)-SUMIF($13:$13,$N$24,$14:$14)+100)/100</f>
        <v>1</v>
      </c>
      <c r="P391" s="965"/>
      <c r="Q391" s="53">
        <f>(SUMIF($15:$15,P391,$16:$16)-SUMIF($15:$15,$P$24,$16:$16)+100)/100</f>
        <v>1</v>
      </c>
      <c r="R391" s="965"/>
      <c r="S391" s="53">
        <f>(SUMIF($17:$17,R391,$18:$18)-SUMIF($17:$17,$R$24,$18:$18)+100)/100</f>
        <v>1</v>
      </c>
      <c r="T391" s="493">
        <f>IF(D391="",0,ROUND($T$24*E391*G391*I391*K391*M391*O391*Q391*S391,0))</f>
        <v>0</v>
      </c>
      <c r="U391" s="802">
        <f t="shared" si="19"/>
        <v>0</v>
      </c>
    </row>
    <row r="392" spans="3:21">
      <c r="C392" s="967"/>
      <c r="D392" s="137"/>
      <c r="E392" s="53">
        <f>IF(D392="",1,(LOOKUP(D392,$3:$3,$4:$4)-LOOKUP($D$24,$3:$3,$4:$4)+100)/100)</f>
        <v>1</v>
      </c>
      <c r="F392" s="965"/>
      <c r="G392" s="53">
        <f>(SUMIF($5:$5,F392,$6:$6)-SUMIF($5:$5,$F$24,$6:$6)+100)/100</f>
        <v>0.01</v>
      </c>
      <c r="H392" s="965"/>
      <c r="I392" s="53">
        <f>(SUMIF($7:$7,H392,$8:$8)-SUMIF($7:$7,$H$24,$8:$8)+100)/100</f>
        <v>0.04</v>
      </c>
      <c r="J392" s="965"/>
      <c r="K392" s="53">
        <f>(SUMIF($9:$9,J392,$10:$10)-SUMIF($9:$9,$J$24,$10:$10)+100)/100</f>
        <v>0.04</v>
      </c>
      <c r="L392" s="965"/>
      <c r="M392" s="53">
        <f>(SUMIF($11:$11,L392,$12:$12)-SUMIF($11:$11,$L$24,$12:$12)+100)/100</f>
        <v>1</v>
      </c>
      <c r="N392" s="965"/>
      <c r="O392" s="53">
        <f>(SUMIF($13:$13,N392,$14:$14)-SUMIF($13:$13,$N$24,$14:$14)+100)/100</f>
        <v>1</v>
      </c>
      <c r="P392" s="965"/>
      <c r="Q392" s="53">
        <f>(SUMIF($15:$15,P392,$16:$16)-SUMIF($15:$15,$P$24,$16:$16)+100)/100</f>
        <v>1</v>
      </c>
      <c r="R392" s="965"/>
      <c r="S392" s="53">
        <f>(SUMIF($17:$17,R392,$18:$18)-SUMIF($17:$17,$R$24,$18:$18)+100)/100</f>
        <v>1</v>
      </c>
      <c r="T392" s="493">
        <f>IF(D392="",0,ROUND($T$24*E392*G392*I392*K392*M392*O392*Q392*S392,0))</f>
        <v>0</v>
      </c>
      <c r="U392" s="802">
        <f t="shared" si="19"/>
        <v>0</v>
      </c>
    </row>
    <row r="393" spans="3:21">
      <c r="C393" s="967"/>
      <c r="D393" s="137"/>
      <c r="E393" s="53">
        <f>IF(D393="",1,(LOOKUP(D393,$3:$3,$4:$4)-LOOKUP($D$24,$3:$3,$4:$4)+100)/100)</f>
        <v>1</v>
      </c>
      <c r="F393" s="965"/>
      <c r="G393" s="53">
        <f>(SUMIF($5:$5,F393,$6:$6)-SUMIF($5:$5,$F$24,$6:$6)+100)/100</f>
        <v>0.01</v>
      </c>
      <c r="H393" s="965"/>
      <c r="I393" s="53">
        <f>(SUMIF($7:$7,H393,$8:$8)-SUMIF($7:$7,$H$24,$8:$8)+100)/100</f>
        <v>0.04</v>
      </c>
      <c r="J393" s="965"/>
      <c r="K393" s="53">
        <f>(SUMIF($9:$9,J393,$10:$10)-SUMIF($9:$9,$J$24,$10:$10)+100)/100</f>
        <v>0.04</v>
      </c>
      <c r="L393" s="965"/>
      <c r="M393" s="53">
        <f>(SUMIF($11:$11,L393,$12:$12)-SUMIF($11:$11,$L$24,$12:$12)+100)/100</f>
        <v>1</v>
      </c>
      <c r="N393" s="965"/>
      <c r="O393" s="53">
        <f>(SUMIF($13:$13,N393,$14:$14)-SUMIF($13:$13,$N$24,$14:$14)+100)/100</f>
        <v>1</v>
      </c>
      <c r="P393" s="965"/>
      <c r="Q393" s="53">
        <f>(SUMIF($15:$15,P393,$16:$16)-SUMIF($15:$15,$P$24,$16:$16)+100)/100</f>
        <v>1</v>
      </c>
      <c r="R393" s="965"/>
      <c r="S393" s="53">
        <f>(SUMIF($17:$17,R393,$18:$18)-SUMIF($17:$17,$R$24,$18:$18)+100)/100</f>
        <v>1</v>
      </c>
      <c r="T393" s="493">
        <f>IF(D393="",0,ROUND($T$24*E393*G393*I393*K393*M393*O393*Q393*S393,0))</f>
        <v>0</v>
      </c>
      <c r="U393" s="802">
        <f t="shared" si="19"/>
        <v>0</v>
      </c>
    </row>
    <row r="394" spans="3:21">
      <c r="C394" s="967"/>
      <c r="D394" s="137"/>
      <c r="E394" s="53">
        <f>IF(D394="",1,(LOOKUP(D394,$3:$3,$4:$4)-LOOKUP($D$24,$3:$3,$4:$4)+100)/100)</f>
        <v>1</v>
      </c>
      <c r="F394" s="965"/>
      <c r="G394" s="53">
        <f>(SUMIF($5:$5,F394,$6:$6)-SUMIF($5:$5,$F$24,$6:$6)+100)/100</f>
        <v>0.01</v>
      </c>
      <c r="H394" s="965"/>
      <c r="I394" s="53">
        <f>(SUMIF($7:$7,H394,$8:$8)-SUMIF($7:$7,$H$24,$8:$8)+100)/100</f>
        <v>0.04</v>
      </c>
      <c r="J394" s="965"/>
      <c r="K394" s="53">
        <f>(SUMIF($9:$9,J394,$10:$10)-SUMIF($9:$9,$J$24,$10:$10)+100)/100</f>
        <v>0.04</v>
      </c>
      <c r="L394" s="965"/>
      <c r="M394" s="53">
        <f>(SUMIF($11:$11,L394,$12:$12)-SUMIF($11:$11,$L$24,$12:$12)+100)/100</f>
        <v>1</v>
      </c>
      <c r="N394" s="965"/>
      <c r="O394" s="53">
        <f>(SUMIF($13:$13,N394,$14:$14)-SUMIF($13:$13,$N$24,$14:$14)+100)/100</f>
        <v>1</v>
      </c>
      <c r="P394" s="965"/>
      <c r="Q394" s="53">
        <f>(SUMIF($15:$15,P394,$16:$16)-SUMIF($15:$15,$P$24,$16:$16)+100)/100</f>
        <v>1</v>
      </c>
      <c r="R394" s="965"/>
      <c r="S394" s="53">
        <f>(SUMIF($17:$17,R394,$18:$18)-SUMIF($17:$17,$R$24,$18:$18)+100)/100</f>
        <v>1</v>
      </c>
      <c r="T394" s="493">
        <f>IF(D394="",0,ROUND($T$24*E394*G394*I394*K394*M394*O394*Q394*S394,0))</f>
        <v>0</v>
      </c>
      <c r="U394" s="802">
        <f t="shared" si="19"/>
        <v>0</v>
      </c>
    </row>
    <row r="395" spans="3:21">
      <c r="C395" s="967"/>
      <c r="D395" s="137"/>
      <c r="E395" s="53">
        <f>IF(D395="",1,(LOOKUP(D395,$3:$3,$4:$4)-LOOKUP($D$24,$3:$3,$4:$4)+100)/100)</f>
        <v>1</v>
      </c>
      <c r="F395" s="965"/>
      <c r="G395" s="53">
        <f>(SUMIF($5:$5,F395,$6:$6)-SUMIF($5:$5,$F$24,$6:$6)+100)/100</f>
        <v>0.01</v>
      </c>
      <c r="H395" s="965"/>
      <c r="I395" s="53">
        <f>(SUMIF($7:$7,H395,$8:$8)-SUMIF($7:$7,$H$24,$8:$8)+100)/100</f>
        <v>0.04</v>
      </c>
      <c r="J395" s="965"/>
      <c r="K395" s="53">
        <f>(SUMIF($9:$9,J395,$10:$10)-SUMIF($9:$9,$J$24,$10:$10)+100)/100</f>
        <v>0.04</v>
      </c>
      <c r="L395" s="965"/>
      <c r="M395" s="53">
        <f>(SUMIF($11:$11,L395,$12:$12)-SUMIF($11:$11,$L$24,$12:$12)+100)/100</f>
        <v>1</v>
      </c>
      <c r="N395" s="965"/>
      <c r="O395" s="53">
        <f>(SUMIF($13:$13,N395,$14:$14)-SUMIF($13:$13,$N$24,$14:$14)+100)/100</f>
        <v>1</v>
      </c>
      <c r="P395" s="965"/>
      <c r="Q395" s="53">
        <f>(SUMIF($15:$15,P395,$16:$16)-SUMIF($15:$15,$P$24,$16:$16)+100)/100</f>
        <v>1</v>
      </c>
      <c r="R395" s="965"/>
      <c r="S395" s="53">
        <f>(SUMIF($17:$17,R395,$18:$18)-SUMIF($17:$17,$R$24,$18:$18)+100)/100</f>
        <v>1</v>
      </c>
      <c r="T395" s="493">
        <f>IF(D395="",0,ROUND($T$24*E395*G395*I395*K395*M395*O395*Q395*S395,0))</f>
        <v>0</v>
      </c>
      <c r="U395" s="802">
        <f t="shared" si="19"/>
        <v>0</v>
      </c>
    </row>
    <row r="396" spans="3:21">
      <c r="C396" s="967"/>
      <c r="D396" s="137"/>
      <c r="E396" s="53">
        <f>IF(D396="",1,(LOOKUP(D396,$3:$3,$4:$4)-LOOKUP($D$24,$3:$3,$4:$4)+100)/100)</f>
        <v>1</v>
      </c>
      <c r="F396" s="965"/>
      <c r="G396" s="53">
        <f>(SUMIF($5:$5,F396,$6:$6)-SUMIF($5:$5,$F$24,$6:$6)+100)/100</f>
        <v>0.01</v>
      </c>
      <c r="H396" s="965"/>
      <c r="I396" s="53">
        <f>(SUMIF($7:$7,H396,$8:$8)-SUMIF($7:$7,$H$24,$8:$8)+100)/100</f>
        <v>0.04</v>
      </c>
      <c r="J396" s="965"/>
      <c r="K396" s="53">
        <f>(SUMIF($9:$9,J396,$10:$10)-SUMIF($9:$9,$J$24,$10:$10)+100)/100</f>
        <v>0.04</v>
      </c>
      <c r="L396" s="965"/>
      <c r="M396" s="53">
        <f>(SUMIF($11:$11,L396,$12:$12)-SUMIF($11:$11,$L$24,$12:$12)+100)/100</f>
        <v>1</v>
      </c>
      <c r="N396" s="965"/>
      <c r="O396" s="53">
        <f>(SUMIF($13:$13,N396,$14:$14)-SUMIF($13:$13,$N$24,$14:$14)+100)/100</f>
        <v>1</v>
      </c>
      <c r="P396" s="965"/>
      <c r="Q396" s="53">
        <f>(SUMIF($15:$15,P396,$16:$16)-SUMIF($15:$15,$P$24,$16:$16)+100)/100</f>
        <v>1</v>
      </c>
      <c r="R396" s="965"/>
      <c r="S396" s="53">
        <f>(SUMIF($17:$17,R396,$18:$18)-SUMIF($17:$17,$R$24,$18:$18)+100)/100</f>
        <v>1</v>
      </c>
      <c r="T396" s="493">
        <f>IF(D396="",0,ROUND($T$24*E396*G396*I396*K396*M396*O396*Q396*S396,0))</f>
        <v>0</v>
      </c>
      <c r="U396" s="802">
        <f t="shared" si="19"/>
        <v>0</v>
      </c>
    </row>
    <row r="397" spans="3:21">
      <c r="C397" s="967"/>
      <c r="D397" s="137"/>
      <c r="E397" s="53">
        <f>IF(D397="",1,(LOOKUP(D397,$3:$3,$4:$4)-LOOKUP($D$24,$3:$3,$4:$4)+100)/100)</f>
        <v>1</v>
      </c>
      <c r="F397" s="965"/>
      <c r="G397" s="53">
        <f>(SUMIF($5:$5,F397,$6:$6)-SUMIF($5:$5,$F$24,$6:$6)+100)/100</f>
        <v>0.01</v>
      </c>
      <c r="H397" s="965"/>
      <c r="I397" s="53">
        <f>(SUMIF($7:$7,H397,$8:$8)-SUMIF($7:$7,$H$24,$8:$8)+100)/100</f>
        <v>0.04</v>
      </c>
      <c r="J397" s="965"/>
      <c r="K397" s="53">
        <f>(SUMIF($9:$9,J397,$10:$10)-SUMIF($9:$9,$J$24,$10:$10)+100)/100</f>
        <v>0.04</v>
      </c>
      <c r="L397" s="965"/>
      <c r="M397" s="53">
        <f>(SUMIF($11:$11,L397,$12:$12)-SUMIF($11:$11,$L$24,$12:$12)+100)/100</f>
        <v>1</v>
      </c>
      <c r="N397" s="965"/>
      <c r="O397" s="53">
        <f>(SUMIF($13:$13,N397,$14:$14)-SUMIF($13:$13,$N$24,$14:$14)+100)/100</f>
        <v>1</v>
      </c>
      <c r="P397" s="965"/>
      <c r="Q397" s="53">
        <f>(SUMIF($15:$15,P397,$16:$16)-SUMIF($15:$15,$P$24,$16:$16)+100)/100</f>
        <v>1</v>
      </c>
      <c r="R397" s="965"/>
      <c r="S397" s="53">
        <f>(SUMIF($17:$17,R397,$18:$18)-SUMIF($17:$17,$R$24,$18:$18)+100)/100</f>
        <v>1</v>
      </c>
      <c r="T397" s="493">
        <f>IF(D397="",0,ROUND($T$24*E397*G397*I397*K397*M397*O397*Q397*S397,0))</f>
        <v>0</v>
      </c>
      <c r="U397" s="802">
        <f t="shared" si="19"/>
        <v>0</v>
      </c>
    </row>
    <row r="398" spans="3:21">
      <c r="C398" s="967"/>
      <c r="D398" s="137"/>
      <c r="E398" s="53">
        <f>IF(D398="",1,(LOOKUP(D398,$3:$3,$4:$4)-LOOKUP($D$24,$3:$3,$4:$4)+100)/100)</f>
        <v>1</v>
      </c>
      <c r="F398" s="965"/>
      <c r="G398" s="53">
        <f>(SUMIF($5:$5,F398,$6:$6)-SUMIF($5:$5,$F$24,$6:$6)+100)/100</f>
        <v>0.01</v>
      </c>
      <c r="H398" s="965"/>
      <c r="I398" s="53">
        <f>(SUMIF($7:$7,H398,$8:$8)-SUMIF($7:$7,$H$24,$8:$8)+100)/100</f>
        <v>0.04</v>
      </c>
      <c r="J398" s="965"/>
      <c r="K398" s="53">
        <f>(SUMIF($9:$9,J398,$10:$10)-SUMIF($9:$9,$J$24,$10:$10)+100)/100</f>
        <v>0.04</v>
      </c>
      <c r="L398" s="965"/>
      <c r="M398" s="53">
        <f>(SUMIF($11:$11,L398,$12:$12)-SUMIF($11:$11,$L$24,$12:$12)+100)/100</f>
        <v>1</v>
      </c>
      <c r="N398" s="965"/>
      <c r="O398" s="53">
        <f>(SUMIF($13:$13,N398,$14:$14)-SUMIF($13:$13,$N$24,$14:$14)+100)/100</f>
        <v>1</v>
      </c>
      <c r="P398" s="965"/>
      <c r="Q398" s="53">
        <f>(SUMIF($15:$15,P398,$16:$16)-SUMIF($15:$15,$P$24,$16:$16)+100)/100</f>
        <v>1</v>
      </c>
      <c r="R398" s="965"/>
      <c r="S398" s="53">
        <f>(SUMIF($17:$17,R398,$18:$18)-SUMIF($17:$17,$R$24,$18:$18)+100)/100</f>
        <v>1</v>
      </c>
      <c r="T398" s="493">
        <f>IF(D398="",0,ROUND($T$24*E398*G398*I398*K398*M398*O398*Q398*S398,0))</f>
        <v>0</v>
      </c>
      <c r="U398" s="802">
        <f t="shared" si="19"/>
        <v>0</v>
      </c>
    </row>
    <row r="399" spans="3:21">
      <c r="C399" s="967"/>
      <c r="D399" s="137"/>
      <c r="E399" s="53">
        <f>IF(D399="",1,(LOOKUP(D399,$3:$3,$4:$4)-LOOKUP($D$24,$3:$3,$4:$4)+100)/100)</f>
        <v>1</v>
      </c>
      <c r="F399" s="965"/>
      <c r="G399" s="53">
        <f>(SUMIF($5:$5,F399,$6:$6)-SUMIF($5:$5,$F$24,$6:$6)+100)/100</f>
        <v>0.01</v>
      </c>
      <c r="H399" s="965"/>
      <c r="I399" s="53">
        <f>(SUMIF($7:$7,H399,$8:$8)-SUMIF($7:$7,$H$24,$8:$8)+100)/100</f>
        <v>0.04</v>
      </c>
      <c r="J399" s="965"/>
      <c r="K399" s="53">
        <f>(SUMIF($9:$9,J399,$10:$10)-SUMIF($9:$9,$J$24,$10:$10)+100)/100</f>
        <v>0.04</v>
      </c>
      <c r="L399" s="965"/>
      <c r="M399" s="53">
        <f>(SUMIF($11:$11,L399,$12:$12)-SUMIF($11:$11,$L$24,$12:$12)+100)/100</f>
        <v>1</v>
      </c>
      <c r="N399" s="965"/>
      <c r="O399" s="53">
        <f>(SUMIF($13:$13,N399,$14:$14)-SUMIF($13:$13,$N$24,$14:$14)+100)/100</f>
        <v>1</v>
      </c>
      <c r="P399" s="965"/>
      <c r="Q399" s="53">
        <f>(SUMIF($15:$15,P399,$16:$16)-SUMIF($15:$15,$P$24,$16:$16)+100)/100</f>
        <v>1</v>
      </c>
      <c r="R399" s="965"/>
      <c r="S399" s="53">
        <f>(SUMIF($17:$17,R399,$18:$18)-SUMIF($17:$17,$R$24,$18:$18)+100)/100</f>
        <v>1</v>
      </c>
      <c r="T399" s="493">
        <f>IF(D399="",0,ROUND($T$24*E399*G399*I399*K399*M399*O399*Q399*S399,0))</f>
        <v>0</v>
      </c>
      <c r="U399" s="802">
        <f t="shared" si="19"/>
        <v>0</v>
      </c>
    </row>
    <row r="400" spans="3:21">
      <c r="C400" s="967"/>
      <c r="D400" s="137"/>
      <c r="E400" s="53">
        <f>IF(D400="",1,(LOOKUP(D400,$3:$3,$4:$4)-LOOKUP($D$24,$3:$3,$4:$4)+100)/100)</f>
        <v>1</v>
      </c>
      <c r="F400" s="965"/>
      <c r="G400" s="53">
        <f>(SUMIF($5:$5,F400,$6:$6)-SUMIF($5:$5,$F$24,$6:$6)+100)/100</f>
        <v>0.01</v>
      </c>
      <c r="H400" s="965"/>
      <c r="I400" s="53">
        <f>(SUMIF($7:$7,H400,$8:$8)-SUMIF($7:$7,$H$24,$8:$8)+100)/100</f>
        <v>0.04</v>
      </c>
      <c r="J400" s="965"/>
      <c r="K400" s="53">
        <f>(SUMIF($9:$9,J400,$10:$10)-SUMIF($9:$9,$J$24,$10:$10)+100)/100</f>
        <v>0.04</v>
      </c>
      <c r="L400" s="965"/>
      <c r="M400" s="53">
        <f>(SUMIF($11:$11,L400,$12:$12)-SUMIF($11:$11,$L$24,$12:$12)+100)/100</f>
        <v>1</v>
      </c>
      <c r="N400" s="965"/>
      <c r="O400" s="53">
        <f>(SUMIF($13:$13,N400,$14:$14)-SUMIF($13:$13,$N$24,$14:$14)+100)/100</f>
        <v>1</v>
      </c>
      <c r="P400" s="965"/>
      <c r="Q400" s="53">
        <f>(SUMIF($15:$15,P400,$16:$16)-SUMIF($15:$15,$P$24,$16:$16)+100)/100</f>
        <v>1</v>
      </c>
      <c r="R400" s="965"/>
      <c r="S400" s="53">
        <f>(SUMIF($17:$17,R400,$18:$18)-SUMIF($17:$17,$R$24,$18:$18)+100)/100</f>
        <v>1</v>
      </c>
      <c r="T400" s="493">
        <f>IF(D400="",0,ROUND($T$24*E400*G400*I400*K400*M400*O400*Q400*S400,0))</f>
        <v>0</v>
      </c>
      <c r="U400" s="802">
        <f t="shared" si="19"/>
        <v>0</v>
      </c>
    </row>
    <row r="401" spans="3:21">
      <c r="C401" s="967"/>
      <c r="D401" s="137"/>
      <c r="E401" s="53">
        <f>IF(D401="",1,(LOOKUP(D401,$3:$3,$4:$4)-LOOKUP($D$24,$3:$3,$4:$4)+100)/100)</f>
        <v>1</v>
      </c>
      <c r="F401" s="965"/>
      <c r="G401" s="53">
        <f>(SUMIF($5:$5,F401,$6:$6)-SUMIF($5:$5,$F$24,$6:$6)+100)/100</f>
        <v>0.01</v>
      </c>
      <c r="H401" s="965"/>
      <c r="I401" s="53">
        <f>(SUMIF($7:$7,H401,$8:$8)-SUMIF($7:$7,$H$24,$8:$8)+100)/100</f>
        <v>0.04</v>
      </c>
      <c r="J401" s="965"/>
      <c r="K401" s="53">
        <f>(SUMIF($9:$9,J401,$10:$10)-SUMIF($9:$9,$J$24,$10:$10)+100)/100</f>
        <v>0.04</v>
      </c>
      <c r="L401" s="965"/>
      <c r="M401" s="53">
        <f>(SUMIF($11:$11,L401,$12:$12)-SUMIF($11:$11,$L$24,$12:$12)+100)/100</f>
        <v>1</v>
      </c>
      <c r="N401" s="965"/>
      <c r="O401" s="53">
        <f>(SUMIF($13:$13,N401,$14:$14)-SUMIF($13:$13,$N$24,$14:$14)+100)/100</f>
        <v>1</v>
      </c>
      <c r="P401" s="965"/>
      <c r="Q401" s="53">
        <f>(SUMIF($15:$15,P401,$16:$16)-SUMIF($15:$15,$P$24,$16:$16)+100)/100</f>
        <v>1</v>
      </c>
      <c r="R401" s="965"/>
      <c r="S401" s="53">
        <f>(SUMIF($17:$17,R401,$18:$18)-SUMIF($17:$17,$R$24,$18:$18)+100)/100</f>
        <v>1</v>
      </c>
      <c r="T401" s="493">
        <f>IF(D401="",0,ROUND($T$24*E401*G401*I401*K401*M401*O401*Q401*S401,0))</f>
        <v>0</v>
      </c>
      <c r="U401" s="802">
        <f t="shared" si="19"/>
        <v>0</v>
      </c>
    </row>
    <row r="402" spans="3:21">
      <c r="C402" s="967"/>
      <c r="D402" s="137"/>
      <c r="E402" s="53">
        <f>IF(D402="",1,(LOOKUP(D402,$3:$3,$4:$4)-LOOKUP($D$24,$3:$3,$4:$4)+100)/100)</f>
        <v>1</v>
      </c>
      <c r="F402" s="965"/>
      <c r="G402" s="53">
        <f>(SUMIF($5:$5,F402,$6:$6)-SUMIF($5:$5,$F$24,$6:$6)+100)/100</f>
        <v>0.01</v>
      </c>
      <c r="H402" s="965"/>
      <c r="I402" s="53">
        <f>(SUMIF($7:$7,H402,$8:$8)-SUMIF($7:$7,$H$24,$8:$8)+100)/100</f>
        <v>0.04</v>
      </c>
      <c r="J402" s="965"/>
      <c r="K402" s="53">
        <f>(SUMIF($9:$9,J402,$10:$10)-SUMIF($9:$9,$J$24,$10:$10)+100)/100</f>
        <v>0.04</v>
      </c>
      <c r="L402" s="965"/>
      <c r="M402" s="53">
        <f>(SUMIF($11:$11,L402,$12:$12)-SUMIF($11:$11,$L$24,$12:$12)+100)/100</f>
        <v>1</v>
      </c>
      <c r="N402" s="965"/>
      <c r="O402" s="53">
        <f>(SUMIF($13:$13,N402,$14:$14)-SUMIF($13:$13,$N$24,$14:$14)+100)/100</f>
        <v>1</v>
      </c>
      <c r="P402" s="965"/>
      <c r="Q402" s="53">
        <f>(SUMIF($15:$15,P402,$16:$16)-SUMIF($15:$15,$P$24,$16:$16)+100)/100</f>
        <v>1</v>
      </c>
      <c r="R402" s="965"/>
      <c r="S402" s="53">
        <f>(SUMIF($17:$17,R402,$18:$18)-SUMIF($17:$17,$R$24,$18:$18)+100)/100</f>
        <v>1</v>
      </c>
      <c r="T402" s="493">
        <f>IF(D402="",0,ROUND($T$24*E402*G402*I402*K402*M402*O402*Q402*S402,0))</f>
        <v>0</v>
      </c>
      <c r="U402" s="802">
        <f t="shared" si="19"/>
        <v>0</v>
      </c>
    </row>
    <row r="403" spans="3:21">
      <c r="C403" s="967"/>
      <c r="D403" s="137"/>
      <c r="E403" s="53">
        <f>IF(D403="",1,(LOOKUP(D403,$3:$3,$4:$4)-LOOKUP($D$24,$3:$3,$4:$4)+100)/100)</f>
        <v>1</v>
      </c>
      <c r="F403" s="965"/>
      <c r="G403" s="53">
        <f>(SUMIF($5:$5,F403,$6:$6)-SUMIF($5:$5,$F$24,$6:$6)+100)/100</f>
        <v>0.01</v>
      </c>
      <c r="H403" s="965"/>
      <c r="I403" s="53">
        <f>(SUMIF($7:$7,H403,$8:$8)-SUMIF($7:$7,$H$24,$8:$8)+100)/100</f>
        <v>0.04</v>
      </c>
      <c r="J403" s="965"/>
      <c r="K403" s="53">
        <f>(SUMIF($9:$9,J403,$10:$10)-SUMIF($9:$9,$J$24,$10:$10)+100)/100</f>
        <v>0.04</v>
      </c>
      <c r="L403" s="965"/>
      <c r="M403" s="53">
        <f>(SUMIF($11:$11,L403,$12:$12)-SUMIF($11:$11,$L$24,$12:$12)+100)/100</f>
        <v>1</v>
      </c>
      <c r="N403" s="965"/>
      <c r="O403" s="53">
        <f>(SUMIF($13:$13,N403,$14:$14)-SUMIF($13:$13,$N$24,$14:$14)+100)/100</f>
        <v>1</v>
      </c>
      <c r="P403" s="965"/>
      <c r="Q403" s="53">
        <f>(SUMIF($15:$15,P403,$16:$16)-SUMIF($15:$15,$P$24,$16:$16)+100)/100</f>
        <v>1</v>
      </c>
      <c r="R403" s="965"/>
      <c r="S403" s="53">
        <f>(SUMIF($17:$17,R403,$18:$18)-SUMIF($17:$17,$R$24,$18:$18)+100)/100</f>
        <v>1</v>
      </c>
      <c r="T403" s="493">
        <f>IF(D403="",0,ROUND($T$24*E403*G403*I403*K403*M403*O403*Q403*S403,0))</f>
        <v>0</v>
      </c>
      <c r="U403" s="802">
        <f t="shared" si="19"/>
        <v>0</v>
      </c>
    </row>
    <row r="404" spans="3:21">
      <c r="C404" s="967"/>
      <c r="D404" s="137"/>
      <c r="E404" s="53">
        <f>IF(D404="",1,(LOOKUP(D404,$3:$3,$4:$4)-LOOKUP($D$24,$3:$3,$4:$4)+100)/100)</f>
        <v>1</v>
      </c>
      <c r="F404" s="965"/>
      <c r="G404" s="53">
        <f>(SUMIF($5:$5,F404,$6:$6)-SUMIF($5:$5,$F$24,$6:$6)+100)/100</f>
        <v>0.01</v>
      </c>
      <c r="H404" s="965"/>
      <c r="I404" s="53">
        <f>(SUMIF($7:$7,H404,$8:$8)-SUMIF($7:$7,$H$24,$8:$8)+100)/100</f>
        <v>0.04</v>
      </c>
      <c r="J404" s="965"/>
      <c r="K404" s="53">
        <f>(SUMIF($9:$9,J404,$10:$10)-SUMIF($9:$9,$J$24,$10:$10)+100)/100</f>
        <v>0.04</v>
      </c>
      <c r="L404" s="965"/>
      <c r="M404" s="53">
        <f>(SUMIF($11:$11,L404,$12:$12)-SUMIF($11:$11,$L$24,$12:$12)+100)/100</f>
        <v>1</v>
      </c>
      <c r="N404" s="965"/>
      <c r="O404" s="53">
        <f>(SUMIF($13:$13,N404,$14:$14)-SUMIF($13:$13,$N$24,$14:$14)+100)/100</f>
        <v>1</v>
      </c>
      <c r="P404" s="965"/>
      <c r="Q404" s="53">
        <f>(SUMIF($15:$15,P404,$16:$16)-SUMIF($15:$15,$P$24,$16:$16)+100)/100</f>
        <v>1</v>
      </c>
      <c r="R404" s="965"/>
      <c r="S404" s="53">
        <f>(SUMIF($17:$17,R404,$18:$18)-SUMIF($17:$17,$R$24,$18:$18)+100)/100</f>
        <v>1</v>
      </c>
      <c r="T404" s="493">
        <f>IF(D404="",0,ROUND($T$24*E404*G404*I404*K404*M404*O404*Q404*S404,0))</f>
        <v>0</v>
      </c>
      <c r="U404" s="802">
        <f t="shared" si="19"/>
        <v>0</v>
      </c>
    </row>
    <row r="405" spans="3:21">
      <c r="C405" s="967"/>
      <c r="D405" s="137"/>
      <c r="E405" s="53">
        <f>IF(D405="",1,(LOOKUP(D405,$3:$3,$4:$4)-LOOKUP($D$24,$3:$3,$4:$4)+100)/100)</f>
        <v>1</v>
      </c>
      <c r="F405" s="965"/>
      <c r="G405" s="53">
        <f>(SUMIF($5:$5,F405,$6:$6)-SUMIF($5:$5,$F$24,$6:$6)+100)/100</f>
        <v>0.01</v>
      </c>
      <c r="H405" s="965"/>
      <c r="I405" s="53">
        <f>(SUMIF($7:$7,H405,$8:$8)-SUMIF($7:$7,$H$24,$8:$8)+100)/100</f>
        <v>0.04</v>
      </c>
      <c r="J405" s="965"/>
      <c r="K405" s="53">
        <f>(SUMIF($9:$9,J405,$10:$10)-SUMIF($9:$9,$J$24,$10:$10)+100)/100</f>
        <v>0.04</v>
      </c>
      <c r="L405" s="965"/>
      <c r="M405" s="53">
        <f>(SUMIF($11:$11,L405,$12:$12)-SUMIF($11:$11,$L$24,$12:$12)+100)/100</f>
        <v>1</v>
      </c>
      <c r="N405" s="965"/>
      <c r="O405" s="53">
        <f>(SUMIF($13:$13,N405,$14:$14)-SUMIF($13:$13,$N$24,$14:$14)+100)/100</f>
        <v>1</v>
      </c>
      <c r="P405" s="965"/>
      <c r="Q405" s="53">
        <f>(SUMIF($15:$15,P405,$16:$16)-SUMIF($15:$15,$P$24,$16:$16)+100)/100</f>
        <v>1</v>
      </c>
      <c r="R405" s="965"/>
      <c r="S405" s="53">
        <f>(SUMIF($17:$17,R405,$18:$18)-SUMIF($17:$17,$R$24,$18:$18)+100)/100</f>
        <v>1</v>
      </c>
      <c r="T405" s="493">
        <f>IF(D405="",0,ROUND($T$24*E405*G405*I405*K405*M405*O405*Q405*S405,0))</f>
        <v>0</v>
      </c>
      <c r="U405" s="802">
        <f t="shared" si="19"/>
        <v>0</v>
      </c>
    </row>
    <row r="406" spans="3:21">
      <c r="C406" s="967"/>
      <c r="D406" s="137"/>
      <c r="E406" s="53">
        <f>IF(D406="",1,(LOOKUP(D406,$3:$3,$4:$4)-LOOKUP($D$24,$3:$3,$4:$4)+100)/100)</f>
        <v>1</v>
      </c>
      <c r="F406" s="965"/>
      <c r="G406" s="53">
        <f>(SUMIF($5:$5,F406,$6:$6)-SUMIF($5:$5,$F$24,$6:$6)+100)/100</f>
        <v>0.01</v>
      </c>
      <c r="H406" s="965"/>
      <c r="I406" s="53">
        <f>(SUMIF($7:$7,H406,$8:$8)-SUMIF($7:$7,$H$24,$8:$8)+100)/100</f>
        <v>0.04</v>
      </c>
      <c r="J406" s="965"/>
      <c r="K406" s="53">
        <f>(SUMIF($9:$9,J406,$10:$10)-SUMIF($9:$9,$J$24,$10:$10)+100)/100</f>
        <v>0.04</v>
      </c>
      <c r="L406" s="965"/>
      <c r="M406" s="53">
        <f>(SUMIF($11:$11,L406,$12:$12)-SUMIF($11:$11,$L$24,$12:$12)+100)/100</f>
        <v>1</v>
      </c>
      <c r="N406" s="965"/>
      <c r="O406" s="53">
        <f>(SUMIF($13:$13,N406,$14:$14)-SUMIF($13:$13,$N$24,$14:$14)+100)/100</f>
        <v>1</v>
      </c>
      <c r="P406" s="965"/>
      <c r="Q406" s="53">
        <f>(SUMIF($15:$15,P406,$16:$16)-SUMIF($15:$15,$P$24,$16:$16)+100)/100</f>
        <v>1</v>
      </c>
      <c r="R406" s="965"/>
      <c r="S406" s="53">
        <f>(SUMIF($17:$17,R406,$18:$18)-SUMIF($17:$17,$R$24,$18:$18)+100)/100</f>
        <v>1</v>
      </c>
      <c r="T406" s="493">
        <f>IF(D406="",0,ROUND($T$24*E406*G406*I406*K406*M406*O406*Q406*S406,0))</f>
        <v>0</v>
      </c>
      <c r="U406" s="802">
        <f t="shared" si="19"/>
        <v>0</v>
      </c>
    </row>
    <row r="407" spans="3:21">
      <c r="C407" s="967"/>
      <c r="D407" s="137"/>
      <c r="E407" s="53">
        <f>IF(D407="",1,(LOOKUP(D407,$3:$3,$4:$4)-LOOKUP($D$24,$3:$3,$4:$4)+100)/100)</f>
        <v>1</v>
      </c>
      <c r="F407" s="965"/>
      <c r="G407" s="53">
        <f>(SUMIF($5:$5,F407,$6:$6)-SUMIF($5:$5,$F$24,$6:$6)+100)/100</f>
        <v>0.01</v>
      </c>
      <c r="H407" s="965"/>
      <c r="I407" s="53">
        <f>(SUMIF($7:$7,H407,$8:$8)-SUMIF($7:$7,$H$24,$8:$8)+100)/100</f>
        <v>0.04</v>
      </c>
      <c r="J407" s="965"/>
      <c r="K407" s="53">
        <f>(SUMIF($9:$9,J407,$10:$10)-SUMIF($9:$9,$J$24,$10:$10)+100)/100</f>
        <v>0.04</v>
      </c>
      <c r="L407" s="965"/>
      <c r="M407" s="53">
        <f>(SUMIF($11:$11,L407,$12:$12)-SUMIF($11:$11,$L$24,$12:$12)+100)/100</f>
        <v>1</v>
      </c>
      <c r="N407" s="965"/>
      <c r="O407" s="53">
        <f>(SUMIF($13:$13,N407,$14:$14)-SUMIF($13:$13,$N$24,$14:$14)+100)/100</f>
        <v>1</v>
      </c>
      <c r="P407" s="965"/>
      <c r="Q407" s="53">
        <f>(SUMIF($15:$15,P407,$16:$16)-SUMIF($15:$15,$P$24,$16:$16)+100)/100</f>
        <v>1</v>
      </c>
      <c r="R407" s="965"/>
      <c r="S407" s="53">
        <f>(SUMIF($17:$17,R407,$18:$18)-SUMIF($17:$17,$R$24,$18:$18)+100)/100</f>
        <v>1</v>
      </c>
      <c r="T407" s="493">
        <f>IF(D407="",0,ROUND($T$24*E407*G407*I407*K407*M407*O407*Q407*S407,0))</f>
        <v>0</v>
      </c>
      <c r="U407" s="802">
        <f t="shared" si="19"/>
        <v>0</v>
      </c>
    </row>
    <row r="408" spans="3:21">
      <c r="C408" s="967"/>
      <c r="D408" s="137"/>
      <c r="E408" s="53">
        <f>IF(D408="",1,(LOOKUP(D408,$3:$3,$4:$4)-LOOKUP($D$24,$3:$3,$4:$4)+100)/100)</f>
        <v>1</v>
      </c>
      <c r="F408" s="965"/>
      <c r="G408" s="53">
        <f>(SUMIF($5:$5,F408,$6:$6)-SUMIF($5:$5,$F$24,$6:$6)+100)/100</f>
        <v>0.01</v>
      </c>
      <c r="H408" s="965"/>
      <c r="I408" s="53">
        <f>(SUMIF($7:$7,H408,$8:$8)-SUMIF($7:$7,$H$24,$8:$8)+100)/100</f>
        <v>0.04</v>
      </c>
      <c r="J408" s="965"/>
      <c r="K408" s="53">
        <f>(SUMIF($9:$9,J408,$10:$10)-SUMIF($9:$9,$J$24,$10:$10)+100)/100</f>
        <v>0.04</v>
      </c>
      <c r="L408" s="965"/>
      <c r="M408" s="53">
        <f>(SUMIF($11:$11,L408,$12:$12)-SUMIF($11:$11,$L$24,$12:$12)+100)/100</f>
        <v>1</v>
      </c>
      <c r="N408" s="965"/>
      <c r="O408" s="53">
        <f>(SUMIF($13:$13,N408,$14:$14)-SUMIF($13:$13,$N$24,$14:$14)+100)/100</f>
        <v>1</v>
      </c>
      <c r="P408" s="965"/>
      <c r="Q408" s="53">
        <f>(SUMIF($15:$15,P408,$16:$16)-SUMIF($15:$15,$P$24,$16:$16)+100)/100</f>
        <v>1</v>
      </c>
      <c r="R408" s="965"/>
      <c r="S408" s="53">
        <f>(SUMIF($17:$17,R408,$18:$18)-SUMIF($17:$17,$R$24,$18:$18)+100)/100</f>
        <v>1</v>
      </c>
      <c r="T408" s="493">
        <f>IF(D408="",0,ROUND($T$24*E408*G408*I408*K408*M408*O408*Q408*S408,0))</f>
        <v>0</v>
      </c>
      <c r="U408" s="802">
        <f t="shared" si="19"/>
        <v>0</v>
      </c>
    </row>
    <row r="409" spans="3:21">
      <c r="C409" s="967"/>
      <c r="D409" s="137"/>
      <c r="E409" s="53">
        <f>IF(D409="",1,(LOOKUP(D409,$3:$3,$4:$4)-LOOKUP($D$24,$3:$3,$4:$4)+100)/100)</f>
        <v>1</v>
      </c>
      <c r="F409" s="965"/>
      <c r="G409" s="53">
        <f>(SUMIF($5:$5,F409,$6:$6)-SUMIF($5:$5,$F$24,$6:$6)+100)/100</f>
        <v>0.01</v>
      </c>
      <c r="H409" s="965"/>
      <c r="I409" s="53">
        <f>(SUMIF($7:$7,H409,$8:$8)-SUMIF($7:$7,$H$24,$8:$8)+100)/100</f>
        <v>0.04</v>
      </c>
      <c r="J409" s="965"/>
      <c r="K409" s="53">
        <f>(SUMIF($9:$9,J409,$10:$10)-SUMIF($9:$9,$J$24,$10:$10)+100)/100</f>
        <v>0.04</v>
      </c>
      <c r="L409" s="965"/>
      <c r="M409" s="53">
        <f>(SUMIF($11:$11,L409,$12:$12)-SUMIF($11:$11,$L$24,$12:$12)+100)/100</f>
        <v>1</v>
      </c>
      <c r="N409" s="965"/>
      <c r="O409" s="53">
        <f>(SUMIF($13:$13,N409,$14:$14)-SUMIF($13:$13,$N$24,$14:$14)+100)/100</f>
        <v>1</v>
      </c>
      <c r="P409" s="965"/>
      <c r="Q409" s="53">
        <f>(SUMIF($15:$15,P409,$16:$16)-SUMIF($15:$15,$P$24,$16:$16)+100)/100</f>
        <v>1</v>
      </c>
      <c r="R409" s="965"/>
      <c r="S409" s="53">
        <f>(SUMIF($17:$17,R409,$18:$18)-SUMIF($17:$17,$R$24,$18:$18)+100)/100</f>
        <v>1</v>
      </c>
      <c r="T409" s="493">
        <f>IF(D409="",0,ROUND($T$24*E409*G409*I409*K409*M409*O409*Q409*S409,0))</f>
        <v>0</v>
      </c>
      <c r="U409" s="802">
        <f t="shared" si="19"/>
        <v>0</v>
      </c>
    </row>
    <row r="410" spans="3:21">
      <c r="C410" s="967"/>
      <c r="D410" s="137"/>
      <c r="E410" s="53">
        <f>IF(D410="",1,(LOOKUP(D410,$3:$3,$4:$4)-LOOKUP($D$24,$3:$3,$4:$4)+100)/100)</f>
        <v>1</v>
      </c>
      <c r="F410" s="965"/>
      <c r="G410" s="53">
        <f>(SUMIF($5:$5,F410,$6:$6)-SUMIF($5:$5,$F$24,$6:$6)+100)/100</f>
        <v>0.01</v>
      </c>
      <c r="H410" s="965"/>
      <c r="I410" s="53">
        <f>(SUMIF($7:$7,H410,$8:$8)-SUMIF($7:$7,$H$24,$8:$8)+100)/100</f>
        <v>0.04</v>
      </c>
      <c r="J410" s="965"/>
      <c r="K410" s="53">
        <f>(SUMIF($9:$9,J410,$10:$10)-SUMIF($9:$9,$J$24,$10:$10)+100)/100</f>
        <v>0.04</v>
      </c>
      <c r="L410" s="965"/>
      <c r="M410" s="53">
        <f>(SUMIF($11:$11,L410,$12:$12)-SUMIF($11:$11,$L$24,$12:$12)+100)/100</f>
        <v>1</v>
      </c>
      <c r="N410" s="965"/>
      <c r="O410" s="53">
        <f>(SUMIF($13:$13,N410,$14:$14)-SUMIF($13:$13,$N$24,$14:$14)+100)/100</f>
        <v>1</v>
      </c>
      <c r="P410" s="965"/>
      <c r="Q410" s="53">
        <f>(SUMIF($15:$15,P410,$16:$16)-SUMIF($15:$15,$P$24,$16:$16)+100)/100</f>
        <v>1</v>
      </c>
      <c r="R410" s="965"/>
      <c r="S410" s="53">
        <f>(SUMIF($17:$17,R410,$18:$18)-SUMIF($17:$17,$R$24,$18:$18)+100)/100</f>
        <v>1</v>
      </c>
      <c r="T410" s="493">
        <f>IF(D410="",0,ROUND($T$24*E410*G410*I410*K410*M410*O410*Q410*S410,0))</f>
        <v>0</v>
      </c>
      <c r="U410" s="802">
        <f t="shared" si="19"/>
        <v>0</v>
      </c>
    </row>
    <row r="411" spans="3:21">
      <c r="C411" s="967"/>
      <c r="D411" s="137"/>
      <c r="E411" s="53">
        <f>IF(D411="",1,(LOOKUP(D411,$3:$3,$4:$4)-LOOKUP($D$24,$3:$3,$4:$4)+100)/100)</f>
        <v>1</v>
      </c>
      <c r="F411" s="965"/>
      <c r="G411" s="53">
        <f>(SUMIF($5:$5,F411,$6:$6)-SUMIF($5:$5,$F$24,$6:$6)+100)/100</f>
        <v>0.01</v>
      </c>
      <c r="H411" s="965"/>
      <c r="I411" s="53">
        <f>(SUMIF($7:$7,H411,$8:$8)-SUMIF($7:$7,$H$24,$8:$8)+100)/100</f>
        <v>0.04</v>
      </c>
      <c r="J411" s="965"/>
      <c r="K411" s="53">
        <f>(SUMIF($9:$9,J411,$10:$10)-SUMIF($9:$9,$J$24,$10:$10)+100)/100</f>
        <v>0.04</v>
      </c>
      <c r="L411" s="965"/>
      <c r="M411" s="53">
        <f>(SUMIF($11:$11,L411,$12:$12)-SUMIF($11:$11,$L$24,$12:$12)+100)/100</f>
        <v>1</v>
      </c>
      <c r="N411" s="965"/>
      <c r="O411" s="53">
        <f>(SUMIF($13:$13,N411,$14:$14)-SUMIF($13:$13,$N$24,$14:$14)+100)/100</f>
        <v>1</v>
      </c>
      <c r="P411" s="965"/>
      <c r="Q411" s="53">
        <f>(SUMIF($15:$15,P411,$16:$16)-SUMIF($15:$15,$P$24,$16:$16)+100)/100</f>
        <v>1</v>
      </c>
      <c r="R411" s="965"/>
      <c r="S411" s="53">
        <f>(SUMIF($17:$17,R411,$18:$18)-SUMIF($17:$17,$R$24,$18:$18)+100)/100</f>
        <v>1</v>
      </c>
      <c r="T411" s="493">
        <f>IF(D411="",0,ROUND($T$24*E411*G411*I411*K411*M411*O411*Q411*S411,0))</f>
        <v>0</v>
      </c>
      <c r="U411" s="802">
        <f t="shared" si="19"/>
        <v>0</v>
      </c>
    </row>
    <row r="412" spans="3:21">
      <c r="C412" s="967"/>
      <c r="D412" s="137"/>
      <c r="E412" s="53">
        <f>IF(D412="",1,(LOOKUP(D412,$3:$3,$4:$4)-LOOKUP($D$24,$3:$3,$4:$4)+100)/100)</f>
        <v>1</v>
      </c>
      <c r="F412" s="965"/>
      <c r="G412" s="53">
        <f>(SUMIF($5:$5,F412,$6:$6)-SUMIF($5:$5,$F$24,$6:$6)+100)/100</f>
        <v>0.01</v>
      </c>
      <c r="H412" s="965"/>
      <c r="I412" s="53">
        <f>(SUMIF($7:$7,H412,$8:$8)-SUMIF($7:$7,$H$24,$8:$8)+100)/100</f>
        <v>0.04</v>
      </c>
      <c r="J412" s="965"/>
      <c r="K412" s="53">
        <f>(SUMIF($9:$9,J412,$10:$10)-SUMIF($9:$9,$J$24,$10:$10)+100)/100</f>
        <v>0.04</v>
      </c>
      <c r="L412" s="965"/>
      <c r="M412" s="53">
        <f>(SUMIF($11:$11,L412,$12:$12)-SUMIF($11:$11,$L$24,$12:$12)+100)/100</f>
        <v>1</v>
      </c>
      <c r="N412" s="965"/>
      <c r="O412" s="53">
        <f>(SUMIF($13:$13,N412,$14:$14)-SUMIF($13:$13,$N$24,$14:$14)+100)/100</f>
        <v>1</v>
      </c>
      <c r="P412" s="965"/>
      <c r="Q412" s="53">
        <f>(SUMIF($15:$15,P412,$16:$16)-SUMIF($15:$15,$P$24,$16:$16)+100)/100</f>
        <v>1</v>
      </c>
      <c r="R412" s="965"/>
      <c r="S412" s="53">
        <f>(SUMIF($17:$17,R412,$18:$18)-SUMIF($17:$17,$R$24,$18:$18)+100)/100</f>
        <v>1</v>
      </c>
      <c r="T412" s="493">
        <f>IF(D412="",0,ROUND($T$24*E412*G412*I412*K412*M412*O412*Q412*S412,0))</f>
        <v>0</v>
      </c>
      <c r="U412" s="802">
        <f t="shared" si="19"/>
        <v>0</v>
      </c>
    </row>
    <row r="413" spans="3:21">
      <c r="C413" s="967"/>
      <c r="D413" s="137"/>
      <c r="E413" s="53">
        <f>IF(D413="",1,(LOOKUP(D413,$3:$3,$4:$4)-LOOKUP($D$24,$3:$3,$4:$4)+100)/100)</f>
        <v>1</v>
      </c>
      <c r="F413" s="965"/>
      <c r="G413" s="53">
        <f>(SUMIF($5:$5,F413,$6:$6)-SUMIF($5:$5,$F$24,$6:$6)+100)/100</f>
        <v>0.01</v>
      </c>
      <c r="H413" s="965"/>
      <c r="I413" s="53">
        <f>(SUMIF($7:$7,H413,$8:$8)-SUMIF($7:$7,$H$24,$8:$8)+100)/100</f>
        <v>0.04</v>
      </c>
      <c r="J413" s="965"/>
      <c r="K413" s="53">
        <f>(SUMIF($9:$9,J413,$10:$10)-SUMIF($9:$9,$J$24,$10:$10)+100)/100</f>
        <v>0.04</v>
      </c>
      <c r="L413" s="965"/>
      <c r="M413" s="53">
        <f>(SUMIF($11:$11,L413,$12:$12)-SUMIF($11:$11,$L$24,$12:$12)+100)/100</f>
        <v>1</v>
      </c>
      <c r="N413" s="965"/>
      <c r="O413" s="53">
        <f>(SUMIF($13:$13,N413,$14:$14)-SUMIF($13:$13,$N$24,$14:$14)+100)/100</f>
        <v>1</v>
      </c>
      <c r="P413" s="965"/>
      <c r="Q413" s="53">
        <f>(SUMIF($15:$15,P413,$16:$16)-SUMIF($15:$15,$P$24,$16:$16)+100)/100</f>
        <v>1</v>
      </c>
      <c r="R413" s="965"/>
      <c r="S413" s="53">
        <f>(SUMIF($17:$17,R413,$18:$18)-SUMIF($17:$17,$R$24,$18:$18)+100)/100</f>
        <v>1</v>
      </c>
      <c r="T413" s="493">
        <f>IF(D413="",0,ROUND($T$24*E413*G413*I413*K413*M413*O413*Q413*S413,0))</f>
        <v>0</v>
      </c>
      <c r="U413" s="802">
        <f t="shared" si="19"/>
        <v>0</v>
      </c>
    </row>
    <row r="414" spans="3:21">
      <c r="C414" s="967"/>
      <c r="D414" s="137"/>
      <c r="E414" s="53">
        <f>IF(D414="",1,(LOOKUP(D414,$3:$3,$4:$4)-LOOKUP($D$24,$3:$3,$4:$4)+100)/100)</f>
        <v>1</v>
      </c>
      <c r="F414" s="965"/>
      <c r="G414" s="53">
        <f>(SUMIF($5:$5,F414,$6:$6)-SUMIF($5:$5,$F$24,$6:$6)+100)/100</f>
        <v>0.01</v>
      </c>
      <c r="H414" s="965"/>
      <c r="I414" s="53">
        <f>(SUMIF($7:$7,H414,$8:$8)-SUMIF($7:$7,$H$24,$8:$8)+100)/100</f>
        <v>0.04</v>
      </c>
      <c r="J414" s="965"/>
      <c r="K414" s="53">
        <f>(SUMIF($9:$9,J414,$10:$10)-SUMIF($9:$9,$J$24,$10:$10)+100)/100</f>
        <v>0.04</v>
      </c>
      <c r="L414" s="965"/>
      <c r="M414" s="53">
        <f>(SUMIF($11:$11,L414,$12:$12)-SUMIF($11:$11,$L$24,$12:$12)+100)/100</f>
        <v>1</v>
      </c>
      <c r="N414" s="965"/>
      <c r="O414" s="53">
        <f>(SUMIF($13:$13,N414,$14:$14)-SUMIF($13:$13,$N$24,$14:$14)+100)/100</f>
        <v>1</v>
      </c>
      <c r="P414" s="965"/>
      <c r="Q414" s="53">
        <f>(SUMIF($15:$15,P414,$16:$16)-SUMIF($15:$15,$P$24,$16:$16)+100)/100</f>
        <v>1</v>
      </c>
      <c r="R414" s="965"/>
      <c r="S414" s="53">
        <f>(SUMIF($17:$17,R414,$18:$18)-SUMIF($17:$17,$R$24,$18:$18)+100)/100</f>
        <v>1</v>
      </c>
      <c r="T414" s="493">
        <f>IF(D414="",0,ROUND($T$24*E414*G414*I414*K414*M414*O414*Q414*S414,0))</f>
        <v>0</v>
      </c>
      <c r="U414" s="802">
        <f t="shared" si="19"/>
        <v>0</v>
      </c>
    </row>
    <row r="415" spans="3:21">
      <c r="C415" s="967"/>
      <c r="D415" s="137"/>
      <c r="E415" s="53">
        <f>IF(D415="",1,(LOOKUP(D415,$3:$3,$4:$4)-LOOKUP($D$24,$3:$3,$4:$4)+100)/100)</f>
        <v>1</v>
      </c>
      <c r="F415" s="965"/>
      <c r="G415" s="53">
        <f>(SUMIF($5:$5,F415,$6:$6)-SUMIF($5:$5,$F$24,$6:$6)+100)/100</f>
        <v>0.01</v>
      </c>
      <c r="H415" s="965"/>
      <c r="I415" s="53">
        <f>(SUMIF($7:$7,H415,$8:$8)-SUMIF($7:$7,$H$24,$8:$8)+100)/100</f>
        <v>0.04</v>
      </c>
      <c r="J415" s="965"/>
      <c r="K415" s="53">
        <f>(SUMIF($9:$9,J415,$10:$10)-SUMIF($9:$9,$J$24,$10:$10)+100)/100</f>
        <v>0.04</v>
      </c>
      <c r="L415" s="965"/>
      <c r="M415" s="53">
        <f>(SUMIF($11:$11,L415,$12:$12)-SUMIF($11:$11,$L$24,$12:$12)+100)/100</f>
        <v>1</v>
      </c>
      <c r="N415" s="965"/>
      <c r="O415" s="53">
        <f>(SUMIF($13:$13,N415,$14:$14)-SUMIF($13:$13,$N$24,$14:$14)+100)/100</f>
        <v>1</v>
      </c>
      <c r="P415" s="965"/>
      <c r="Q415" s="53">
        <f>(SUMIF($15:$15,P415,$16:$16)-SUMIF($15:$15,$P$24,$16:$16)+100)/100</f>
        <v>1</v>
      </c>
      <c r="R415" s="965"/>
      <c r="S415" s="53">
        <f>(SUMIF($17:$17,R415,$18:$18)-SUMIF($17:$17,$R$24,$18:$18)+100)/100</f>
        <v>1</v>
      </c>
      <c r="T415" s="493">
        <f>IF(D415="",0,ROUND($T$24*E415*G415*I415*K415*M415*O415*Q415*S415,0))</f>
        <v>0</v>
      </c>
      <c r="U415" s="802">
        <f t="shared" si="19"/>
        <v>0</v>
      </c>
    </row>
    <row r="416" spans="3:21">
      <c r="C416" s="967"/>
      <c r="D416" s="137"/>
      <c r="E416" s="53">
        <f>IF(D416="",1,(LOOKUP(D416,$3:$3,$4:$4)-LOOKUP($D$24,$3:$3,$4:$4)+100)/100)</f>
        <v>1</v>
      </c>
      <c r="F416" s="965"/>
      <c r="G416" s="53">
        <f>(SUMIF($5:$5,F416,$6:$6)-SUMIF($5:$5,$F$24,$6:$6)+100)/100</f>
        <v>0.01</v>
      </c>
      <c r="H416" s="965"/>
      <c r="I416" s="53">
        <f>(SUMIF($7:$7,H416,$8:$8)-SUMIF($7:$7,$H$24,$8:$8)+100)/100</f>
        <v>0.04</v>
      </c>
      <c r="J416" s="965"/>
      <c r="K416" s="53">
        <f>(SUMIF($9:$9,J416,$10:$10)-SUMIF($9:$9,$J$24,$10:$10)+100)/100</f>
        <v>0.04</v>
      </c>
      <c r="L416" s="965"/>
      <c r="M416" s="53">
        <f>(SUMIF($11:$11,L416,$12:$12)-SUMIF($11:$11,$L$24,$12:$12)+100)/100</f>
        <v>1</v>
      </c>
      <c r="N416" s="965"/>
      <c r="O416" s="53">
        <f>(SUMIF($13:$13,N416,$14:$14)-SUMIF($13:$13,$N$24,$14:$14)+100)/100</f>
        <v>1</v>
      </c>
      <c r="P416" s="965"/>
      <c r="Q416" s="53">
        <f>(SUMIF($15:$15,P416,$16:$16)-SUMIF($15:$15,$P$24,$16:$16)+100)/100</f>
        <v>1</v>
      </c>
      <c r="R416" s="965"/>
      <c r="S416" s="53">
        <f>(SUMIF($17:$17,R416,$18:$18)-SUMIF($17:$17,$R$24,$18:$18)+100)/100</f>
        <v>1</v>
      </c>
      <c r="T416" s="493">
        <f>IF(D416="",0,ROUND($T$24*E416*G416*I416*K416*M416*O416*Q416*S416,0))</f>
        <v>0</v>
      </c>
      <c r="U416" s="802">
        <f t="shared" si="19"/>
        <v>0</v>
      </c>
    </row>
    <row r="417" spans="3:21">
      <c r="C417" s="967"/>
      <c r="D417" s="137"/>
      <c r="E417" s="53">
        <f>IF(D417="",1,(LOOKUP(D417,$3:$3,$4:$4)-LOOKUP($D$24,$3:$3,$4:$4)+100)/100)</f>
        <v>1</v>
      </c>
      <c r="F417" s="965"/>
      <c r="G417" s="53">
        <f>(SUMIF($5:$5,F417,$6:$6)-SUMIF($5:$5,$F$24,$6:$6)+100)/100</f>
        <v>0.01</v>
      </c>
      <c r="H417" s="965"/>
      <c r="I417" s="53">
        <f>(SUMIF($7:$7,H417,$8:$8)-SUMIF($7:$7,$H$24,$8:$8)+100)/100</f>
        <v>0.04</v>
      </c>
      <c r="J417" s="965"/>
      <c r="K417" s="53">
        <f>(SUMIF($9:$9,J417,$10:$10)-SUMIF($9:$9,$J$24,$10:$10)+100)/100</f>
        <v>0.04</v>
      </c>
      <c r="L417" s="965"/>
      <c r="M417" s="53">
        <f>(SUMIF($11:$11,L417,$12:$12)-SUMIF($11:$11,$L$24,$12:$12)+100)/100</f>
        <v>1</v>
      </c>
      <c r="N417" s="965"/>
      <c r="O417" s="53">
        <f>(SUMIF($13:$13,N417,$14:$14)-SUMIF($13:$13,$N$24,$14:$14)+100)/100</f>
        <v>1</v>
      </c>
      <c r="P417" s="965"/>
      <c r="Q417" s="53">
        <f>(SUMIF($15:$15,P417,$16:$16)-SUMIF($15:$15,$P$24,$16:$16)+100)/100</f>
        <v>1</v>
      </c>
      <c r="R417" s="965"/>
      <c r="S417" s="53">
        <f>(SUMIF($17:$17,R417,$18:$18)-SUMIF($17:$17,$R$24,$18:$18)+100)/100</f>
        <v>1</v>
      </c>
      <c r="T417" s="493">
        <f>IF(D417="",0,ROUND($T$24*E417*G417*I417*K417*M417*O417*Q417*S417,0))</f>
        <v>0</v>
      </c>
      <c r="U417" s="802">
        <f t="shared" si="19"/>
        <v>0</v>
      </c>
    </row>
    <row r="418" spans="3:21">
      <c r="C418" s="967"/>
      <c r="D418" s="137"/>
      <c r="E418" s="53">
        <f>IF(D418="",1,(LOOKUP(D418,$3:$3,$4:$4)-LOOKUP($D$24,$3:$3,$4:$4)+100)/100)</f>
        <v>1</v>
      </c>
      <c r="F418" s="965"/>
      <c r="G418" s="53">
        <f>(SUMIF($5:$5,F418,$6:$6)-SUMIF($5:$5,$F$24,$6:$6)+100)/100</f>
        <v>0.01</v>
      </c>
      <c r="H418" s="965"/>
      <c r="I418" s="53">
        <f>(SUMIF($7:$7,H418,$8:$8)-SUMIF($7:$7,$H$24,$8:$8)+100)/100</f>
        <v>0.04</v>
      </c>
      <c r="J418" s="965"/>
      <c r="K418" s="53">
        <f>(SUMIF($9:$9,J418,$10:$10)-SUMIF($9:$9,$J$24,$10:$10)+100)/100</f>
        <v>0.04</v>
      </c>
      <c r="L418" s="965"/>
      <c r="M418" s="53">
        <f>(SUMIF($11:$11,L418,$12:$12)-SUMIF($11:$11,$L$24,$12:$12)+100)/100</f>
        <v>1</v>
      </c>
      <c r="N418" s="965"/>
      <c r="O418" s="53">
        <f>(SUMIF($13:$13,N418,$14:$14)-SUMIF($13:$13,$N$24,$14:$14)+100)/100</f>
        <v>1</v>
      </c>
      <c r="P418" s="965"/>
      <c r="Q418" s="53">
        <f>(SUMIF($15:$15,P418,$16:$16)-SUMIF($15:$15,$P$24,$16:$16)+100)/100</f>
        <v>1</v>
      </c>
      <c r="R418" s="965"/>
      <c r="S418" s="53">
        <f>(SUMIF($17:$17,R418,$18:$18)-SUMIF($17:$17,$R$24,$18:$18)+100)/100</f>
        <v>1</v>
      </c>
      <c r="T418" s="493">
        <f>IF(D418="",0,ROUND($T$24*E418*G418*I418*K418*M418*O418*Q418*S418,0))</f>
        <v>0</v>
      </c>
      <c r="U418" s="802">
        <f t="shared" si="19"/>
        <v>0</v>
      </c>
    </row>
    <row r="419" spans="3:21">
      <c r="C419" s="967"/>
      <c r="D419" s="137"/>
      <c r="E419" s="53">
        <f>IF(D419="",1,(LOOKUP(D419,$3:$3,$4:$4)-LOOKUP($D$24,$3:$3,$4:$4)+100)/100)</f>
        <v>1</v>
      </c>
      <c r="F419" s="965"/>
      <c r="G419" s="53">
        <f>(SUMIF($5:$5,F419,$6:$6)-SUMIF($5:$5,$F$24,$6:$6)+100)/100</f>
        <v>0.01</v>
      </c>
      <c r="H419" s="965"/>
      <c r="I419" s="53">
        <f>(SUMIF($7:$7,H419,$8:$8)-SUMIF($7:$7,$H$24,$8:$8)+100)/100</f>
        <v>0.04</v>
      </c>
      <c r="J419" s="965"/>
      <c r="K419" s="53">
        <f>(SUMIF($9:$9,J419,$10:$10)-SUMIF($9:$9,$J$24,$10:$10)+100)/100</f>
        <v>0.04</v>
      </c>
      <c r="L419" s="965"/>
      <c r="M419" s="53">
        <f>(SUMIF($11:$11,L419,$12:$12)-SUMIF($11:$11,$L$24,$12:$12)+100)/100</f>
        <v>1</v>
      </c>
      <c r="N419" s="965"/>
      <c r="O419" s="53">
        <f>(SUMIF($13:$13,N419,$14:$14)-SUMIF($13:$13,$N$24,$14:$14)+100)/100</f>
        <v>1</v>
      </c>
      <c r="P419" s="965"/>
      <c r="Q419" s="53">
        <f>(SUMIF($15:$15,P419,$16:$16)-SUMIF($15:$15,$P$24,$16:$16)+100)/100</f>
        <v>1</v>
      </c>
      <c r="R419" s="965"/>
      <c r="S419" s="53">
        <f>(SUMIF($17:$17,R419,$18:$18)-SUMIF($17:$17,$R$24,$18:$18)+100)/100</f>
        <v>1</v>
      </c>
      <c r="T419" s="493">
        <f>IF(D419="",0,ROUND($T$24*E419*G419*I419*K419*M419*O419*Q419*S419,0))</f>
        <v>0</v>
      </c>
      <c r="U419" s="802">
        <f t="shared" si="19"/>
        <v>0</v>
      </c>
    </row>
    <row r="420" spans="3:21">
      <c r="C420" s="967"/>
      <c r="D420" s="137"/>
      <c r="E420" s="53">
        <f>IF(D420="",1,(LOOKUP(D420,$3:$3,$4:$4)-LOOKUP($D$24,$3:$3,$4:$4)+100)/100)</f>
        <v>1</v>
      </c>
      <c r="F420" s="965"/>
      <c r="G420" s="53">
        <f>(SUMIF($5:$5,F420,$6:$6)-SUMIF($5:$5,$F$24,$6:$6)+100)/100</f>
        <v>0.01</v>
      </c>
      <c r="H420" s="965"/>
      <c r="I420" s="53">
        <f>(SUMIF($7:$7,H420,$8:$8)-SUMIF($7:$7,$H$24,$8:$8)+100)/100</f>
        <v>0.04</v>
      </c>
      <c r="J420" s="965"/>
      <c r="K420" s="53">
        <f>(SUMIF($9:$9,J420,$10:$10)-SUMIF($9:$9,$J$24,$10:$10)+100)/100</f>
        <v>0.04</v>
      </c>
      <c r="L420" s="965"/>
      <c r="M420" s="53">
        <f>(SUMIF($11:$11,L420,$12:$12)-SUMIF($11:$11,$L$24,$12:$12)+100)/100</f>
        <v>1</v>
      </c>
      <c r="N420" s="965"/>
      <c r="O420" s="53">
        <f>(SUMIF($13:$13,N420,$14:$14)-SUMIF($13:$13,$N$24,$14:$14)+100)/100</f>
        <v>1</v>
      </c>
      <c r="P420" s="965"/>
      <c r="Q420" s="53">
        <f>(SUMIF($15:$15,P420,$16:$16)-SUMIF($15:$15,$P$24,$16:$16)+100)/100</f>
        <v>1</v>
      </c>
      <c r="R420" s="965"/>
      <c r="S420" s="53">
        <f>(SUMIF($17:$17,R420,$18:$18)-SUMIF($17:$17,$R$24,$18:$18)+100)/100</f>
        <v>1</v>
      </c>
      <c r="T420" s="493">
        <f>IF(D420="",0,ROUND($T$24*E420*G420*I420*K420*M420*O420*Q420*S420,0))</f>
        <v>0</v>
      </c>
      <c r="U420" s="802">
        <f t="shared" si="19"/>
        <v>0</v>
      </c>
    </row>
    <row r="421" spans="3:21">
      <c r="C421" s="967"/>
      <c r="D421" s="137"/>
      <c r="E421" s="53">
        <f>IF(D421="",1,(LOOKUP(D421,$3:$3,$4:$4)-LOOKUP($D$24,$3:$3,$4:$4)+100)/100)</f>
        <v>1</v>
      </c>
      <c r="F421" s="965"/>
      <c r="G421" s="53">
        <f>(SUMIF($5:$5,F421,$6:$6)-SUMIF($5:$5,$F$24,$6:$6)+100)/100</f>
        <v>0.01</v>
      </c>
      <c r="H421" s="965"/>
      <c r="I421" s="53">
        <f>(SUMIF($7:$7,H421,$8:$8)-SUMIF($7:$7,$H$24,$8:$8)+100)/100</f>
        <v>0.04</v>
      </c>
      <c r="J421" s="965"/>
      <c r="K421" s="53">
        <f>(SUMIF($9:$9,J421,$10:$10)-SUMIF($9:$9,$J$24,$10:$10)+100)/100</f>
        <v>0.04</v>
      </c>
      <c r="L421" s="965"/>
      <c r="M421" s="53">
        <f>(SUMIF($11:$11,L421,$12:$12)-SUMIF($11:$11,$L$24,$12:$12)+100)/100</f>
        <v>1</v>
      </c>
      <c r="N421" s="965"/>
      <c r="O421" s="53">
        <f>(SUMIF($13:$13,N421,$14:$14)-SUMIF($13:$13,$N$24,$14:$14)+100)/100</f>
        <v>1</v>
      </c>
      <c r="P421" s="965"/>
      <c r="Q421" s="53">
        <f>(SUMIF($15:$15,P421,$16:$16)-SUMIF($15:$15,$P$24,$16:$16)+100)/100</f>
        <v>1</v>
      </c>
      <c r="R421" s="965"/>
      <c r="S421" s="53">
        <f>(SUMIF($17:$17,R421,$18:$18)-SUMIF($17:$17,$R$24,$18:$18)+100)/100</f>
        <v>1</v>
      </c>
      <c r="T421" s="493">
        <f>IF(D421="",0,ROUND($T$24*E421*G421*I421*K421*M421*O421*Q421*S421,0))</f>
        <v>0</v>
      </c>
      <c r="U421" s="802">
        <f t="shared" si="19"/>
        <v>0</v>
      </c>
    </row>
    <row r="422" spans="3:21">
      <c r="C422" s="967"/>
      <c r="D422" s="137"/>
      <c r="E422" s="53">
        <f>IF(D422="",1,(LOOKUP(D422,$3:$3,$4:$4)-LOOKUP($D$24,$3:$3,$4:$4)+100)/100)</f>
        <v>1</v>
      </c>
      <c r="F422" s="965"/>
      <c r="G422" s="53">
        <f>(SUMIF($5:$5,F422,$6:$6)-SUMIF($5:$5,$F$24,$6:$6)+100)/100</f>
        <v>0.01</v>
      </c>
      <c r="H422" s="965"/>
      <c r="I422" s="53">
        <f>(SUMIF($7:$7,H422,$8:$8)-SUMIF($7:$7,$H$24,$8:$8)+100)/100</f>
        <v>0.04</v>
      </c>
      <c r="J422" s="965"/>
      <c r="K422" s="53">
        <f>(SUMIF($9:$9,J422,$10:$10)-SUMIF($9:$9,$J$24,$10:$10)+100)/100</f>
        <v>0.04</v>
      </c>
      <c r="L422" s="965"/>
      <c r="M422" s="53">
        <f>(SUMIF($11:$11,L422,$12:$12)-SUMIF($11:$11,$L$24,$12:$12)+100)/100</f>
        <v>1</v>
      </c>
      <c r="N422" s="965"/>
      <c r="O422" s="53">
        <f>(SUMIF($13:$13,N422,$14:$14)-SUMIF($13:$13,$N$24,$14:$14)+100)/100</f>
        <v>1</v>
      </c>
      <c r="P422" s="965"/>
      <c r="Q422" s="53">
        <f>(SUMIF($15:$15,P422,$16:$16)-SUMIF($15:$15,$P$24,$16:$16)+100)/100</f>
        <v>1</v>
      </c>
      <c r="R422" s="965"/>
      <c r="S422" s="53">
        <f>(SUMIF($17:$17,R422,$18:$18)-SUMIF($17:$17,$R$24,$18:$18)+100)/100</f>
        <v>1</v>
      </c>
      <c r="T422" s="493">
        <f>IF(D422="",0,ROUND($T$24*E422*G422*I422*K422*M422*O422*Q422*S422,0))</f>
        <v>0</v>
      </c>
      <c r="U422" s="802">
        <f t="shared" si="19"/>
        <v>0</v>
      </c>
    </row>
    <row r="423" spans="3:21">
      <c r="C423" s="967"/>
      <c r="D423" s="137"/>
      <c r="E423" s="53">
        <f>IF(D423="",1,(LOOKUP(D423,$3:$3,$4:$4)-LOOKUP($D$24,$3:$3,$4:$4)+100)/100)</f>
        <v>1</v>
      </c>
      <c r="F423" s="965"/>
      <c r="G423" s="53">
        <f>(SUMIF($5:$5,F423,$6:$6)-SUMIF($5:$5,$F$24,$6:$6)+100)/100</f>
        <v>0.01</v>
      </c>
      <c r="H423" s="965"/>
      <c r="I423" s="53">
        <f>(SUMIF($7:$7,H423,$8:$8)-SUMIF($7:$7,$H$24,$8:$8)+100)/100</f>
        <v>0.04</v>
      </c>
      <c r="J423" s="965"/>
      <c r="K423" s="53">
        <f>(SUMIF($9:$9,J423,$10:$10)-SUMIF($9:$9,$J$24,$10:$10)+100)/100</f>
        <v>0.04</v>
      </c>
      <c r="L423" s="965"/>
      <c r="M423" s="53">
        <f>(SUMIF($11:$11,L423,$12:$12)-SUMIF($11:$11,$L$24,$12:$12)+100)/100</f>
        <v>1</v>
      </c>
      <c r="N423" s="965"/>
      <c r="O423" s="53">
        <f>(SUMIF($13:$13,N423,$14:$14)-SUMIF($13:$13,$N$24,$14:$14)+100)/100</f>
        <v>1</v>
      </c>
      <c r="P423" s="965"/>
      <c r="Q423" s="53">
        <f>(SUMIF($15:$15,P423,$16:$16)-SUMIF($15:$15,$P$24,$16:$16)+100)/100</f>
        <v>1</v>
      </c>
      <c r="R423" s="965"/>
      <c r="S423" s="53">
        <f>(SUMIF($17:$17,R423,$18:$18)-SUMIF($17:$17,$R$24,$18:$18)+100)/100</f>
        <v>1</v>
      </c>
      <c r="T423" s="493">
        <f>IF(D423="",0,ROUND($T$24*E423*G423*I423*K423*M423*O423*Q423*S423,0))</f>
        <v>0</v>
      </c>
      <c r="U423" s="802">
        <f t="shared" ref="U423:U467" si="20">ROUND(T423*D423/10000,0)</f>
        <v>0</v>
      </c>
    </row>
    <row r="424" spans="3:21">
      <c r="C424" s="967"/>
      <c r="D424" s="137"/>
      <c r="E424" s="53">
        <f>IF(D424="",1,(LOOKUP(D424,$3:$3,$4:$4)-LOOKUP($D$24,$3:$3,$4:$4)+100)/100)</f>
        <v>1</v>
      </c>
      <c r="F424" s="965"/>
      <c r="G424" s="53">
        <f>(SUMIF($5:$5,F424,$6:$6)-SUMIF($5:$5,$F$24,$6:$6)+100)/100</f>
        <v>0.01</v>
      </c>
      <c r="H424" s="965"/>
      <c r="I424" s="53">
        <f>(SUMIF($7:$7,H424,$8:$8)-SUMIF($7:$7,$H$24,$8:$8)+100)/100</f>
        <v>0.04</v>
      </c>
      <c r="J424" s="965"/>
      <c r="K424" s="53">
        <f>(SUMIF($9:$9,J424,$10:$10)-SUMIF($9:$9,$J$24,$10:$10)+100)/100</f>
        <v>0.04</v>
      </c>
      <c r="L424" s="965"/>
      <c r="M424" s="53">
        <f>(SUMIF($11:$11,L424,$12:$12)-SUMIF($11:$11,$L$24,$12:$12)+100)/100</f>
        <v>1</v>
      </c>
      <c r="N424" s="965"/>
      <c r="O424" s="53">
        <f>(SUMIF($13:$13,N424,$14:$14)-SUMIF($13:$13,$N$24,$14:$14)+100)/100</f>
        <v>1</v>
      </c>
      <c r="P424" s="965"/>
      <c r="Q424" s="53">
        <f>(SUMIF($15:$15,P424,$16:$16)-SUMIF($15:$15,$P$24,$16:$16)+100)/100</f>
        <v>1</v>
      </c>
      <c r="R424" s="965"/>
      <c r="S424" s="53">
        <f>(SUMIF($17:$17,R424,$18:$18)-SUMIF($17:$17,$R$24,$18:$18)+100)/100</f>
        <v>1</v>
      </c>
      <c r="T424" s="493">
        <f>IF(D424="",0,ROUND($T$24*E424*G424*I424*K424*M424*O424*Q424*S424,0))</f>
        <v>0</v>
      </c>
      <c r="U424" s="802">
        <f t="shared" si="20"/>
        <v>0</v>
      </c>
    </row>
    <row r="425" spans="3:21">
      <c r="C425" s="967"/>
      <c r="D425" s="137"/>
      <c r="E425" s="53">
        <f>IF(D425="",1,(LOOKUP(D425,$3:$3,$4:$4)-LOOKUP($D$24,$3:$3,$4:$4)+100)/100)</f>
        <v>1</v>
      </c>
      <c r="F425" s="965"/>
      <c r="G425" s="53">
        <f>(SUMIF($5:$5,F425,$6:$6)-SUMIF($5:$5,$F$24,$6:$6)+100)/100</f>
        <v>0.01</v>
      </c>
      <c r="H425" s="965"/>
      <c r="I425" s="53">
        <f>(SUMIF($7:$7,H425,$8:$8)-SUMIF($7:$7,$H$24,$8:$8)+100)/100</f>
        <v>0.04</v>
      </c>
      <c r="J425" s="965"/>
      <c r="K425" s="53">
        <f>(SUMIF($9:$9,J425,$10:$10)-SUMIF($9:$9,$J$24,$10:$10)+100)/100</f>
        <v>0.04</v>
      </c>
      <c r="L425" s="965"/>
      <c r="M425" s="53">
        <f>(SUMIF($11:$11,L425,$12:$12)-SUMIF($11:$11,$L$24,$12:$12)+100)/100</f>
        <v>1</v>
      </c>
      <c r="N425" s="965"/>
      <c r="O425" s="53">
        <f>(SUMIF($13:$13,N425,$14:$14)-SUMIF($13:$13,$N$24,$14:$14)+100)/100</f>
        <v>1</v>
      </c>
      <c r="P425" s="965"/>
      <c r="Q425" s="53">
        <f>(SUMIF($15:$15,P425,$16:$16)-SUMIF($15:$15,$P$24,$16:$16)+100)/100</f>
        <v>1</v>
      </c>
      <c r="R425" s="965"/>
      <c r="S425" s="53">
        <f>(SUMIF($17:$17,R425,$18:$18)-SUMIF($17:$17,$R$24,$18:$18)+100)/100</f>
        <v>1</v>
      </c>
      <c r="T425" s="493">
        <f>IF(D425="",0,ROUND($T$24*E425*G425*I425*K425*M425*O425*Q425*S425,0))</f>
        <v>0</v>
      </c>
      <c r="U425" s="802">
        <f t="shared" si="20"/>
        <v>0</v>
      </c>
    </row>
    <row r="426" spans="3:21">
      <c r="C426" s="967"/>
      <c r="D426" s="137"/>
      <c r="E426" s="53">
        <f>IF(D426="",1,(LOOKUP(D426,$3:$3,$4:$4)-LOOKUP($D$24,$3:$3,$4:$4)+100)/100)</f>
        <v>1</v>
      </c>
      <c r="F426" s="965"/>
      <c r="G426" s="53">
        <f>(SUMIF($5:$5,F426,$6:$6)-SUMIF($5:$5,$F$24,$6:$6)+100)/100</f>
        <v>0.01</v>
      </c>
      <c r="H426" s="965"/>
      <c r="I426" s="53">
        <f>(SUMIF($7:$7,H426,$8:$8)-SUMIF($7:$7,$H$24,$8:$8)+100)/100</f>
        <v>0.04</v>
      </c>
      <c r="J426" s="965"/>
      <c r="K426" s="53">
        <f>(SUMIF($9:$9,J426,$10:$10)-SUMIF($9:$9,$J$24,$10:$10)+100)/100</f>
        <v>0.04</v>
      </c>
      <c r="L426" s="965"/>
      <c r="M426" s="53">
        <f>(SUMIF($11:$11,L426,$12:$12)-SUMIF($11:$11,$L$24,$12:$12)+100)/100</f>
        <v>1</v>
      </c>
      <c r="N426" s="965"/>
      <c r="O426" s="53">
        <f>(SUMIF($13:$13,N426,$14:$14)-SUMIF($13:$13,$N$24,$14:$14)+100)/100</f>
        <v>1</v>
      </c>
      <c r="P426" s="965"/>
      <c r="Q426" s="53">
        <f>(SUMIF($15:$15,P426,$16:$16)-SUMIF($15:$15,$P$24,$16:$16)+100)/100</f>
        <v>1</v>
      </c>
      <c r="R426" s="965"/>
      <c r="S426" s="53">
        <f>(SUMIF($17:$17,R426,$18:$18)-SUMIF($17:$17,$R$24,$18:$18)+100)/100</f>
        <v>1</v>
      </c>
      <c r="T426" s="493">
        <f>IF(D426="",0,ROUND($T$24*E426*G426*I426*K426*M426*O426*Q426*S426,0))</f>
        <v>0</v>
      </c>
      <c r="U426" s="802">
        <f t="shared" si="20"/>
        <v>0</v>
      </c>
    </row>
    <row r="427" spans="3:21">
      <c r="C427" s="967"/>
      <c r="D427" s="137"/>
      <c r="E427" s="53">
        <f>IF(D427="",1,(LOOKUP(D427,$3:$3,$4:$4)-LOOKUP($D$24,$3:$3,$4:$4)+100)/100)</f>
        <v>1</v>
      </c>
      <c r="F427" s="965"/>
      <c r="G427" s="53">
        <f>(SUMIF($5:$5,F427,$6:$6)-SUMIF($5:$5,$F$24,$6:$6)+100)/100</f>
        <v>0.01</v>
      </c>
      <c r="H427" s="965"/>
      <c r="I427" s="53">
        <f>(SUMIF($7:$7,H427,$8:$8)-SUMIF($7:$7,$H$24,$8:$8)+100)/100</f>
        <v>0.04</v>
      </c>
      <c r="J427" s="965"/>
      <c r="K427" s="53">
        <f>(SUMIF($9:$9,J427,$10:$10)-SUMIF($9:$9,$J$24,$10:$10)+100)/100</f>
        <v>0.04</v>
      </c>
      <c r="L427" s="965"/>
      <c r="M427" s="53">
        <f>(SUMIF($11:$11,L427,$12:$12)-SUMIF($11:$11,$L$24,$12:$12)+100)/100</f>
        <v>1</v>
      </c>
      <c r="N427" s="965"/>
      <c r="O427" s="53">
        <f>(SUMIF($13:$13,N427,$14:$14)-SUMIF($13:$13,$N$24,$14:$14)+100)/100</f>
        <v>1</v>
      </c>
      <c r="P427" s="965"/>
      <c r="Q427" s="53">
        <f>(SUMIF($15:$15,P427,$16:$16)-SUMIF($15:$15,$P$24,$16:$16)+100)/100</f>
        <v>1</v>
      </c>
      <c r="R427" s="965"/>
      <c r="S427" s="53">
        <f>(SUMIF($17:$17,R427,$18:$18)-SUMIF($17:$17,$R$24,$18:$18)+100)/100</f>
        <v>1</v>
      </c>
      <c r="T427" s="493">
        <f>IF(D427="",0,ROUND($T$24*E427*G427*I427*K427*M427*O427*Q427*S427,0))</f>
        <v>0</v>
      </c>
      <c r="U427" s="802">
        <f t="shared" si="20"/>
        <v>0</v>
      </c>
    </row>
    <row r="428" spans="3:21">
      <c r="C428" s="967"/>
      <c r="D428" s="137"/>
      <c r="E428" s="53">
        <f>IF(D428="",1,(LOOKUP(D428,$3:$3,$4:$4)-LOOKUP($D$24,$3:$3,$4:$4)+100)/100)</f>
        <v>1</v>
      </c>
      <c r="F428" s="965"/>
      <c r="G428" s="53">
        <f>(SUMIF($5:$5,F428,$6:$6)-SUMIF($5:$5,$F$24,$6:$6)+100)/100</f>
        <v>0.01</v>
      </c>
      <c r="H428" s="965"/>
      <c r="I428" s="53">
        <f>(SUMIF($7:$7,H428,$8:$8)-SUMIF($7:$7,$H$24,$8:$8)+100)/100</f>
        <v>0.04</v>
      </c>
      <c r="J428" s="965"/>
      <c r="K428" s="53">
        <f>(SUMIF($9:$9,J428,$10:$10)-SUMIF($9:$9,$J$24,$10:$10)+100)/100</f>
        <v>0.04</v>
      </c>
      <c r="L428" s="965"/>
      <c r="M428" s="53">
        <f>(SUMIF($11:$11,L428,$12:$12)-SUMIF($11:$11,$L$24,$12:$12)+100)/100</f>
        <v>1</v>
      </c>
      <c r="N428" s="965"/>
      <c r="O428" s="53">
        <f>(SUMIF($13:$13,N428,$14:$14)-SUMIF($13:$13,$N$24,$14:$14)+100)/100</f>
        <v>1</v>
      </c>
      <c r="P428" s="965"/>
      <c r="Q428" s="53">
        <f>(SUMIF($15:$15,P428,$16:$16)-SUMIF($15:$15,$P$24,$16:$16)+100)/100</f>
        <v>1</v>
      </c>
      <c r="R428" s="965"/>
      <c r="S428" s="53">
        <f>(SUMIF($17:$17,R428,$18:$18)-SUMIF($17:$17,$R$24,$18:$18)+100)/100</f>
        <v>1</v>
      </c>
      <c r="T428" s="493">
        <f>IF(D428="",0,ROUND($T$24*E428*G428*I428*K428*M428*O428*Q428*S428,0))</f>
        <v>0</v>
      </c>
      <c r="U428" s="802">
        <f t="shared" si="20"/>
        <v>0</v>
      </c>
    </row>
    <row r="429" spans="3:21">
      <c r="C429" s="967"/>
      <c r="D429" s="137"/>
      <c r="E429" s="53">
        <f>IF(D429="",1,(LOOKUP(D429,$3:$3,$4:$4)-LOOKUP($D$24,$3:$3,$4:$4)+100)/100)</f>
        <v>1</v>
      </c>
      <c r="F429" s="965"/>
      <c r="G429" s="53">
        <f>(SUMIF($5:$5,F429,$6:$6)-SUMIF($5:$5,$F$24,$6:$6)+100)/100</f>
        <v>0.01</v>
      </c>
      <c r="H429" s="965"/>
      <c r="I429" s="53">
        <f>(SUMIF($7:$7,H429,$8:$8)-SUMIF($7:$7,$H$24,$8:$8)+100)/100</f>
        <v>0.04</v>
      </c>
      <c r="J429" s="965"/>
      <c r="K429" s="53">
        <f>(SUMIF($9:$9,J429,$10:$10)-SUMIF($9:$9,$J$24,$10:$10)+100)/100</f>
        <v>0.04</v>
      </c>
      <c r="L429" s="965"/>
      <c r="M429" s="53">
        <f>(SUMIF($11:$11,L429,$12:$12)-SUMIF($11:$11,$L$24,$12:$12)+100)/100</f>
        <v>1</v>
      </c>
      <c r="N429" s="965"/>
      <c r="O429" s="53">
        <f>(SUMIF($13:$13,N429,$14:$14)-SUMIF($13:$13,$N$24,$14:$14)+100)/100</f>
        <v>1</v>
      </c>
      <c r="P429" s="965"/>
      <c r="Q429" s="53">
        <f>(SUMIF($15:$15,P429,$16:$16)-SUMIF($15:$15,$P$24,$16:$16)+100)/100</f>
        <v>1</v>
      </c>
      <c r="R429" s="965"/>
      <c r="S429" s="53">
        <f>(SUMIF($17:$17,R429,$18:$18)-SUMIF($17:$17,$R$24,$18:$18)+100)/100</f>
        <v>1</v>
      </c>
      <c r="T429" s="493">
        <f>IF(D429="",0,ROUND($T$24*E429*G429*I429*K429*M429*O429*Q429*S429,0))</f>
        <v>0</v>
      </c>
      <c r="U429" s="802">
        <f t="shared" si="20"/>
        <v>0</v>
      </c>
    </row>
    <row r="430" spans="3:21">
      <c r="C430" s="967"/>
      <c r="D430" s="137"/>
      <c r="E430" s="53">
        <f>IF(D430="",1,(LOOKUP(D430,$3:$3,$4:$4)-LOOKUP($D$24,$3:$3,$4:$4)+100)/100)</f>
        <v>1</v>
      </c>
      <c r="F430" s="965"/>
      <c r="G430" s="53">
        <f>(SUMIF($5:$5,F430,$6:$6)-SUMIF($5:$5,$F$24,$6:$6)+100)/100</f>
        <v>0.01</v>
      </c>
      <c r="H430" s="965"/>
      <c r="I430" s="53">
        <f>(SUMIF($7:$7,H430,$8:$8)-SUMIF($7:$7,$H$24,$8:$8)+100)/100</f>
        <v>0.04</v>
      </c>
      <c r="J430" s="965"/>
      <c r="K430" s="53">
        <f>(SUMIF($9:$9,J430,$10:$10)-SUMIF($9:$9,$J$24,$10:$10)+100)/100</f>
        <v>0.04</v>
      </c>
      <c r="L430" s="965"/>
      <c r="M430" s="53">
        <f>(SUMIF($11:$11,L430,$12:$12)-SUMIF($11:$11,$L$24,$12:$12)+100)/100</f>
        <v>1</v>
      </c>
      <c r="N430" s="965"/>
      <c r="O430" s="53">
        <f>(SUMIF($13:$13,N430,$14:$14)-SUMIF($13:$13,$N$24,$14:$14)+100)/100</f>
        <v>1</v>
      </c>
      <c r="P430" s="965"/>
      <c r="Q430" s="53">
        <f>(SUMIF($15:$15,P430,$16:$16)-SUMIF($15:$15,$P$24,$16:$16)+100)/100</f>
        <v>1</v>
      </c>
      <c r="R430" s="965"/>
      <c r="S430" s="53">
        <f>(SUMIF($17:$17,R430,$18:$18)-SUMIF($17:$17,$R$24,$18:$18)+100)/100</f>
        <v>1</v>
      </c>
      <c r="T430" s="493">
        <f>IF(D430="",0,ROUND($T$24*E430*G430*I430*K430*M430*O430*Q430*S430,0))</f>
        <v>0</v>
      </c>
      <c r="U430" s="802">
        <f t="shared" si="20"/>
        <v>0</v>
      </c>
    </row>
    <row r="431" spans="3:21">
      <c r="C431" s="967"/>
      <c r="D431" s="137"/>
      <c r="E431" s="53">
        <f>IF(D431="",1,(LOOKUP(D431,$3:$3,$4:$4)-LOOKUP($D$24,$3:$3,$4:$4)+100)/100)</f>
        <v>1</v>
      </c>
      <c r="F431" s="965"/>
      <c r="G431" s="53">
        <f>(SUMIF($5:$5,F431,$6:$6)-SUMIF($5:$5,$F$24,$6:$6)+100)/100</f>
        <v>0.01</v>
      </c>
      <c r="H431" s="965"/>
      <c r="I431" s="53">
        <f>(SUMIF($7:$7,H431,$8:$8)-SUMIF($7:$7,$H$24,$8:$8)+100)/100</f>
        <v>0.04</v>
      </c>
      <c r="J431" s="965"/>
      <c r="K431" s="53">
        <f>(SUMIF($9:$9,J431,$10:$10)-SUMIF($9:$9,$J$24,$10:$10)+100)/100</f>
        <v>0.04</v>
      </c>
      <c r="L431" s="965"/>
      <c r="M431" s="53">
        <f>(SUMIF($11:$11,L431,$12:$12)-SUMIF($11:$11,$L$24,$12:$12)+100)/100</f>
        <v>1</v>
      </c>
      <c r="N431" s="965"/>
      <c r="O431" s="53">
        <f>(SUMIF($13:$13,N431,$14:$14)-SUMIF($13:$13,$N$24,$14:$14)+100)/100</f>
        <v>1</v>
      </c>
      <c r="P431" s="965"/>
      <c r="Q431" s="53">
        <f>(SUMIF($15:$15,P431,$16:$16)-SUMIF($15:$15,$P$24,$16:$16)+100)/100</f>
        <v>1</v>
      </c>
      <c r="R431" s="965"/>
      <c r="S431" s="53">
        <f>(SUMIF($17:$17,R431,$18:$18)-SUMIF($17:$17,$R$24,$18:$18)+100)/100</f>
        <v>1</v>
      </c>
      <c r="T431" s="493">
        <f>IF(D431="",0,ROUND($T$24*E431*G431*I431*K431*M431*O431*Q431*S431,0))</f>
        <v>0</v>
      </c>
      <c r="U431" s="802">
        <f t="shared" si="20"/>
        <v>0</v>
      </c>
    </row>
    <row r="432" spans="3:21">
      <c r="C432" s="967"/>
      <c r="D432" s="137"/>
      <c r="E432" s="53">
        <f>IF(D432="",1,(LOOKUP(D432,$3:$3,$4:$4)-LOOKUP($D$24,$3:$3,$4:$4)+100)/100)</f>
        <v>1</v>
      </c>
      <c r="F432" s="965"/>
      <c r="G432" s="53">
        <f>(SUMIF($5:$5,F432,$6:$6)-SUMIF($5:$5,$F$24,$6:$6)+100)/100</f>
        <v>0.01</v>
      </c>
      <c r="H432" s="965"/>
      <c r="I432" s="53">
        <f>(SUMIF($7:$7,H432,$8:$8)-SUMIF($7:$7,$H$24,$8:$8)+100)/100</f>
        <v>0.04</v>
      </c>
      <c r="J432" s="965"/>
      <c r="K432" s="53">
        <f>(SUMIF($9:$9,J432,$10:$10)-SUMIF($9:$9,$J$24,$10:$10)+100)/100</f>
        <v>0.04</v>
      </c>
      <c r="L432" s="965"/>
      <c r="M432" s="53">
        <f>(SUMIF($11:$11,L432,$12:$12)-SUMIF($11:$11,$L$24,$12:$12)+100)/100</f>
        <v>1</v>
      </c>
      <c r="N432" s="965"/>
      <c r="O432" s="53">
        <f>(SUMIF($13:$13,N432,$14:$14)-SUMIF($13:$13,$N$24,$14:$14)+100)/100</f>
        <v>1</v>
      </c>
      <c r="P432" s="965"/>
      <c r="Q432" s="53">
        <f>(SUMIF($15:$15,P432,$16:$16)-SUMIF($15:$15,$P$24,$16:$16)+100)/100</f>
        <v>1</v>
      </c>
      <c r="R432" s="965"/>
      <c r="S432" s="53">
        <f>(SUMIF($17:$17,R432,$18:$18)-SUMIF($17:$17,$R$24,$18:$18)+100)/100</f>
        <v>1</v>
      </c>
      <c r="T432" s="493">
        <f>IF(D432="",0,ROUND($T$24*E432*G432*I432*K432*M432*O432*Q432*S432,0))</f>
        <v>0</v>
      </c>
      <c r="U432" s="802">
        <f t="shared" si="20"/>
        <v>0</v>
      </c>
    </row>
    <row r="433" spans="3:21">
      <c r="C433" s="967"/>
      <c r="D433" s="137"/>
      <c r="E433" s="53">
        <f>IF(D433="",1,(LOOKUP(D433,$3:$3,$4:$4)-LOOKUP($D$24,$3:$3,$4:$4)+100)/100)</f>
        <v>1</v>
      </c>
      <c r="F433" s="965"/>
      <c r="G433" s="53">
        <f>(SUMIF($5:$5,F433,$6:$6)-SUMIF($5:$5,$F$24,$6:$6)+100)/100</f>
        <v>0.01</v>
      </c>
      <c r="H433" s="965"/>
      <c r="I433" s="53">
        <f>(SUMIF($7:$7,H433,$8:$8)-SUMIF($7:$7,$H$24,$8:$8)+100)/100</f>
        <v>0.04</v>
      </c>
      <c r="J433" s="965"/>
      <c r="K433" s="53">
        <f>(SUMIF($9:$9,J433,$10:$10)-SUMIF($9:$9,$J$24,$10:$10)+100)/100</f>
        <v>0.04</v>
      </c>
      <c r="L433" s="965"/>
      <c r="M433" s="53">
        <f>(SUMIF($11:$11,L433,$12:$12)-SUMIF($11:$11,$L$24,$12:$12)+100)/100</f>
        <v>1</v>
      </c>
      <c r="N433" s="965"/>
      <c r="O433" s="53">
        <f>(SUMIF($13:$13,N433,$14:$14)-SUMIF($13:$13,$N$24,$14:$14)+100)/100</f>
        <v>1</v>
      </c>
      <c r="P433" s="965"/>
      <c r="Q433" s="53">
        <f>(SUMIF($15:$15,P433,$16:$16)-SUMIF($15:$15,$P$24,$16:$16)+100)/100</f>
        <v>1</v>
      </c>
      <c r="R433" s="965"/>
      <c r="S433" s="53">
        <f>(SUMIF($17:$17,R433,$18:$18)-SUMIF($17:$17,$R$24,$18:$18)+100)/100</f>
        <v>1</v>
      </c>
      <c r="T433" s="493">
        <f>IF(D433="",0,ROUND($T$24*E433*G433*I433*K433*M433*O433*Q433*S433,0))</f>
        <v>0</v>
      </c>
      <c r="U433" s="802">
        <f t="shared" si="20"/>
        <v>0</v>
      </c>
    </row>
    <row r="434" spans="3:21">
      <c r="C434" s="967"/>
      <c r="D434" s="137"/>
      <c r="E434" s="53">
        <f>IF(D434="",1,(LOOKUP(D434,$3:$3,$4:$4)-LOOKUP($D$24,$3:$3,$4:$4)+100)/100)</f>
        <v>1</v>
      </c>
      <c r="F434" s="965"/>
      <c r="G434" s="53">
        <f>(SUMIF($5:$5,F434,$6:$6)-SUMIF($5:$5,$F$24,$6:$6)+100)/100</f>
        <v>0.01</v>
      </c>
      <c r="H434" s="965"/>
      <c r="I434" s="53">
        <f>(SUMIF($7:$7,H434,$8:$8)-SUMIF($7:$7,$H$24,$8:$8)+100)/100</f>
        <v>0.04</v>
      </c>
      <c r="J434" s="965"/>
      <c r="K434" s="53">
        <f>(SUMIF($9:$9,J434,$10:$10)-SUMIF($9:$9,$J$24,$10:$10)+100)/100</f>
        <v>0.04</v>
      </c>
      <c r="L434" s="965"/>
      <c r="M434" s="53">
        <f>(SUMIF($11:$11,L434,$12:$12)-SUMIF($11:$11,$L$24,$12:$12)+100)/100</f>
        <v>1</v>
      </c>
      <c r="N434" s="965"/>
      <c r="O434" s="53">
        <f>(SUMIF($13:$13,N434,$14:$14)-SUMIF($13:$13,$N$24,$14:$14)+100)/100</f>
        <v>1</v>
      </c>
      <c r="P434" s="965"/>
      <c r="Q434" s="53">
        <f>(SUMIF($15:$15,P434,$16:$16)-SUMIF($15:$15,$P$24,$16:$16)+100)/100</f>
        <v>1</v>
      </c>
      <c r="R434" s="965"/>
      <c r="S434" s="53">
        <f>(SUMIF($17:$17,R434,$18:$18)-SUMIF($17:$17,$R$24,$18:$18)+100)/100</f>
        <v>1</v>
      </c>
      <c r="T434" s="493">
        <f>IF(D434="",0,ROUND($T$24*E434*G434*I434*K434*M434*O434*Q434*S434,0))</f>
        <v>0</v>
      </c>
      <c r="U434" s="802">
        <f t="shared" si="20"/>
        <v>0</v>
      </c>
    </row>
    <row r="435" spans="3:21">
      <c r="C435" s="967"/>
      <c r="D435" s="137"/>
      <c r="E435" s="53">
        <f>IF(D435="",1,(LOOKUP(D435,$3:$3,$4:$4)-LOOKUP($D$24,$3:$3,$4:$4)+100)/100)</f>
        <v>1</v>
      </c>
      <c r="F435" s="965"/>
      <c r="G435" s="53">
        <f>(SUMIF($5:$5,F435,$6:$6)-SUMIF($5:$5,$F$24,$6:$6)+100)/100</f>
        <v>0.01</v>
      </c>
      <c r="H435" s="965"/>
      <c r="I435" s="53">
        <f>(SUMIF($7:$7,H435,$8:$8)-SUMIF($7:$7,$H$24,$8:$8)+100)/100</f>
        <v>0.04</v>
      </c>
      <c r="J435" s="965"/>
      <c r="K435" s="53">
        <f>(SUMIF($9:$9,J435,$10:$10)-SUMIF($9:$9,$J$24,$10:$10)+100)/100</f>
        <v>0.04</v>
      </c>
      <c r="L435" s="965"/>
      <c r="M435" s="53">
        <f>(SUMIF($11:$11,L435,$12:$12)-SUMIF($11:$11,$L$24,$12:$12)+100)/100</f>
        <v>1</v>
      </c>
      <c r="N435" s="965"/>
      <c r="O435" s="53">
        <f>(SUMIF($13:$13,N435,$14:$14)-SUMIF($13:$13,$N$24,$14:$14)+100)/100</f>
        <v>1</v>
      </c>
      <c r="P435" s="965"/>
      <c r="Q435" s="53">
        <f>(SUMIF($15:$15,P435,$16:$16)-SUMIF($15:$15,$P$24,$16:$16)+100)/100</f>
        <v>1</v>
      </c>
      <c r="R435" s="965"/>
      <c r="S435" s="53">
        <f>(SUMIF($17:$17,R435,$18:$18)-SUMIF($17:$17,$R$24,$18:$18)+100)/100</f>
        <v>1</v>
      </c>
      <c r="T435" s="493">
        <f>IF(D435="",0,ROUND($T$24*E435*G435*I435*K435*M435*O435*Q435*S435,0))</f>
        <v>0</v>
      </c>
      <c r="U435" s="802">
        <f t="shared" si="20"/>
        <v>0</v>
      </c>
    </row>
    <row r="436" spans="3:21">
      <c r="C436" s="967"/>
      <c r="D436" s="137"/>
      <c r="E436" s="53">
        <f>IF(D436="",1,(LOOKUP(D436,$3:$3,$4:$4)-LOOKUP($D$24,$3:$3,$4:$4)+100)/100)</f>
        <v>1</v>
      </c>
      <c r="F436" s="965"/>
      <c r="G436" s="53">
        <f>(SUMIF($5:$5,F436,$6:$6)-SUMIF($5:$5,$F$24,$6:$6)+100)/100</f>
        <v>0.01</v>
      </c>
      <c r="H436" s="965"/>
      <c r="I436" s="53">
        <f>(SUMIF($7:$7,H436,$8:$8)-SUMIF($7:$7,$H$24,$8:$8)+100)/100</f>
        <v>0.04</v>
      </c>
      <c r="J436" s="965"/>
      <c r="K436" s="53">
        <f>(SUMIF($9:$9,J436,$10:$10)-SUMIF($9:$9,$J$24,$10:$10)+100)/100</f>
        <v>0.04</v>
      </c>
      <c r="L436" s="965"/>
      <c r="M436" s="53">
        <f>(SUMIF($11:$11,L436,$12:$12)-SUMIF($11:$11,$L$24,$12:$12)+100)/100</f>
        <v>1</v>
      </c>
      <c r="N436" s="965"/>
      <c r="O436" s="53">
        <f>(SUMIF($13:$13,N436,$14:$14)-SUMIF($13:$13,$N$24,$14:$14)+100)/100</f>
        <v>1</v>
      </c>
      <c r="P436" s="965"/>
      <c r="Q436" s="53">
        <f>(SUMIF($15:$15,P436,$16:$16)-SUMIF($15:$15,$P$24,$16:$16)+100)/100</f>
        <v>1</v>
      </c>
      <c r="R436" s="965"/>
      <c r="S436" s="53">
        <f>(SUMIF($17:$17,R436,$18:$18)-SUMIF($17:$17,$R$24,$18:$18)+100)/100</f>
        <v>1</v>
      </c>
      <c r="T436" s="493">
        <f>IF(D436="",0,ROUND($T$24*E436*G436*I436*K436*M436*O436*Q436*S436,0))</f>
        <v>0</v>
      </c>
      <c r="U436" s="802">
        <f t="shared" si="20"/>
        <v>0</v>
      </c>
    </row>
    <row r="437" spans="3:21">
      <c r="C437" s="967"/>
      <c r="D437" s="137"/>
      <c r="E437" s="53">
        <f>IF(D437="",1,(LOOKUP(D437,$3:$3,$4:$4)-LOOKUP($D$24,$3:$3,$4:$4)+100)/100)</f>
        <v>1</v>
      </c>
      <c r="F437" s="965"/>
      <c r="G437" s="53">
        <f>(SUMIF($5:$5,F437,$6:$6)-SUMIF($5:$5,$F$24,$6:$6)+100)/100</f>
        <v>0.01</v>
      </c>
      <c r="H437" s="965"/>
      <c r="I437" s="53">
        <f>(SUMIF($7:$7,H437,$8:$8)-SUMIF($7:$7,$H$24,$8:$8)+100)/100</f>
        <v>0.04</v>
      </c>
      <c r="J437" s="965"/>
      <c r="K437" s="53">
        <f>(SUMIF($9:$9,J437,$10:$10)-SUMIF($9:$9,$J$24,$10:$10)+100)/100</f>
        <v>0.04</v>
      </c>
      <c r="L437" s="965"/>
      <c r="M437" s="53">
        <f>(SUMIF($11:$11,L437,$12:$12)-SUMIF($11:$11,$L$24,$12:$12)+100)/100</f>
        <v>1</v>
      </c>
      <c r="N437" s="965"/>
      <c r="O437" s="53">
        <f>(SUMIF($13:$13,N437,$14:$14)-SUMIF($13:$13,$N$24,$14:$14)+100)/100</f>
        <v>1</v>
      </c>
      <c r="P437" s="965"/>
      <c r="Q437" s="53">
        <f>(SUMIF($15:$15,P437,$16:$16)-SUMIF($15:$15,$P$24,$16:$16)+100)/100</f>
        <v>1</v>
      </c>
      <c r="R437" s="965"/>
      <c r="S437" s="53">
        <f>(SUMIF($17:$17,R437,$18:$18)-SUMIF($17:$17,$R$24,$18:$18)+100)/100</f>
        <v>1</v>
      </c>
      <c r="T437" s="493">
        <f>IF(D437="",0,ROUND($T$24*E437*G437*I437*K437*M437*O437*Q437*S437,0))</f>
        <v>0</v>
      </c>
      <c r="U437" s="802">
        <f t="shared" si="20"/>
        <v>0</v>
      </c>
    </row>
    <row r="438" spans="3:21">
      <c r="C438" s="967"/>
      <c r="D438" s="137"/>
      <c r="E438" s="53">
        <f>IF(D438="",1,(LOOKUP(D438,$3:$3,$4:$4)-LOOKUP($D$24,$3:$3,$4:$4)+100)/100)</f>
        <v>1</v>
      </c>
      <c r="F438" s="965"/>
      <c r="G438" s="53">
        <f>(SUMIF($5:$5,F438,$6:$6)-SUMIF($5:$5,$F$24,$6:$6)+100)/100</f>
        <v>0.01</v>
      </c>
      <c r="H438" s="965"/>
      <c r="I438" s="53">
        <f>(SUMIF($7:$7,H438,$8:$8)-SUMIF($7:$7,$H$24,$8:$8)+100)/100</f>
        <v>0.04</v>
      </c>
      <c r="J438" s="965"/>
      <c r="K438" s="53">
        <f>(SUMIF($9:$9,J438,$10:$10)-SUMIF($9:$9,$J$24,$10:$10)+100)/100</f>
        <v>0.04</v>
      </c>
      <c r="L438" s="965"/>
      <c r="M438" s="53">
        <f>(SUMIF($11:$11,L438,$12:$12)-SUMIF($11:$11,$L$24,$12:$12)+100)/100</f>
        <v>1</v>
      </c>
      <c r="N438" s="965"/>
      <c r="O438" s="53">
        <f>(SUMIF($13:$13,N438,$14:$14)-SUMIF($13:$13,$N$24,$14:$14)+100)/100</f>
        <v>1</v>
      </c>
      <c r="P438" s="965"/>
      <c r="Q438" s="53">
        <f>(SUMIF($15:$15,P438,$16:$16)-SUMIF($15:$15,$P$24,$16:$16)+100)/100</f>
        <v>1</v>
      </c>
      <c r="R438" s="965"/>
      <c r="S438" s="53">
        <f>(SUMIF($17:$17,R438,$18:$18)-SUMIF($17:$17,$R$24,$18:$18)+100)/100</f>
        <v>1</v>
      </c>
      <c r="T438" s="493">
        <f>IF(D438="",0,ROUND($T$24*E438*G438*I438*K438*M438*O438*Q438*S438,0))</f>
        <v>0</v>
      </c>
      <c r="U438" s="802">
        <f t="shared" si="20"/>
        <v>0</v>
      </c>
    </row>
    <row r="439" spans="3:21">
      <c r="C439" s="967"/>
      <c r="D439" s="137"/>
      <c r="E439" s="53">
        <f>IF(D439="",1,(LOOKUP(D439,$3:$3,$4:$4)-LOOKUP($D$24,$3:$3,$4:$4)+100)/100)</f>
        <v>1</v>
      </c>
      <c r="F439" s="965"/>
      <c r="G439" s="53">
        <f>(SUMIF($5:$5,F439,$6:$6)-SUMIF($5:$5,$F$24,$6:$6)+100)/100</f>
        <v>0.01</v>
      </c>
      <c r="H439" s="965"/>
      <c r="I439" s="53">
        <f>(SUMIF($7:$7,H439,$8:$8)-SUMIF($7:$7,$H$24,$8:$8)+100)/100</f>
        <v>0.04</v>
      </c>
      <c r="J439" s="965"/>
      <c r="K439" s="53">
        <f>(SUMIF($9:$9,J439,$10:$10)-SUMIF($9:$9,$J$24,$10:$10)+100)/100</f>
        <v>0.04</v>
      </c>
      <c r="L439" s="965"/>
      <c r="M439" s="53">
        <f>(SUMIF($11:$11,L439,$12:$12)-SUMIF($11:$11,$L$24,$12:$12)+100)/100</f>
        <v>1</v>
      </c>
      <c r="N439" s="965"/>
      <c r="O439" s="53">
        <f>(SUMIF($13:$13,N439,$14:$14)-SUMIF($13:$13,$N$24,$14:$14)+100)/100</f>
        <v>1</v>
      </c>
      <c r="P439" s="965"/>
      <c r="Q439" s="53">
        <f>(SUMIF($15:$15,P439,$16:$16)-SUMIF($15:$15,$P$24,$16:$16)+100)/100</f>
        <v>1</v>
      </c>
      <c r="R439" s="965"/>
      <c r="S439" s="53">
        <f>(SUMIF($17:$17,R439,$18:$18)-SUMIF($17:$17,$R$24,$18:$18)+100)/100</f>
        <v>1</v>
      </c>
      <c r="T439" s="493">
        <f>IF(D439="",0,ROUND($T$24*E439*G439*I439*K439*M439*O439*Q439*S439,0))</f>
        <v>0</v>
      </c>
      <c r="U439" s="802">
        <f t="shared" si="20"/>
        <v>0</v>
      </c>
    </row>
    <row r="440" spans="3:21">
      <c r="C440" s="967"/>
      <c r="D440" s="137"/>
      <c r="E440" s="53">
        <f>IF(D440="",1,(LOOKUP(D440,$3:$3,$4:$4)-LOOKUP($D$24,$3:$3,$4:$4)+100)/100)</f>
        <v>1</v>
      </c>
      <c r="F440" s="965"/>
      <c r="G440" s="53">
        <f>(SUMIF($5:$5,F440,$6:$6)-SUMIF($5:$5,$F$24,$6:$6)+100)/100</f>
        <v>0.01</v>
      </c>
      <c r="H440" s="965"/>
      <c r="I440" s="53">
        <f>(SUMIF($7:$7,H440,$8:$8)-SUMIF($7:$7,$H$24,$8:$8)+100)/100</f>
        <v>0.04</v>
      </c>
      <c r="J440" s="965"/>
      <c r="K440" s="53">
        <f>(SUMIF($9:$9,J440,$10:$10)-SUMIF($9:$9,$J$24,$10:$10)+100)/100</f>
        <v>0.04</v>
      </c>
      <c r="L440" s="965"/>
      <c r="M440" s="53">
        <f>(SUMIF($11:$11,L440,$12:$12)-SUMIF($11:$11,$L$24,$12:$12)+100)/100</f>
        <v>1</v>
      </c>
      <c r="N440" s="965"/>
      <c r="O440" s="53">
        <f>(SUMIF($13:$13,N440,$14:$14)-SUMIF($13:$13,$N$24,$14:$14)+100)/100</f>
        <v>1</v>
      </c>
      <c r="P440" s="965"/>
      <c r="Q440" s="53">
        <f>(SUMIF($15:$15,P440,$16:$16)-SUMIF($15:$15,$P$24,$16:$16)+100)/100</f>
        <v>1</v>
      </c>
      <c r="R440" s="965"/>
      <c r="S440" s="53">
        <f>(SUMIF($17:$17,R440,$18:$18)-SUMIF($17:$17,$R$24,$18:$18)+100)/100</f>
        <v>1</v>
      </c>
      <c r="T440" s="493">
        <f>IF(D440="",0,ROUND($T$24*E440*G440*I440*K440*M440*O440*Q440*S440,0))</f>
        <v>0</v>
      </c>
      <c r="U440" s="802">
        <f t="shared" si="20"/>
        <v>0</v>
      </c>
    </row>
    <row r="441" spans="3:21">
      <c r="C441" s="967"/>
      <c r="D441" s="137"/>
      <c r="E441" s="53">
        <f>IF(D441="",1,(LOOKUP(D441,$3:$3,$4:$4)-LOOKUP($D$24,$3:$3,$4:$4)+100)/100)</f>
        <v>1</v>
      </c>
      <c r="F441" s="965"/>
      <c r="G441" s="53">
        <f>(SUMIF($5:$5,F441,$6:$6)-SUMIF($5:$5,$F$24,$6:$6)+100)/100</f>
        <v>0.01</v>
      </c>
      <c r="H441" s="965"/>
      <c r="I441" s="53">
        <f>(SUMIF($7:$7,H441,$8:$8)-SUMIF($7:$7,$H$24,$8:$8)+100)/100</f>
        <v>0.04</v>
      </c>
      <c r="J441" s="965"/>
      <c r="K441" s="53">
        <f>(SUMIF($9:$9,J441,$10:$10)-SUMIF($9:$9,$J$24,$10:$10)+100)/100</f>
        <v>0.04</v>
      </c>
      <c r="L441" s="965"/>
      <c r="M441" s="53">
        <f>(SUMIF($11:$11,L441,$12:$12)-SUMIF($11:$11,$L$24,$12:$12)+100)/100</f>
        <v>1</v>
      </c>
      <c r="N441" s="965"/>
      <c r="O441" s="53">
        <f>(SUMIF($13:$13,N441,$14:$14)-SUMIF($13:$13,$N$24,$14:$14)+100)/100</f>
        <v>1</v>
      </c>
      <c r="P441" s="965"/>
      <c r="Q441" s="53">
        <f>(SUMIF($15:$15,P441,$16:$16)-SUMIF($15:$15,$P$24,$16:$16)+100)/100</f>
        <v>1</v>
      </c>
      <c r="R441" s="965"/>
      <c r="S441" s="53">
        <f>(SUMIF($17:$17,R441,$18:$18)-SUMIF($17:$17,$R$24,$18:$18)+100)/100</f>
        <v>1</v>
      </c>
      <c r="T441" s="493">
        <f>IF(D441="",0,ROUND($T$24*E441*G441*I441*K441*M441*O441*Q441*S441,0))</f>
        <v>0</v>
      </c>
      <c r="U441" s="802">
        <f t="shared" si="20"/>
        <v>0</v>
      </c>
    </row>
    <row r="442" spans="3:21">
      <c r="C442" s="967"/>
      <c r="D442" s="137"/>
      <c r="E442" s="53">
        <f>IF(D442="",1,(LOOKUP(D442,$3:$3,$4:$4)-LOOKUP($D$24,$3:$3,$4:$4)+100)/100)</f>
        <v>1</v>
      </c>
      <c r="F442" s="965"/>
      <c r="G442" s="53">
        <f>(SUMIF($5:$5,F442,$6:$6)-SUMIF($5:$5,$F$24,$6:$6)+100)/100</f>
        <v>0.01</v>
      </c>
      <c r="H442" s="965"/>
      <c r="I442" s="53">
        <f>(SUMIF($7:$7,H442,$8:$8)-SUMIF($7:$7,$H$24,$8:$8)+100)/100</f>
        <v>0.04</v>
      </c>
      <c r="J442" s="965"/>
      <c r="K442" s="53">
        <f>(SUMIF($9:$9,J442,$10:$10)-SUMIF($9:$9,$J$24,$10:$10)+100)/100</f>
        <v>0.04</v>
      </c>
      <c r="L442" s="965"/>
      <c r="M442" s="53">
        <f>(SUMIF($11:$11,L442,$12:$12)-SUMIF($11:$11,$L$24,$12:$12)+100)/100</f>
        <v>1</v>
      </c>
      <c r="N442" s="965"/>
      <c r="O442" s="53">
        <f>(SUMIF($13:$13,N442,$14:$14)-SUMIF($13:$13,$N$24,$14:$14)+100)/100</f>
        <v>1</v>
      </c>
      <c r="P442" s="965"/>
      <c r="Q442" s="53">
        <f>(SUMIF($15:$15,P442,$16:$16)-SUMIF($15:$15,$P$24,$16:$16)+100)/100</f>
        <v>1</v>
      </c>
      <c r="R442" s="965"/>
      <c r="S442" s="53">
        <f>(SUMIF($17:$17,R442,$18:$18)-SUMIF($17:$17,$R$24,$18:$18)+100)/100</f>
        <v>1</v>
      </c>
      <c r="T442" s="493">
        <f>IF(D442="",0,ROUND($T$24*E442*G442*I442*K442*M442*O442*Q442*S442,0))</f>
        <v>0</v>
      </c>
      <c r="U442" s="802">
        <f t="shared" si="20"/>
        <v>0</v>
      </c>
    </row>
    <row r="443" spans="3:21">
      <c r="C443" s="967"/>
      <c r="D443" s="137"/>
      <c r="E443" s="53">
        <f>IF(D443="",1,(LOOKUP(D443,$3:$3,$4:$4)-LOOKUP($D$24,$3:$3,$4:$4)+100)/100)</f>
        <v>1</v>
      </c>
      <c r="F443" s="965"/>
      <c r="G443" s="53">
        <f>(SUMIF($5:$5,F443,$6:$6)-SUMIF($5:$5,$F$24,$6:$6)+100)/100</f>
        <v>0.01</v>
      </c>
      <c r="H443" s="965"/>
      <c r="I443" s="53">
        <f>(SUMIF($7:$7,H443,$8:$8)-SUMIF($7:$7,$H$24,$8:$8)+100)/100</f>
        <v>0.04</v>
      </c>
      <c r="J443" s="965"/>
      <c r="K443" s="53">
        <f>(SUMIF($9:$9,J443,$10:$10)-SUMIF($9:$9,$J$24,$10:$10)+100)/100</f>
        <v>0.04</v>
      </c>
      <c r="L443" s="965"/>
      <c r="M443" s="53">
        <f>(SUMIF($11:$11,L443,$12:$12)-SUMIF($11:$11,$L$24,$12:$12)+100)/100</f>
        <v>1</v>
      </c>
      <c r="N443" s="965"/>
      <c r="O443" s="53">
        <f>(SUMIF($13:$13,N443,$14:$14)-SUMIF($13:$13,$N$24,$14:$14)+100)/100</f>
        <v>1</v>
      </c>
      <c r="P443" s="965"/>
      <c r="Q443" s="53">
        <f>(SUMIF($15:$15,P443,$16:$16)-SUMIF($15:$15,$P$24,$16:$16)+100)/100</f>
        <v>1</v>
      </c>
      <c r="R443" s="965"/>
      <c r="S443" s="53">
        <f>(SUMIF($17:$17,R443,$18:$18)-SUMIF($17:$17,$R$24,$18:$18)+100)/100</f>
        <v>1</v>
      </c>
      <c r="T443" s="493">
        <f>IF(D443="",0,ROUND($T$24*E443*G443*I443*K443*M443*O443*Q443*S443,0))</f>
        <v>0</v>
      </c>
      <c r="U443" s="802">
        <f t="shared" si="20"/>
        <v>0</v>
      </c>
    </row>
    <row r="444" spans="3:21">
      <c r="C444" s="967"/>
      <c r="D444" s="137"/>
      <c r="E444" s="53">
        <f>IF(D444="",1,(LOOKUP(D444,$3:$3,$4:$4)-LOOKUP($D$24,$3:$3,$4:$4)+100)/100)</f>
        <v>1</v>
      </c>
      <c r="F444" s="965"/>
      <c r="G444" s="53">
        <f>(SUMIF($5:$5,F444,$6:$6)-SUMIF($5:$5,$F$24,$6:$6)+100)/100</f>
        <v>0.01</v>
      </c>
      <c r="H444" s="965"/>
      <c r="I444" s="53">
        <f>(SUMIF($7:$7,H444,$8:$8)-SUMIF($7:$7,$H$24,$8:$8)+100)/100</f>
        <v>0.04</v>
      </c>
      <c r="J444" s="965"/>
      <c r="K444" s="53">
        <f>(SUMIF($9:$9,J444,$10:$10)-SUMIF($9:$9,$J$24,$10:$10)+100)/100</f>
        <v>0.04</v>
      </c>
      <c r="L444" s="965"/>
      <c r="M444" s="53">
        <f>(SUMIF($11:$11,L444,$12:$12)-SUMIF($11:$11,$L$24,$12:$12)+100)/100</f>
        <v>1</v>
      </c>
      <c r="N444" s="965"/>
      <c r="O444" s="53">
        <f>(SUMIF($13:$13,N444,$14:$14)-SUMIF($13:$13,$N$24,$14:$14)+100)/100</f>
        <v>1</v>
      </c>
      <c r="P444" s="965"/>
      <c r="Q444" s="53">
        <f>(SUMIF($15:$15,P444,$16:$16)-SUMIF($15:$15,$P$24,$16:$16)+100)/100</f>
        <v>1</v>
      </c>
      <c r="R444" s="965"/>
      <c r="S444" s="53">
        <f>(SUMIF($17:$17,R444,$18:$18)-SUMIF($17:$17,$R$24,$18:$18)+100)/100</f>
        <v>1</v>
      </c>
      <c r="T444" s="493">
        <f>IF(D444="",0,ROUND($T$24*E444*G444*I444*K444*M444*O444*Q444*S444,0))</f>
        <v>0</v>
      </c>
      <c r="U444" s="802">
        <f t="shared" si="20"/>
        <v>0</v>
      </c>
    </row>
    <row r="445" spans="3:21">
      <c r="C445" s="967"/>
      <c r="D445" s="137"/>
      <c r="E445" s="53">
        <f>IF(D445="",1,(LOOKUP(D445,$3:$3,$4:$4)-LOOKUP($D$24,$3:$3,$4:$4)+100)/100)</f>
        <v>1</v>
      </c>
      <c r="F445" s="965"/>
      <c r="G445" s="53">
        <f>(SUMIF($5:$5,F445,$6:$6)-SUMIF($5:$5,$F$24,$6:$6)+100)/100</f>
        <v>0.01</v>
      </c>
      <c r="H445" s="965"/>
      <c r="I445" s="53">
        <f>(SUMIF($7:$7,H445,$8:$8)-SUMIF($7:$7,$H$24,$8:$8)+100)/100</f>
        <v>0.04</v>
      </c>
      <c r="J445" s="965"/>
      <c r="K445" s="53">
        <f>(SUMIF($9:$9,J445,$10:$10)-SUMIF($9:$9,$J$24,$10:$10)+100)/100</f>
        <v>0.04</v>
      </c>
      <c r="L445" s="965"/>
      <c r="M445" s="53">
        <f>(SUMIF($11:$11,L445,$12:$12)-SUMIF($11:$11,$L$24,$12:$12)+100)/100</f>
        <v>1</v>
      </c>
      <c r="N445" s="965"/>
      <c r="O445" s="53">
        <f>(SUMIF($13:$13,N445,$14:$14)-SUMIF($13:$13,$N$24,$14:$14)+100)/100</f>
        <v>1</v>
      </c>
      <c r="P445" s="965"/>
      <c r="Q445" s="53">
        <f>(SUMIF($15:$15,P445,$16:$16)-SUMIF($15:$15,$P$24,$16:$16)+100)/100</f>
        <v>1</v>
      </c>
      <c r="R445" s="965"/>
      <c r="S445" s="53">
        <f>(SUMIF($17:$17,R445,$18:$18)-SUMIF($17:$17,$R$24,$18:$18)+100)/100</f>
        <v>1</v>
      </c>
      <c r="T445" s="493">
        <f>IF(D445="",0,ROUND($T$24*E445*G445*I445*K445*M445*O445*Q445*S445,0))</f>
        <v>0</v>
      </c>
      <c r="U445" s="802">
        <f t="shared" si="20"/>
        <v>0</v>
      </c>
    </row>
    <row r="446" spans="3:21">
      <c r="C446" s="967"/>
      <c r="D446" s="137"/>
      <c r="E446" s="53">
        <f>IF(D446="",1,(LOOKUP(D446,$3:$3,$4:$4)-LOOKUP($D$24,$3:$3,$4:$4)+100)/100)</f>
        <v>1</v>
      </c>
      <c r="F446" s="965"/>
      <c r="G446" s="53">
        <f>(SUMIF($5:$5,F446,$6:$6)-SUMIF($5:$5,$F$24,$6:$6)+100)/100</f>
        <v>0.01</v>
      </c>
      <c r="H446" s="965"/>
      <c r="I446" s="53">
        <f>(SUMIF($7:$7,H446,$8:$8)-SUMIF($7:$7,$H$24,$8:$8)+100)/100</f>
        <v>0.04</v>
      </c>
      <c r="J446" s="965"/>
      <c r="K446" s="53">
        <f>(SUMIF($9:$9,J446,$10:$10)-SUMIF($9:$9,$J$24,$10:$10)+100)/100</f>
        <v>0.04</v>
      </c>
      <c r="L446" s="965"/>
      <c r="M446" s="53">
        <f>(SUMIF($11:$11,L446,$12:$12)-SUMIF($11:$11,$L$24,$12:$12)+100)/100</f>
        <v>1</v>
      </c>
      <c r="N446" s="965"/>
      <c r="O446" s="53">
        <f>(SUMIF($13:$13,N446,$14:$14)-SUMIF($13:$13,$N$24,$14:$14)+100)/100</f>
        <v>1</v>
      </c>
      <c r="P446" s="965"/>
      <c r="Q446" s="53">
        <f>(SUMIF($15:$15,P446,$16:$16)-SUMIF($15:$15,$P$24,$16:$16)+100)/100</f>
        <v>1</v>
      </c>
      <c r="R446" s="965"/>
      <c r="S446" s="53">
        <f>(SUMIF($17:$17,R446,$18:$18)-SUMIF($17:$17,$R$24,$18:$18)+100)/100</f>
        <v>1</v>
      </c>
      <c r="T446" s="493">
        <f>IF(D446="",0,ROUND($T$24*E446*G446*I446*K446*M446*O446*Q446*S446,0))</f>
        <v>0</v>
      </c>
      <c r="U446" s="802">
        <f t="shared" si="20"/>
        <v>0</v>
      </c>
    </row>
    <row r="447" spans="3:21">
      <c r="C447" s="967"/>
      <c r="D447" s="137"/>
      <c r="E447" s="53">
        <f>IF(D447="",1,(LOOKUP(D447,$3:$3,$4:$4)-LOOKUP($D$24,$3:$3,$4:$4)+100)/100)</f>
        <v>1</v>
      </c>
      <c r="F447" s="965"/>
      <c r="G447" s="53">
        <f>(SUMIF($5:$5,F447,$6:$6)-SUMIF($5:$5,$F$24,$6:$6)+100)/100</f>
        <v>0.01</v>
      </c>
      <c r="H447" s="965"/>
      <c r="I447" s="53">
        <f>(SUMIF($7:$7,H447,$8:$8)-SUMIF($7:$7,$H$24,$8:$8)+100)/100</f>
        <v>0.04</v>
      </c>
      <c r="J447" s="965"/>
      <c r="K447" s="53">
        <f>(SUMIF($9:$9,J447,$10:$10)-SUMIF($9:$9,$J$24,$10:$10)+100)/100</f>
        <v>0.04</v>
      </c>
      <c r="L447" s="965"/>
      <c r="M447" s="53">
        <f>(SUMIF($11:$11,L447,$12:$12)-SUMIF($11:$11,$L$24,$12:$12)+100)/100</f>
        <v>1</v>
      </c>
      <c r="N447" s="965"/>
      <c r="O447" s="53">
        <f>(SUMIF($13:$13,N447,$14:$14)-SUMIF($13:$13,$N$24,$14:$14)+100)/100</f>
        <v>1</v>
      </c>
      <c r="P447" s="965"/>
      <c r="Q447" s="53">
        <f>(SUMIF($15:$15,P447,$16:$16)-SUMIF($15:$15,$P$24,$16:$16)+100)/100</f>
        <v>1</v>
      </c>
      <c r="R447" s="965"/>
      <c r="S447" s="53">
        <f>(SUMIF($17:$17,R447,$18:$18)-SUMIF($17:$17,$R$24,$18:$18)+100)/100</f>
        <v>1</v>
      </c>
      <c r="T447" s="493">
        <f>IF(D447="",0,ROUND($T$24*E447*G447*I447*K447*M447*O447*Q447*S447,0))</f>
        <v>0</v>
      </c>
      <c r="U447" s="802">
        <f t="shared" si="20"/>
        <v>0</v>
      </c>
    </row>
    <row r="448" spans="3:21">
      <c r="C448" s="967"/>
      <c r="D448" s="137"/>
      <c r="E448" s="53">
        <f>IF(D448="",1,(LOOKUP(D448,$3:$3,$4:$4)-LOOKUP($D$24,$3:$3,$4:$4)+100)/100)</f>
        <v>1</v>
      </c>
      <c r="F448" s="965"/>
      <c r="G448" s="53">
        <f>(SUMIF($5:$5,F448,$6:$6)-SUMIF($5:$5,$F$24,$6:$6)+100)/100</f>
        <v>0.01</v>
      </c>
      <c r="H448" s="965"/>
      <c r="I448" s="53">
        <f>(SUMIF($7:$7,H448,$8:$8)-SUMIF($7:$7,$H$24,$8:$8)+100)/100</f>
        <v>0.04</v>
      </c>
      <c r="J448" s="965"/>
      <c r="K448" s="53">
        <f>(SUMIF($9:$9,J448,$10:$10)-SUMIF($9:$9,$J$24,$10:$10)+100)/100</f>
        <v>0.04</v>
      </c>
      <c r="L448" s="965"/>
      <c r="M448" s="53">
        <f>(SUMIF($11:$11,L448,$12:$12)-SUMIF($11:$11,$L$24,$12:$12)+100)/100</f>
        <v>1</v>
      </c>
      <c r="N448" s="965"/>
      <c r="O448" s="53">
        <f>(SUMIF($13:$13,N448,$14:$14)-SUMIF($13:$13,$N$24,$14:$14)+100)/100</f>
        <v>1</v>
      </c>
      <c r="P448" s="965"/>
      <c r="Q448" s="53">
        <f>(SUMIF($15:$15,P448,$16:$16)-SUMIF($15:$15,$P$24,$16:$16)+100)/100</f>
        <v>1</v>
      </c>
      <c r="R448" s="965"/>
      <c r="S448" s="53">
        <f>(SUMIF($17:$17,R448,$18:$18)-SUMIF($17:$17,$R$24,$18:$18)+100)/100</f>
        <v>1</v>
      </c>
      <c r="T448" s="493">
        <f>IF(D448="",0,ROUND($T$24*E448*G448*I448*K448*M448*O448*Q448*S448,0))</f>
        <v>0</v>
      </c>
      <c r="U448" s="802">
        <f t="shared" si="20"/>
        <v>0</v>
      </c>
    </row>
    <row r="449" spans="3:21">
      <c r="C449" s="967"/>
      <c r="D449" s="137"/>
      <c r="E449" s="53">
        <f>IF(D449="",1,(LOOKUP(D449,$3:$3,$4:$4)-LOOKUP($D$24,$3:$3,$4:$4)+100)/100)</f>
        <v>1</v>
      </c>
      <c r="F449" s="965"/>
      <c r="G449" s="53">
        <f>(SUMIF($5:$5,F449,$6:$6)-SUMIF($5:$5,$F$24,$6:$6)+100)/100</f>
        <v>0.01</v>
      </c>
      <c r="H449" s="965"/>
      <c r="I449" s="53">
        <f>(SUMIF($7:$7,H449,$8:$8)-SUMIF($7:$7,$H$24,$8:$8)+100)/100</f>
        <v>0.04</v>
      </c>
      <c r="J449" s="965"/>
      <c r="K449" s="53">
        <f>(SUMIF($9:$9,J449,$10:$10)-SUMIF($9:$9,$J$24,$10:$10)+100)/100</f>
        <v>0.04</v>
      </c>
      <c r="L449" s="965"/>
      <c r="M449" s="53">
        <f>(SUMIF($11:$11,L449,$12:$12)-SUMIF($11:$11,$L$24,$12:$12)+100)/100</f>
        <v>1</v>
      </c>
      <c r="N449" s="965"/>
      <c r="O449" s="53">
        <f>(SUMIF($13:$13,N449,$14:$14)-SUMIF($13:$13,$N$24,$14:$14)+100)/100</f>
        <v>1</v>
      </c>
      <c r="P449" s="965"/>
      <c r="Q449" s="53">
        <f>(SUMIF($15:$15,P449,$16:$16)-SUMIF($15:$15,$P$24,$16:$16)+100)/100</f>
        <v>1</v>
      </c>
      <c r="R449" s="965"/>
      <c r="S449" s="53">
        <f>(SUMIF($17:$17,R449,$18:$18)-SUMIF($17:$17,$R$24,$18:$18)+100)/100</f>
        <v>1</v>
      </c>
      <c r="T449" s="493">
        <f>IF(D449="",0,ROUND($T$24*E449*G449*I449*K449*M449*O449*Q449*S449,0))</f>
        <v>0</v>
      </c>
      <c r="U449" s="802">
        <f t="shared" si="20"/>
        <v>0</v>
      </c>
    </row>
    <row r="450" spans="3:21">
      <c r="C450" s="967"/>
      <c r="D450" s="137"/>
      <c r="E450" s="53">
        <f>IF(D450="",1,(LOOKUP(D450,$3:$3,$4:$4)-LOOKUP($D$24,$3:$3,$4:$4)+100)/100)</f>
        <v>1</v>
      </c>
      <c r="F450" s="965"/>
      <c r="G450" s="53">
        <f>(SUMIF($5:$5,F450,$6:$6)-SUMIF($5:$5,$F$24,$6:$6)+100)/100</f>
        <v>0.01</v>
      </c>
      <c r="H450" s="965"/>
      <c r="I450" s="53">
        <f>(SUMIF($7:$7,H450,$8:$8)-SUMIF($7:$7,$H$24,$8:$8)+100)/100</f>
        <v>0.04</v>
      </c>
      <c r="J450" s="965"/>
      <c r="K450" s="53">
        <f>(SUMIF($9:$9,J450,$10:$10)-SUMIF($9:$9,$J$24,$10:$10)+100)/100</f>
        <v>0.04</v>
      </c>
      <c r="L450" s="965"/>
      <c r="M450" s="53">
        <f>(SUMIF($11:$11,L450,$12:$12)-SUMIF($11:$11,$L$24,$12:$12)+100)/100</f>
        <v>1</v>
      </c>
      <c r="N450" s="965"/>
      <c r="O450" s="53">
        <f>(SUMIF($13:$13,N450,$14:$14)-SUMIF($13:$13,$N$24,$14:$14)+100)/100</f>
        <v>1</v>
      </c>
      <c r="P450" s="965"/>
      <c r="Q450" s="53">
        <f>(SUMIF($15:$15,P450,$16:$16)-SUMIF($15:$15,$P$24,$16:$16)+100)/100</f>
        <v>1</v>
      </c>
      <c r="R450" s="965"/>
      <c r="S450" s="53">
        <f>(SUMIF($17:$17,R450,$18:$18)-SUMIF($17:$17,$R$24,$18:$18)+100)/100</f>
        <v>1</v>
      </c>
      <c r="T450" s="493">
        <f>IF(D450="",0,ROUND($T$24*E450*G450*I450*K450*M450*O450*Q450*S450,0))</f>
        <v>0</v>
      </c>
      <c r="U450" s="802">
        <f t="shared" si="20"/>
        <v>0</v>
      </c>
    </row>
    <row r="451" spans="3:21">
      <c r="C451" s="967"/>
      <c r="D451" s="137"/>
      <c r="E451" s="53">
        <f>IF(D451="",1,(LOOKUP(D451,$3:$3,$4:$4)-LOOKUP($D$24,$3:$3,$4:$4)+100)/100)</f>
        <v>1</v>
      </c>
      <c r="F451" s="965"/>
      <c r="G451" s="53">
        <f>(SUMIF($5:$5,F451,$6:$6)-SUMIF($5:$5,$F$24,$6:$6)+100)/100</f>
        <v>0.01</v>
      </c>
      <c r="H451" s="965"/>
      <c r="I451" s="53">
        <f>(SUMIF($7:$7,H451,$8:$8)-SUMIF($7:$7,$H$24,$8:$8)+100)/100</f>
        <v>0.04</v>
      </c>
      <c r="J451" s="965"/>
      <c r="K451" s="53">
        <f>(SUMIF($9:$9,J451,$10:$10)-SUMIF($9:$9,$J$24,$10:$10)+100)/100</f>
        <v>0.04</v>
      </c>
      <c r="L451" s="965"/>
      <c r="M451" s="53">
        <f>(SUMIF($11:$11,L451,$12:$12)-SUMIF($11:$11,$L$24,$12:$12)+100)/100</f>
        <v>1</v>
      </c>
      <c r="N451" s="965"/>
      <c r="O451" s="53">
        <f>(SUMIF($13:$13,N451,$14:$14)-SUMIF($13:$13,$N$24,$14:$14)+100)/100</f>
        <v>1</v>
      </c>
      <c r="P451" s="965"/>
      <c r="Q451" s="53">
        <f>(SUMIF($15:$15,P451,$16:$16)-SUMIF($15:$15,$P$24,$16:$16)+100)/100</f>
        <v>1</v>
      </c>
      <c r="R451" s="965"/>
      <c r="S451" s="53">
        <f>(SUMIF($17:$17,R451,$18:$18)-SUMIF($17:$17,$R$24,$18:$18)+100)/100</f>
        <v>1</v>
      </c>
      <c r="T451" s="493">
        <f>IF(D451="",0,ROUND($T$24*E451*G451*I451*K451*M451*O451*Q451*S451,0))</f>
        <v>0</v>
      </c>
      <c r="U451" s="802">
        <f t="shared" si="20"/>
        <v>0</v>
      </c>
    </row>
    <row r="452" spans="3:21">
      <c r="C452" s="967"/>
      <c r="D452" s="137"/>
      <c r="E452" s="53">
        <f>IF(D452="",1,(LOOKUP(D452,$3:$3,$4:$4)-LOOKUP($D$24,$3:$3,$4:$4)+100)/100)</f>
        <v>1</v>
      </c>
      <c r="F452" s="965"/>
      <c r="G452" s="53">
        <f>(SUMIF($5:$5,F452,$6:$6)-SUMIF($5:$5,$F$24,$6:$6)+100)/100</f>
        <v>0.01</v>
      </c>
      <c r="H452" s="965"/>
      <c r="I452" s="53">
        <f>(SUMIF($7:$7,H452,$8:$8)-SUMIF($7:$7,$H$24,$8:$8)+100)/100</f>
        <v>0.04</v>
      </c>
      <c r="J452" s="965"/>
      <c r="K452" s="53">
        <f>(SUMIF($9:$9,J452,$10:$10)-SUMIF($9:$9,$J$24,$10:$10)+100)/100</f>
        <v>0.04</v>
      </c>
      <c r="L452" s="965"/>
      <c r="M452" s="53">
        <f>(SUMIF($11:$11,L452,$12:$12)-SUMIF($11:$11,$L$24,$12:$12)+100)/100</f>
        <v>1</v>
      </c>
      <c r="N452" s="965"/>
      <c r="O452" s="53">
        <f>(SUMIF($13:$13,N452,$14:$14)-SUMIF($13:$13,$N$24,$14:$14)+100)/100</f>
        <v>1</v>
      </c>
      <c r="P452" s="965"/>
      <c r="Q452" s="53">
        <f>(SUMIF($15:$15,P452,$16:$16)-SUMIF($15:$15,$P$24,$16:$16)+100)/100</f>
        <v>1</v>
      </c>
      <c r="R452" s="965"/>
      <c r="S452" s="53">
        <f>(SUMIF($17:$17,R452,$18:$18)-SUMIF($17:$17,$R$24,$18:$18)+100)/100</f>
        <v>1</v>
      </c>
      <c r="T452" s="493">
        <f>IF(D452="",0,ROUND($T$24*E452*G452*I452*K452*M452*O452*Q452*S452,0))</f>
        <v>0</v>
      </c>
      <c r="U452" s="802">
        <f t="shared" si="20"/>
        <v>0</v>
      </c>
    </row>
    <row r="453" spans="3:21">
      <c r="C453" s="967"/>
      <c r="D453" s="137"/>
      <c r="E453" s="53">
        <f>IF(D453="",1,(LOOKUP(D453,$3:$3,$4:$4)-LOOKUP($D$24,$3:$3,$4:$4)+100)/100)</f>
        <v>1</v>
      </c>
      <c r="F453" s="965"/>
      <c r="G453" s="53">
        <f>(SUMIF($5:$5,F453,$6:$6)-SUMIF($5:$5,$F$24,$6:$6)+100)/100</f>
        <v>0.01</v>
      </c>
      <c r="H453" s="965"/>
      <c r="I453" s="53">
        <f>(SUMIF($7:$7,H453,$8:$8)-SUMIF($7:$7,$H$24,$8:$8)+100)/100</f>
        <v>0.04</v>
      </c>
      <c r="J453" s="965"/>
      <c r="K453" s="53">
        <f>(SUMIF($9:$9,J453,$10:$10)-SUMIF($9:$9,$J$24,$10:$10)+100)/100</f>
        <v>0.04</v>
      </c>
      <c r="L453" s="965"/>
      <c r="M453" s="53">
        <f>(SUMIF($11:$11,L453,$12:$12)-SUMIF($11:$11,$L$24,$12:$12)+100)/100</f>
        <v>1</v>
      </c>
      <c r="N453" s="965"/>
      <c r="O453" s="53">
        <f>(SUMIF($13:$13,N453,$14:$14)-SUMIF($13:$13,$N$24,$14:$14)+100)/100</f>
        <v>1</v>
      </c>
      <c r="P453" s="965"/>
      <c r="Q453" s="53">
        <f>(SUMIF($15:$15,P453,$16:$16)-SUMIF($15:$15,$P$24,$16:$16)+100)/100</f>
        <v>1</v>
      </c>
      <c r="R453" s="965"/>
      <c r="S453" s="53">
        <f>(SUMIF($17:$17,R453,$18:$18)-SUMIF($17:$17,$R$24,$18:$18)+100)/100</f>
        <v>1</v>
      </c>
      <c r="T453" s="493">
        <f>IF(D453="",0,ROUND($T$24*E453*G453*I453*K453*M453*O453*Q453*S453,0))</f>
        <v>0</v>
      </c>
      <c r="U453" s="802">
        <f t="shared" si="20"/>
        <v>0</v>
      </c>
    </row>
    <row r="454" spans="3:21">
      <c r="C454" s="967"/>
      <c r="D454" s="137"/>
      <c r="E454" s="53">
        <f>IF(D454="",1,(LOOKUP(D454,$3:$3,$4:$4)-LOOKUP($D$24,$3:$3,$4:$4)+100)/100)</f>
        <v>1</v>
      </c>
      <c r="F454" s="965"/>
      <c r="G454" s="53">
        <f>(SUMIF($5:$5,F454,$6:$6)-SUMIF($5:$5,$F$24,$6:$6)+100)/100</f>
        <v>0.01</v>
      </c>
      <c r="H454" s="965"/>
      <c r="I454" s="53">
        <f>(SUMIF($7:$7,H454,$8:$8)-SUMIF($7:$7,$H$24,$8:$8)+100)/100</f>
        <v>0.04</v>
      </c>
      <c r="J454" s="965"/>
      <c r="K454" s="53">
        <f>(SUMIF($9:$9,J454,$10:$10)-SUMIF($9:$9,$J$24,$10:$10)+100)/100</f>
        <v>0.04</v>
      </c>
      <c r="L454" s="965"/>
      <c r="M454" s="53">
        <f>(SUMIF($11:$11,L454,$12:$12)-SUMIF($11:$11,$L$24,$12:$12)+100)/100</f>
        <v>1</v>
      </c>
      <c r="N454" s="965"/>
      <c r="O454" s="53">
        <f>(SUMIF($13:$13,N454,$14:$14)-SUMIF($13:$13,$N$24,$14:$14)+100)/100</f>
        <v>1</v>
      </c>
      <c r="P454" s="965"/>
      <c r="Q454" s="53">
        <f>(SUMIF($15:$15,P454,$16:$16)-SUMIF($15:$15,$P$24,$16:$16)+100)/100</f>
        <v>1</v>
      </c>
      <c r="R454" s="965"/>
      <c r="S454" s="53">
        <f>(SUMIF($17:$17,R454,$18:$18)-SUMIF($17:$17,$R$24,$18:$18)+100)/100</f>
        <v>1</v>
      </c>
      <c r="T454" s="493">
        <f>IF(D454="",0,ROUND($T$24*E454*G454*I454*K454*M454*O454*Q454*S454,0))</f>
        <v>0</v>
      </c>
      <c r="U454" s="802">
        <f t="shared" si="20"/>
        <v>0</v>
      </c>
    </row>
    <row r="455" spans="3:21">
      <c r="C455" s="967"/>
      <c r="D455" s="137"/>
      <c r="E455" s="53">
        <f>IF(D455="",1,(LOOKUP(D455,$3:$3,$4:$4)-LOOKUP($D$24,$3:$3,$4:$4)+100)/100)</f>
        <v>1</v>
      </c>
      <c r="F455" s="965"/>
      <c r="G455" s="53">
        <f>(SUMIF($5:$5,F455,$6:$6)-SUMIF($5:$5,$F$24,$6:$6)+100)/100</f>
        <v>0.01</v>
      </c>
      <c r="H455" s="965"/>
      <c r="I455" s="53">
        <f>(SUMIF($7:$7,H455,$8:$8)-SUMIF($7:$7,$H$24,$8:$8)+100)/100</f>
        <v>0.04</v>
      </c>
      <c r="J455" s="965"/>
      <c r="K455" s="53">
        <f>(SUMIF($9:$9,J455,$10:$10)-SUMIF($9:$9,$J$24,$10:$10)+100)/100</f>
        <v>0.04</v>
      </c>
      <c r="L455" s="965"/>
      <c r="M455" s="53">
        <f>(SUMIF($11:$11,L455,$12:$12)-SUMIF($11:$11,$L$24,$12:$12)+100)/100</f>
        <v>1</v>
      </c>
      <c r="N455" s="965"/>
      <c r="O455" s="53">
        <f>(SUMIF($13:$13,N455,$14:$14)-SUMIF($13:$13,$N$24,$14:$14)+100)/100</f>
        <v>1</v>
      </c>
      <c r="P455" s="965"/>
      <c r="Q455" s="53">
        <f>(SUMIF($15:$15,P455,$16:$16)-SUMIF($15:$15,$P$24,$16:$16)+100)/100</f>
        <v>1</v>
      </c>
      <c r="R455" s="965"/>
      <c r="S455" s="53">
        <f>(SUMIF($17:$17,R455,$18:$18)-SUMIF($17:$17,$R$24,$18:$18)+100)/100</f>
        <v>1</v>
      </c>
      <c r="T455" s="493">
        <f>IF(D455="",0,ROUND($T$24*E455*G455*I455*K455*M455*O455*Q455*S455,0))</f>
        <v>0</v>
      </c>
      <c r="U455" s="802">
        <f t="shared" si="20"/>
        <v>0</v>
      </c>
    </row>
    <row r="456" spans="3:21">
      <c r="C456" s="967"/>
      <c r="D456" s="137"/>
      <c r="E456" s="53">
        <f>IF(D456="",1,(LOOKUP(D456,$3:$3,$4:$4)-LOOKUP($D$24,$3:$3,$4:$4)+100)/100)</f>
        <v>1</v>
      </c>
      <c r="F456" s="965"/>
      <c r="G456" s="53">
        <f>(SUMIF($5:$5,F456,$6:$6)-SUMIF($5:$5,$F$24,$6:$6)+100)/100</f>
        <v>0.01</v>
      </c>
      <c r="H456" s="965"/>
      <c r="I456" s="53">
        <f>(SUMIF($7:$7,H456,$8:$8)-SUMIF($7:$7,$H$24,$8:$8)+100)/100</f>
        <v>0.04</v>
      </c>
      <c r="J456" s="965"/>
      <c r="K456" s="53">
        <f>(SUMIF($9:$9,J456,$10:$10)-SUMIF($9:$9,$J$24,$10:$10)+100)/100</f>
        <v>0.04</v>
      </c>
      <c r="L456" s="965"/>
      <c r="M456" s="53">
        <f>(SUMIF($11:$11,L456,$12:$12)-SUMIF($11:$11,$L$24,$12:$12)+100)/100</f>
        <v>1</v>
      </c>
      <c r="N456" s="965"/>
      <c r="O456" s="53">
        <f>(SUMIF($13:$13,N456,$14:$14)-SUMIF($13:$13,$N$24,$14:$14)+100)/100</f>
        <v>1</v>
      </c>
      <c r="P456" s="965"/>
      <c r="Q456" s="53">
        <f>(SUMIF($15:$15,P456,$16:$16)-SUMIF($15:$15,$P$24,$16:$16)+100)/100</f>
        <v>1</v>
      </c>
      <c r="R456" s="965"/>
      <c r="S456" s="53">
        <f>(SUMIF($17:$17,R456,$18:$18)-SUMIF($17:$17,$R$24,$18:$18)+100)/100</f>
        <v>1</v>
      </c>
      <c r="T456" s="493">
        <f>IF(D456="",0,ROUND($T$24*E456*G456*I456*K456*M456*O456*Q456*S456,0))</f>
        <v>0</v>
      </c>
      <c r="U456" s="802">
        <f t="shared" si="20"/>
        <v>0</v>
      </c>
    </row>
    <row r="457" spans="3:21">
      <c r="C457" s="967"/>
      <c r="D457" s="137"/>
      <c r="E457" s="53">
        <f>IF(D457="",1,(LOOKUP(D457,$3:$3,$4:$4)-LOOKUP($D$24,$3:$3,$4:$4)+100)/100)</f>
        <v>1</v>
      </c>
      <c r="F457" s="965"/>
      <c r="G457" s="53">
        <f>(SUMIF($5:$5,F457,$6:$6)-SUMIF($5:$5,$F$24,$6:$6)+100)/100</f>
        <v>0.01</v>
      </c>
      <c r="H457" s="965"/>
      <c r="I457" s="53">
        <f>(SUMIF($7:$7,H457,$8:$8)-SUMIF($7:$7,$H$24,$8:$8)+100)/100</f>
        <v>0.04</v>
      </c>
      <c r="J457" s="965"/>
      <c r="K457" s="53">
        <f>(SUMIF($9:$9,J457,$10:$10)-SUMIF($9:$9,$J$24,$10:$10)+100)/100</f>
        <v>0.04</v>
      </c>
      <c r="L457" s="965"/>
      <c r="M457" s="53">
        <f>(SUMIF($11:$11,L457,$12:$12)-SUMIF($11:$11,$L$24,$12:$12)+100)/100</f>
        <v>1</v>
      </c>
      <c r="N457" s="965"/>
      <c r="O457" s="53">
        <f>(SUMIF($13:$13,N457,$14:$14)-SUMIF($13:$13,$N$24,$14:$14)+100)/100</f>
        <v>1</v>
      </c>
      <c r="P457" s="965"/>
      <c r="Q457" s="53">
        <f>(SUMIF($15:$15,P457,$16:$16)-SUMIF($15:$15,$P$24,$16:$16)+100)/100</f>
        <v>1</v>
      </c>
      <c r="R457" s="965"/>
      <c r="S457" s="53">
        <f>(SUMIF($17:$17,R457,$18:$18)-SUMIF($17:$17,$R$24,$18:$18)+100)/100</f>
        <v>1</v>
      </c>
      <c r="T457" s="493">
        <f>IF(D457="",0,ROUND($T$24*E457*G457*I457*K457*M457*O457*Q457*S457,0))</f>
        <v>0</v>
      </c>
      <c r="U457" s="802">
        <f t="shared" si="20"/>
        <v>0</v>
      </c>
    </row>
    <row r="458" spans="3:21">
      <c r="C458" s="967"/>
      <c r="D458" s="137"/>
      <c r="E458" s="53">
        <f>IF(D458="",1,(LOOKUP(D458,$3:$3,$4:$4)-LOOKUP($D$24,$3:$3,$4:$4)+100)/100)</f>
        <v>1</v>
      </c>
      <c r="F458" s="965"/>
      <c r="G458" s="53">
        <f>(SUMIF($5:$5,F458,$6:$6)-SUMIF($5:$5,$F$24,$6:$6)+100)/100</f>
        <v>0.01</v>
      </c>
      <c r="H458" s="965"/>
      <c r="I458" s="53">
        <f>(SUMIF($7:$7,H458,$8:$8)-SUMIF($7:$7,$H$24,$8:$8)+100)/100</f>
        <v>0.04</v>
      </c>
      <c r="J458" s="965"/>
      <c r="K458" s="53">
        <f>(SUMIF($9:$9,J458,$10:$10)-SUMIF($9:$9,$J$24,$10:$10)+100)/100</f>
        <v>0.04</v>
      </c>
      <c r="L458" s="965"/>
      <c r="M458" s="53">
        <f>(SUMIF($11:$11,L458,$12:$12)-SUMIF($11:$11,$L$24,$12:$12)+100)/100</f>
        <v>1</v>
      </c>
      <c r="N458" s="965"/>
      <c r="O458" s="53">
        <f>(SUMIF($13:$13,N458,$14:$14)-SUMIF($13:$13,$N$24,$14:$14)+100)/100</f>
        <v>1</v>
      </c>
      <c r="P458" s="965"/>
      <c r="Q458" s="53">
        <f>(SUMIF($15:$15,P458,$16:$16)-SUMIF($15:$15,$P$24,$16:$16)+100)/100</f>
        <v>1</v>
      </c>
      <c r="R458" s="965"/>
      <c r="S458" s="53">
        <f>(SUMIF($17:$17,R458,$18:$18)-SUMIF($17:$17,$R$24,$18:$18)+100)/100</f>
        <v>1</v>
      </c>
      <c r="T458" s="493">
        <f>IF(D458="",0,ROUND($T$24*E458*G458*I458*K458*M458*O458*Q458*S458,0))</f>
        <v>0</v>
      </c>
      <c r="U458" s="802">
        <f t="shared" si="20"/>
        <v>0</v>
      </c>
    </row>
    <row r="459" spans="3:21">
      <c r="C459" s="967"/>
      <c r="D459" s="137"/>
      <c r="E459" s="53">
        <f>IF(D459="",1,(LOOKUP(D459,$3:$3,$4:$4)-LOOKUP($D$24,$3:$3,$4:$4)+100)/100)</f>
        <v>1</v>
      </c>
      <c r="F459" s="965"/>
      <c r="G459" s="53">
        <f>(SUMIF($5:$5,F459,$6:$6)-SUMIF($5:$5,$F$24,$6:$6)+100)/100</f>
        <v>0.01</v>
      </c>
      <c r="H459" s="965"/>
      <c r="I459" s="53">
        <f>(SUMIF($7:$7,H459,$8:$8)-SUMIF($7:$7,$H$24,$8:$8)+100)/100</f>
        <v>0.04</v>
      </c>
      <c r="J459" s="965"/>
      <c r="K459" s="53">
        <f>(SUMIF($9:$9,J459,$10:$10)-SUMIF($9:$9,$J$24,$10:$10)+100)/100</f>
        <v>0.04</v>
      </c>
      <c r="L459" s="965"/>
      <c r="M459" s="53">
        <f>(SUMIF($11:$11,L459,$12:$12)-SUMIF($11:$11,$L$24,$12:$12)+100)/100</f>
        <v>1</v>
      </c>
      <c r="N459" s="965"/>
      <c r="O459" s="53">
        <f>(SUMIF($13:$13,N459,$14:$14)-SUMIF($13:$13,$N$24,$14:$14)+100)/100</f>
        <v>1</v>
      </c>
      <c r="P459" s="965"/>
      <c r="Q459" s="53">
        <f>(SUMIF($15:$15,P459,$16:$16)-SUMIF($15:$15,$P$24,$16:$16)+100)/100</f>
        <v>1</v>
      </c>
      <c r="R459" s="965"/>
      <c r="S459" s="53">
        <f>(SUMIF($17:$17,R459,$18:$18)-SUMIF($17:$17,$R$24,$18:$18)+100)/100</f>
        <v>1</v>
      </c>
      <c r="T459" s="493">
        <f>IF(D459="",0,ROUND($T$24*E459*G459*I459*K459*M459*O459*Q459*S459,0))</f>
        <v>0</v>
      </c>
      <c r="U459" s="802">
        <f t="shared" si="20"/>
        <v>0</v>
      </c>
    </row>
    <row r="460" spans="3:21">
      <c r="C460" s="967"/>
      <c r="D460" s="137"/>
      <c r="E460" s="53">
        <f>IF(D460="",1,(LOOKUP(D460,$3:$3,$4:$4)-LOOKUP($D$24,$3:$3,$4:$4)+100)/100)</f>
        <v>1</v>
      </c>
      <c r="F460" s="965"/>
      <c r="G460" s="53">
        <f>(SUMIF($5:$5,F460,$6:$6)-SUMIF($5:$5,$F$24,$6:$6)+100)/100</f>
        <v>0.01</v>
      </c>
      <c r="H460" s="965"/>
      <c r="I460" s="53">
        <f>(SUMIF($7:$7,H460,$8:$8)-SUMIF($7:$7,$H$24,$8:$8)+100)/100</f>
        <v>0.04</v>
      </c>
      <c r="J460" s="965"/>
      <c r="K460" s="53">
        <f>(SUMIF($9:$9,J460,$10:$10)-SUMIF($9:$9,$J$24,$10:$10)+100)/100</f>
        <v>0.04</v>
      </c>
      <c r="L460" s="965"/>
      <c r="M460" s="53">
        <f>(SUMIF($11:$11,L460,$12:$12)-SUMIF($11:$11,$L$24,$12:$12)+100)/100</f>
        <v>1</v>
      </c>
      <c r="N460" s="965"/>
      <c r="O460" s="53">
        <f>(SUMIF($13:$13,N460,$14:$14)-SUMIF($13:$13,$N$24,$14:$14)+100)/100</f>
        <v>1</v>
      </c>
      <c r="P460" s="965"/>
      <c r="Q460" s="53">
        <f>(SUMIF($15:$15,P460,$16:$16)-SUMIF($15:$15,$P$24,$16:$16)+100)/100</f>
        <v>1</v>
      </c>
      <c r="R460" s="965"/>
      <c r="S460" s="53">
        <f>(SUMIF($17:$17,R460,$18:$18)-SUMIF($17:$17,$R$24,$18:$18)+100)/100</f>
        <v>1</v>
      </c>
      <c r="T460" s="493">
        <f>IF(D460="",0,ROUND($T$24*E460*G460*I460*K460*M460*O460*Q460*S460,0))</f>
        <v>0</v>
      </c>
      <c r="U460" s="802">
        <f t="shared" si="20"/>
        <v>0</v>
      </c>
    </row>
    <row r="461" spans="3:21">
      <c r="C461" s="967"/>
      <c r="D461" s="137"/>
      <c r="E461" s="53">
        <f>IF(D461="",1,(LOOKUP(D461,$3:$3,$4:$4)-LOOKUP($D$24,$3:$3,$4:$4)+100)/100)</f>
        <v>1</v>
      </c>
      <c r="F461" s="965"/>
      <c r="G461" s="53">
        <f>(SUMIF($5:$5,F461,$6:$6)-SUMIF($5:$5,$F$24,$6:$6)+100)/100</f>
        <v>0.01</v>
      </c>
      <c r="H461" s="965"/>
      <c r="I461" s="53">
        <f>(SUMIF($7:$7,H461,$8:$8)-SUMIF($7:$7,$H$24,$8:$8)+100)/100</f>
        <v>0.04</v>
      </c>
      <c r="J461" s="965"/>
      <c r="K461" s="53">
        <f>(SUMIF($9:$9,J461,$10:$10)-SUMIF($9:$9,$J$24,$10:$10)+100)/100</f>
        <v>0.04</v>
      </c>
      <c r="L461" s="965"/>
      <c r="M461" s="53">
        <f>(SUMIF($11:$11,L461,$12:$12)-SUMIF($11:$11,$L$24,$12:$12)+100)/100</f>
        <v>1</v>
      </c>
      <c r="N461" s="965"/>
      <c r="O461" s="53">
        <f>(SUMIF($13:$13,N461,$14:$14)-SUMIF($13:$13,$N$24,$14:$14)+100)/100</f>
        <v>1</v>
      </c>
      <c r="P461" s="965"/>
      <c r="Q461" s="53">
        <f>(SUMIF($15:$15,P461,$16:$16)-SUMIF($15:$15,$P$24,$16:$16)+100)/100</f>
        <v>1</v>
      </c>
      <c r="R461" s="965"/>
      <c r="S461" s="53">
        <f>(SUMIF($17:$17,R461,$18:$18)-SUMIF($17:$17,$R$24,$18:$18)+100)/100</f>
        <v>1</v>
      </c>
      <c r="T461" s="493">
        <f>IF(D461="",0,ROUND($T$24*E461*G461*I461*K461*M461*O461*Q461*S461,0))</f>
        <v>0</v>
      </c>
      <c r="U461" s="802">
        <f t="shared" si="20"/>
        <v>0</v>
      </c>
    </row>
    <row r="462" spans="3:21">
      <c r="C462" s="967"/>
      <c r="D462" s="137"/>
      <c r="E462" s="53">
        <f>IF(D462="",1,(LOOKUP(D462,$3:$3,$4:$4)-LOOKUP($D$24,$3:$3,$4:$4)+100)/100)</f>
        <v>1</v>
      </c>
      <c r="F462" s="965"/>
      <c r="G462" s="53">
        <f>(SUMIF($5:$5,F462,$6:$6)-SUMIF($5:$5,$F$24,$6:$6)+100)/100</f>
        <v>0.01</v>
      </c>
      <c r="H462" s="965"/>
      <c r="I462" s="53">
        <f>(SUMIF($7:$7,H462,$8:$8)-SUMIF($7:$7,$H$24,$8:$8)+100)/100</f>
        <v>0.04</v>
      </c>
      <c r="J462" s="965"/>
      <c r="K462" s="53">
        <f>(SUMIF($9:$9,J462,$10:$10)-SUMIF($9:$9,$J$24,$10:$10)+100)/100</f>
        <v>0.04</v>
      </c>
      <c r="L462" s="965"/>
      <c r="M462" s="53">
        <f>(SUMIF($11:$11,L462,$12:$12)-SUMIF($11:$11,$L$24,$12:$12)+100)/100</f>
        <v>1</v>
      </c>
      <c r="N462" s="965"/>
      <c r="O462" s="53">
        <f>(SUMIF($13:$13,N462,$14:$14)-SUMIF($13:$13,$N$24,$14:$14)+100)/100</f>
        <v>1</v>
      </c>
      <c r="P462" s="965"/>
      <c r="Q462" s="53">
        <f>(SUMIF($15:$15,P462,$16:$16)-SUMIF($15:$15,$P$24,$16:$16)+100)/100</f>
        <v>1</v>
      </c>
      <c r="R462" s="965"/>
      <c r="S462" s="53">
        <f>(SUMIF($17:$17,R462,$18:$18)-SUMIF($17:$17,$R$24,$18:$18)+100)/100</f>
        <v>1</v>
      </c>
      <c r="T462" s="493">
        <f>IF(D462="",0,ROUND($T$24*E462*G462*I462*K462*M462*O462*Q462*S462,0))</f>
        <v>0</v>
      </c>
      <c r="U462" s="802">
        <f t="shared" si="20"/>
        <v>0</v>
      </c>
    </row>
    <row r="463" spans="3:21">
      <c r="C463" s="967"/>
      <c r="D463" s="137"/>
      <c r="E463" s="53">
        <f>IF(D463="",1,(LOOKUP(D463,$3:$3,$4:$4)-LOOKUP($D$24,$3:$3,$4:$4)+100)/100)</f>
        <v>1</v>
      </c>
      <c r="F463" s="965"/>
      <c r="G463" s="53">
        <f>(SUMIF($5:$5,F463,$6:$6)-SUMIF($5:$5,$F$24,$6:$6)+100)/100</f>
        <v>0.01</v>
      </c>
      <c r="H463" s="965"/>
      <c r="I463" s="53">
        <f>(SUMIF($7:$7,H463,$8:$8)-SUMIF($7:$7,$H$24,$8:$8)+100)/100</f>
        <v>0.04</v>
      </c>
      <c r="J463" s="965"/>
      <c r="K463" s="53">
        <f>(SUMIF($9:$9,J463,$10:$10)-SUMIF($9:$9,$J$24,$10:$10)+100)/100</f>
        <v>0.04</v>
      </c>
      <c r="L463" s="965"/>
      <c r="M463" s="53">
        <f>(SUMIF($11:$11,L463,$12:$12)-SUMIF($11:$11,$L$24,$12:$12)+100)/100</f>
        <v>1</v>
      </c>
      <c r="N463" s="965"/>
      <c r="O463" s="53">
        <f>(SUMIF($13:$13,N463,$14:$14)-SUMIF($13:$13,$N$24,$14:$14)+100)/100</f>
        <v>1</v>
      </c>
      <c r="P463" s="965"/>
      <c r="Q463" s="53">
        <f>(SUMIF($15:$15,P463,$16:$16)-SUMIF($15:$15,$P$24,$16:$16)+100)/100</f>
        <v>1</v>
      </c>
      <c r="R463" s="965"/>
      <c r="S463" s="53">
        <f>(SUMIF($17:$17,R463,$18:$18)-SUMIF($17:$17,$R$24,$18:$18)+100)/100</f>
        <v>1</v>
      </c>
      <c r="T463" s="493">
        <f>IF(D463="",0,ROUND($T$24*E463*G463*I463*K463*M463*O463*Q463*S463,0))</f>
        <v>0</v>
      </c>
      <c r="U463" s="802">
        <f t="shared" si="20"/>
        <v>0</v>
      </c>
    </row>
    <row r="464" spans="3:21">
      <c r="C464" s="967"/>
      <c r="D464" s="137"/>
      <c r="E464" s="53">
        <f>IF(D464="",1,(LOOKUP(D464,$3:$3,$4:$4)-LOOKUP($D$24,$3:$3,$4:$4)+100)/100)</f>
        <v>1</v>
      </c>
      <c r="F464" s="965"/>
      <c r="G464" s="53">
        <f>(SUMIF($5:$5,F464,$6:$6)-SUMIF($5:$5,$F$24,$6:$6)+100)/100</f>
        <v>0.01</v>
      </c>
      <c r="H464" s="965"/>
      <c r="I464" s="53">
        <f>(SUMIF($7:$7,H464,$8:$8)-SUMIF($7:$7,$H$24,$8:$8)+100)/100</f>
        <v>0.04</v>
      </c>
      <c r="J464" s="965"/>
      <c r="K464" s="53">
        <f>(SUMIF($9:$9,J464,$10:$10)-SUMIF($9:$9,$J$24,$10:$10)+100)/100</f>
        <v>0.04</v>
      </c>
      <c r="L464" s="965"/>
      <c r="M464" s="53">
        <f>(SUMIF($11:$11,L464,$12:$12)-SUMIF($11:$11,$L$24,$12:$12)+100)/100</f>
        <v>1</v>
      </c>
      <c r="N464" s="965"/>
      <c r="O464" s="53">
        <f>(SUMIF($13:$13,N464,$14:$14)-SUMIF($13:$13,$N$24,$14:$14)+100)/100</f>
        <v>1</v>
      </c>
      <c r="P464" s="965"/>
      <c r="Q464" s="53">
        <f>(SUMIF($15:$15,P464,$16:$16)-SUMIF($15:$15,$P$24,$16:$16)+100)/100</f>
        <v>1</v>
      </c>
      <c r="R464" s="965"/>
      <c r="S464" s="53">
        <f>(SUMIF($17:$17,R464,$18:$18)-SUMIF($17:$17,$R$24,$18:$18)+100)/100</f>
        <v>1</v>
      </c>
      <c r="T464" s="493">
        <f>IF(D464="",0,ROUND($T$24*E464*G464*I464*K464*M464*O464*Q464*S464,0))</f>
        <v>0</v>
      </c>
      <c r="U464" s="802">
        <f t="shared" si="20"/>
        <v>0</v>
      </c>
    </row>
    <row r="465" spans="3:21">
      <c r="C465" s="967"/>
      <c r="D465" s="137"/>
      <c r="E465" s="53">
        <f>IF(D465="",1,(LOOKUP(D465,$3:$3,$4:$4)-LOOKUP($D$24,$3:$3,$4:$4)+100)/100)</f>
        <v>1</v>
      </c>
      <c r="F465" s="965"/>
      <c r="G465" s="53">
        <f>(SUMIF($5:$5,F465,$6:$6)-SUMIF($5:$5,$F$24,$6:$6)+100)/100</f>
        <v>0.01</v>
      </c>
      <c r="H465" s="965"/>
      <c r="I465" s="53">
        <f>(SUMIF($7:$7,H465,$8:$8)-SUMIF($7:$7,$H$24,$8:$8)+100)/100</f>
        <v>0.04</v>
      </c>
      <c r="J465" s="965"/>
      <c r="K465" s="53">
        <f>(SUMIF($9:$9,J465,$10:$10)-SUMIF($9:$9,$J$24,$10:$10)+100)/100</f>
        <v>0.04</v>
      </c>
      <c r="L465" s="965"/>
      <c r="M465" s="53">
        <f>(SUMIF($11:$11,L465,$12:$12)-SUMIF($11:$11,$L$24,$12:$12)+100)/100</f>
        <v>1</v>
      </c>
      <c r="N465" s="965"/>
      <c r="O465" s="53">
        <f>(SUMIF($13:$13,N465,$14:$14)-SUMIF($13:$13,$N$24,$14:$14)+100)/100</f>
        <v>1</v>
      </c>
      <c r="P465" s="965"/>
      <c r="Q465" s="53">
        <f>(SUMIF($15:$15,P465,$16:$16)-SUMIF($15:$15,$P$24,$16:$16)+100)/100</f>
        <v>1</v>
      </c>
      <c r="R465" s="965"/>
      <c r="S465" s="53">
        <f>(SUMIF($17:$17,R465,$18:$18)-SUMIF($17:$17,$R$24,$18:$18)+100)/100</f>
        <v>1</v>
      </c>
      <c r="T465" s="493">
        <f>IF(D465="",0,ROUND($T$24*E465*G465*I465*K465*M465*O465*Q465*S465,0))</f>
        <v>0</v>
      </c>
      <c r="U465" s="802">
        <f t="shared" si="20"/>
        <v>0</v>
      </c>
    </row>
    <row r="466" spans="3:21">
      <c r="C466" s="967"/>
      <c r="D466" s="137"/>
      <c r="E466" s="53">
        <f>IF(D466="",1,(LOOKUP(D466,$3:$3,$4:$4)-LOOKUP($D$24,$3:$3,$4:$4)+100)/100)</f>
        <v>1</v>
      </c>
      <c r="F466" s="965"/>
      <c r="G466" s="53">
        <f>(SUMIF($5:$5,F466,$6:$6)-SUMIF($5:$5,$F$24,$6:$6)+100)/100</f>
        <v>0.01</v>
      </c>
      <c r="H466" s="965"/>
      <c r="I466" s="53">
        <f>(SUMIF($7:$7,H466,$8:$8)-SUMIF($7:$7,$H$24,$8:$8)+100)/100</f>
        <v>0.04</v>
      </c>
      <c r="J466" s="965"/>
      <c r="K466" s="53">
        <f>(SUMIF($9:$9,J466,$10:$10)-SUMIF($9:$9,$J$24,$10:$10)+100)/100</f>
        <v>0.04</v>
      </c>
      <c r="L466" s="965"/>
      <c r="M466" s="53">
        <f>(SUMIF($11:$11,L466,$12:$12)-SUMIF($11:$11,$L$24,$12:$12)+100)/100</f>
        <v>1</v>
      </c>
      <c r="N466" s="965"/>
      <c r="O466" s="53">
        <f>(SUMIF($13:$13,N466,$14:$14)-SUMIF($13:$13,$N$24,$14:$14)+100)/100</f>
        <v>1</v>
      </c>
      <c r="P466" s="965"/>
      <c r="Q466" s="53">
        <f>(SUMIF($15:$15,P466,$16:$16)-SUMIF($15:$15,$P$24,$16:$16)+100)/100</f>
        <v>1</v>
      </c>
      <c r="R466" s="965"/>
      <c r="S466" s="53">
        <f>(SUMIF($17:$17,R466,$18:$18)-SUMIF($17:$17,$R$24,$18:$18)+100)/100</f>
        <v>1</v>
      </c>
      <c r="T466" s="493">
        <f>IF(D466="",0,ROUND($T$24*E466*G466*I466*K466*M466*O466*Q466*S466,0))</f>
        <v>0</v>
      </c>
      <c r="U466" s="802">
        <f t="shared" si="20"/>
        <v>0</v>
      </c>
    </row>
    <row r="467" spans="3:21">
      <c r="C467" s="967"/>
      <c r="D467" s="137"/>
      <c r="E467" s="53">
        <f>IF(D467="",1,(LOOKUP(D467,$3:$3,$4:$4)-LOOKUP($D$24,$3:$3,$4:$4)+100)/100)</f>
        <v>1</v>
      </c>
      <c r="F467" s="965"/>
      <c r="G467" s="53">
        <f>(SUMIF($5:$5,F467,$6:$6)-SUMIF($5:$5,$F$24,$6:$6)+100)/100</f>
        <v>0.01</v>
      </c>
      <c r="H467" s="965"/>
      <c r="I467" s="53">
        <f>(SUMIF($7:$7,H467,$8:$8)-SUMIF($7:$7,$H$24,$8:$8)+100)/100</f>
        <v>0.04</v>
      </c>
      <c r="J467" s="965"/>
      <c r="K467" s="53">
        <f>(SUMIF($9:$9,J467,$10:$10)-SUMIF($9:$9,$J$24,$10:$10)+100)/100</f>
        <v>0.04</v>
      </c>
      <c r="L467" s="965"/>
      <c r="M467" s="53">
        <f>(SUMIF($11:$11,L467,$12:$12)-SUMIF($11:$11,$L$24,$12:$12)+100)/100</f>
        <v>1</v>
      </c>
      <c r="N467" s="965"/>
      <c r="O467" s="53">
        <f>(SUMIF($13:$13,N467,$14:$14)-SUMIF($13:$13,$N$24,$14:$14)+100)/100</f>
        <v>1</v>
      </c>
      <c r="P467" s="965"/>
      <c r="Q467" s="53">
        <f>(SUMIF($15:$15,P467,$16:$16)-SUMIF($15:$15,$P$24,$16:$16)+100)/100</f>
        <v>1</v>
      </c>
      <c r="R467" s="965"/>
      <c r="S467" s="53">
        <f>(SUMIF($17:$17,R467,$18:$18)-SUMIF($17:$17,$R$24,$18:$18)+100)/100</f>
        <v>1</v>
      </c>
      <c r="T467" s="493">
        <f>IF(D467="",0,ROUND($T$24*E467*G467*I467*K467*M467*O467*Q467*S467,0))</f>
        <v>0</v>
      </c>
      <c r="U467" s="802">
        <f t="shared" si="20"/>
        <v>0</v>
      </c>
    </row>
    <row r="468" spans="3:21">
      <c r="C468" s="967"/>
      <c r="D468" s="137"/>
      <c r="E468" s="53">
        <f>IF(D468="",1,(LOOKUP(D468,$3:$3,$4:$4)-LOOKUP($D$24,$3:$3,$4:$4)+100)/100)</f>
        <v>1</v>
      </c>
      <c r="F468" s="965"/>
      <c r="G468" s="53">
        <f>(SUMIF($5:$5,F468,$6:$6)-SUMIF($5:$5,$F$24,$6:$6)+100)/100</f>
        <v>0.01</v>
      </c>
      <c r="H468" s="965"/>
      <c r="I468" s="53">
        <f>(SUMIF($7:$7,H468,$8:$8)-SUMIF($7:$7,$H$24,$8:$8)+100)/100</f>
        <v>0.04</v>
      </c>
      <c r="J468" s="965"/>
      <c r="K468" s="53">
        <f>(SUMIF($9:$9,J468,$10:$10)-SUMIF($9:$9,$J$24,$10:$10)+100)/100</f>
        <v>0.04</v>
      </c>
      <c r="L468" s="965"/>
      <c r="M468" s="53">
        <f>(SUMIF($11:$11,L468,$12:$12)-SUMIF($11:$11,$L$24,$12:$12)+100)/100</f>
        <v>1</v>
      </c>
      <c r="N468" s="965"/>
      <c r="O468" s="53">
        <f>(SUMIF($13:$13,N468,$14:$14)-SUMIF($13:$13,$N$24,$14:$14)+100)/100</f>
        <v>1</v>
      </c>
      <c r="P468" s="965"/>
      <c r="Q468" s="53">
        <f>(SUMIF($15:$15,P468,$16:$16)-SUMIF($15:$15,$P$24,$16:$16)+100)/100</f>
        <v>1</v>
      </c>
      <c r="R468" s="965"/>
      <c r="S468" s="53">
        <f>(SUMIF($17:$17,R468,$18:$18)-SUMIF($17:$17,$R$24,$18:$18)+100)/100</f>
        <v>1</v>
      </c>
      <c r="T468" s="493">
        <f>IF(D468="",0,ROUND($T$24*E468*G468*I468*K468*M468*O468*Q468*S468,0))</f>
        <v>0</v>
      </c>
      <c r="U468" s="802">
        <f t="shared" ref="U468:U497" si="21">ROUND(T468*D468/10000,0)</f>
        <v>0</v>
      </c>
    </row>
    <row r="469" spans="3:21">
      <c r="C469" s="967"/>
      <c r="D469" s="137"/>
      <c r="E469" s="53">
        <f>IF(D469="",1,(LOOKUP(D469,$3:$3,$4:$4)-LOOKUP($D$24,$3:$3,$4:$4)+100)/100)</f>
        <v>1</v>
      </c>
      <c r="F469" s="965"/>
      <c r="G469" s="53">
        <f>(SUMIF($5:$5,F469,$6:$6)-SUMIF($5:$5,$F$24,$6:$6)+100)/100</f>
        <v>0.01</v>
      </c>
      <c r="H469" s="965"/>
      <c r="I469" s="53">
        <f>(SUMIF($7:$7,H469,$8:$8)-SUMIF($7:$7,$H$24,$8:$8)+100)/100</f>
        <v>0.04</v>
      </c>
      <c r="J469" s="965"/>
      <c r="K469" s="53">
        <f>(SUMIF($9:$9,J469,$10:$10)-SUMIF($9:$9,$J$24,$10:$10)+100)/100</f>
        <v>0.04</v>
      </c>
      <c r="L469" s="965"/>
      <c r="M469" s="53">
        <f>(SUMIF($11:$11,L469,$12:$12)-SUMIF($11:$11,$L$24,$12:$12)+100)/100</f>
        <v>1</v>
      </c>
      <c r="N469" s="965"/>
      <c r="O469" s="53">
        <f>(SUMIF($13:$13,N469,$14:$14)-SUMIF($13:$13,$N$24,$14:$14)+100)/100</f>
        <v>1</v>
      </c>
      <c r="P469" s="965"/>
      <c r="Q469" s="53">
        <f>(SUMIF($15:$15,P469,$16:$16)-SUMIF($15:$15,$P$24,$16:$16)+100)/100</f>
        <v>1</v>
      </c>
      <c r="R469" s="965"/>
      <c r="S469" s="53">
        <f>(SUMIF($17:$17,R469,$18:$18)-SUMIF($17:$17,$R$24,$18:$18)+100)/100</f>
        <v>1</v>
      </c>
      <c r="T469" s="493">
        <f>IF(D469="",0,ROUND($T$24*E469*G469*I469*K469*M469*O469*Q469*S469,0))</f>
        <v>0</v>
      </c>
      <c r="U469" s="802">
        <f t="shared" si="21"/>
        <v>0</v>
      </c>
    </row>
    <row r="470" spans="3:21">
      <c r="C470" s="967"/>
      <c r="D470" s="137"/>
      <c r="E470" s="53">
        <f>IF(D470="",1,(LOOKUP(D470,$3:$3,$4:$4)-LOOKUP($D$24,$3:$3,$4:$4)+100)/100)</f>
        <v>1</v>
      </c>
      <c r="F470" s="965"/>
      <c r="G470" s="53">
        <f>(SUMIF($5:$5,F470,$6:$6)-SUMIF($5:$5,$F$24,$6:$6)+100)/100</f>
        <v>0.01</v>
      </c>
      <c r="H470" s="965"/>
      <c r="I470" s="53">
        <f>(SUMIF($7:$7,H470,$8:$8)-SUMIF($7:$7,$H$24,$8:$8)+100)/100</f>
        <v>0.04</v>
      </c>
      <c r="J470" s="965"/>
      <c r="K470" s="53">
        <f>(SUMIF($9:$9,J470,$10:$10)-SUMIF($9:$9,$J$24,$10:$10)+100)/100</f>
        <v>0.04</v>
      </c>
      <c r="L470" s="965"/>
      <c r="M470" s="53">
        <f>(SUMIF($11:$11,L470,$12:$12)-SUMIF($11:$11,$L$24,$12:$12)+100)/100</f>
        <v>1</v>
      </c>
      <c r="N470" s="965"/>
      <c r="O470" s="53">
        <f>(SUMIF($13:$13,N470,$14:$14)-SUMIF($13:$13,$N$24,$14:$14)+100)/100</f>
        <v>1</v>
      </c>
      <c r="P470" s="965"/>
      <c r="Q470" s="53">
        <f>(SUMIF($15:$15,P470,$16:$16)-SUMIF($15:$15,$P$24,$16:$16)+100)/100</f>
        <v>1</v>
      </c>
      <c r="R470" s="965"/>
      <c r="S470" s="53">
        <f>(SUMIF($17:$17,R470,$18:$18)-SUMIF($17:$17,$R$24,$18:$18)+100)/100</f>
        <v>1</v>
      </c>
      <c r="T470" s="493">
        <f>IF(D470="",0,ROUND($T$24*E470*G470*I470*K470*M470*O470*Q470*S470,0))</f>
        <v>0</v>
      </c>
      <c r="U470" s="802">
        <f t="shared" si="21"/>
        <v>0</v>
      </c>
    </row>
    <row r="471" spans="3:21">
      <c r="C471" s="967"/>
      <c r="D471" s="137"/>
      <c r="E471" s="53">
        <f>IF(D471="",1,(LOOKUP(D471,$3:$3,$4:$4)-LOOKUP($D$24,$3:$3,$4:$4)+100)/100)</f>
        <v>1</v>
      </c>
      <c r="F471" s="965"/>
      <c r="G471" s="53">
        <f>(SUMIF($5:$5,F471,$6:$6)-SUMIF($5:$5,$F$24,$6:$6)+100)/100</f>
        <v>0.01</v>
      </c>
      <c r="H471" s="965"/>
      <c r="I471" s="53">
        <f>(SUMIF($7:$7,H471,$8:$8)-SUMIF($7:$7,$H$24,$8:$8)+100)/100</f>
        <v>0.04</v>
      </c>
      <c r="J471" s="965"/>
      <c r="K471" s="53">
        <f>(SUMIF($9:$9,J471,$10:$10)-SUMIF($9:$9,$J$24,$10:$10)+100)/100</f>
        <v>0.04</v>
      </c>
      <c r="L471" s="965"/>
      <c r="M471" s="53">
        <f>(SUMIF($11:$11,L471,$12:$12)-SUMIF($11:$11,$L$24,$12:$12)+100)/100</f>
        <v>1</v>
      </c>
      <c r="N471" s="965"/>
      <c r="O471" s="53">
        <f>(SUMIF($13:$13,N471,$14:$14)-SUMIF($13:$13,$N$24,$14:$14)+100)/100</f>
        <v>1</v>
      </c>
      <c r="P471" s="965"/>
      <c r="Q471" s="53">
        <f>(SUMIF($15:$15,P471,$16:$16)-SUMIF($15:$15,$P$24,$16:$16)+100)/100</f>
        <v>1</v>
      </c>
      <c r="R471" s="965"/>
      <c r="S471" s="53">
        <f>(SUMIF($17:$17,R471,$18:$18)-SUMIF($17:$17,$R$24,$18:$18)+100)/100</f>
        <v>1</v>
      </c>
      <c r="T471" s="493">
        <f>IF(D471="",0,ROUND($T$24*E471*G471*I471*K471*M471*O471*Q471*S471,0))</f>
        <v>0</v>
      </c>
      <c r="U471" s="802">
        <f t="shared" si="21"/>
        <v>0</v>
      </c>
    </row>
    <row r="472" spans="3:21">
      <c r="C472" s="967"/>
      <c r="D472" s="137"/>
      <c r="E472" s="53">
        <f>IF(D472="",1,(LOOKUP(D472,$3:$3,$4:$4)-LOOKUP($D$24,$3:$3,$4:$4)+100)/100)</f>
        <v>1</v>
      </c>
      <c r="F472" s="965"/>
      <c r="G472" s="53">
        <f>(SUMIF($5:$5,F472,$6:$6)-SUMIF($5:$5,$F$24,$6:$6)+100)/100</f>
        <v>0.01</v>
      </c>
      <c r="H472" s="965"/>
      <c r="I472" s="53">
        <f>(SUMIF($7:$7,H472,$8:$8)-SUMIF($7:$7,$H$24,$8:$8)+100)/100</f>
        <v>0.04</v>
      </c>
      <c r="J472" s="965"/>
      <c r="K472" s="53">
        <f>(SUMIF($9:$9,J472,$10:$10)-SUMIF($9:$9,$J$24,$10:$10)+100)/100</f>
        <v>0.04</v>
      </c>
      <c r="L472" s="965"/>
      <c r="M472" s="53">
        <f>(SUMIF($11:$11,L472,$12:$12)-SUMIF($11:$11,$L$24,$12:$12)+100)/100</f>
        <v>1</v>
      </c>
      <c r="N472" s="965"/>
      <c r="O472" s="53">
        <f>(SUMIF($13:$13,N472,$14:$14)-SUMIF($13:$13,$N$24,$14:$14)+100)/100</f>
        <v>1</v>
      </c>
      <c r="P472" s="965"/>
      <c r="Q472" s="53">
        <f>(SUMIF($15:$15,P472,$16:$16)-SUMIF($15:$15,$P$24,$16:$16)+100)/100</f>
        <v>1</v>
      </c>
      <c r="R472" s="965"/>
      <c r="S472" s="53">
        <f>(SUMIF($17:$17,R472,$18:$18)-SUMIF($17:$17,$R$24,$18:$18)+100)/100</f>
        <v>1</v>
      </c>
      <c r="T472" s="493">
        <f>IF(D472="",0,ROUND($T$24*E472*G472*I472*K472*M472*O472*Q472*S472,0))</f>
        <v>0</v>
      </c>
      <c r="U472" s="802">
        <f t="shared" si="21"/>
        <v>0</v>
      </c>
    </row>
    <row r="473" spans="3:21">
      <c r="C473" s="967"/>
      <c r="D473" s="137"/>
      <c r="E473" s="53">
        <f>IF(D473="",1,(LOOKUP(D473,$3:$3,$4:$4)-LOOKUP($D$24,$3:$3,$4:$4)+100)/100)</f>
        <v>1</v>
      </c>
      <c r="F473" s="965"/>
      <c r="G473" s="53">
        <f>(SUMIF($5:$5,F473,$6:$6)-SUMIF($5:$5,$F$24,$6:$6)+100)/100</f>
        <v>0.01</v>
      </c>
      <c r="H473" s="965"/>
      <c r="I473" s="53">
        <f>(SUMIF($7:$7,H473,$8:$8)-SUMIF($7:$7,$H$24,$8:$8)+100)/100</f>
        <v>0.04</v>
      </c>
      <c r="J473" s="965"/>
      <c r="K473" s="53">
        <f>(SUMIF($9:$9,J473,$10:$10)-SUMIF($9:$9,$J$24,$10:$10)+100)/100</f>
        <v>0.04</v>
      </c>
      <c r="L473" s="965"/>
      <c r="M473" s="53">
        <f>(SUMIF($11:$11,L473,$12:$12)-SUMIF($11:$11,$L$24,$12:$12)+100)/100</f>
        <v>1</v>
      </c>
      <c r="N473" s="965"/>
      <c r="O473" s="53">
        <f>(SUMIF($13:$13,N473,$14:$14)-SUMIF($13:$13,$N$24,$14:$14)+100)/100</f>
        <v>1</v>
      </c>
      <c r="P473" s="965"/>
      <c r="Q473" s="53">
        <f>(SUMIF($15:$15,P473,$16:$16)-SUMIF($15:$15,$P$24,$16:$16)+100)/100</f>
        <v>1</v>
      </c>
      <c r="R473" s="965"/>
      <c r="S473" s="53">
        <f>(SUMIF($17:$17,R473,$18:$18)-SUMIF($17:$17,$R$24,$18:$18)+100)/100</f>
        <v>1</v>
      </c>
      <c r="T473" s="493">
        <f>IF(D473="",0,ROUND($T$24*E473*G473*I473*K473*M473*O473*Q473*S473,0))</f>
        <v>0</v>
      </c>
      <c r="U473" s="802">
        <f t="shared" si="21"/>
        <v>0</v>
      </c>
    </row>
    <row r="474" spans="3:21">
      <c r="C474" s="967"/>
      <c r="D474" s="137"/>
      <c r="E474" s="53">
        <f>IF(D474="",1,(LOOKUP(D474,$3:$3,$4:$4)-LOOKUP($D$24,$3:$3,$4:$4)+100)/100)</f>
        <v>1</v>
      </c>
      <c r="F474" s="965"/>
      <c r="G474" s="53">
        <f>(SUMIF($5:$5,F474,$6:$6)-SUMIF($5:$5,$F$24,$6:$6)+100)/100</f>
        <v>0.01</v>
      </c>
      <c r="H474" s="965"/>
      <c r="I474" s="53">
        <f>(SUMIF($7:$7,H474,$8:$8)-SUMIF($7:$7,$H$24,$8:$8)+100)/100</f>
        <v>0.04</v>
      </c>
      <c r="J474" s="965"/>
      <c r="K474" s="53">
        <f>(SUMIF($9:$9,J474,$10:$10)-SUMIF($9:$9,$J$24,$10:$10)+100)/100</f>
        <v>0.04</v>
      </c>
      <c r="L474" s="965"/>
      <c r="M474" s="53">
        <f>(SUMIF($11:$11,L474,$12:$12)-SUMIF($11:$11,$L$24,$12:$12)+100)/100</f>
        <v>1</v>
      </c>
      <c r="N474" s="965"/>
      <c r="O474" s="53">
        <f>(SUMIF($13:$13,N474,$14:$14)-SUMIF($13:$13,$N$24,$14:$14)+100)/100</f>
        <v>1</v>
      </c>
      <c r="P474" s="965"/>
      <c r="Q474" s="53">
        <f>(SUMIF($15:$15,P474,$16:$16)-SUMIF($15:$15,$P$24,$16:$16)+100)/100</f>
        <v>1</v>
      </c>
      <c r="R474" s="965"/>
      <c r="S474" s="53">
        <f>(SUMIF($17:$17,R474,$18:$18)-SUMIF($17:$17,$R$24,$18:$18)+100)/100</f>
        <v>1</v>
      </c>
      <c r="T474" s="493">
        <f t="shared" ref="T474:T524" si="22">IF(D474="",0,ROUND($T$24*E474*G474*I474*K474*M474*O474*Q474*S474,0))</f>
        <v>0</v>
      </c>
      <c r="U474" s="802">
        <f t="shared" si="21"/>
        <v>0</v>
      </c>
    </row>
    <row r="475" spans="3:21">
      <c r="C475" s="967"/>
      <c r="D475" s="137"/>
      <c r="E475" s="53">
        <f>IF(D475="",1,(LOOKUP(D475,$3:$3,$4:$4)-LOOKUP($D$24,$3:$3,$4:$4)+100)/100)</f>
        <v>1</v>
      </c>
      <c r="F475" s="965"/>
      <c r="G475" s="53">
        <f>(SUMIF($5:$5,F475,$6:$6)-SUMIF($5:$5,$F$24,$6:$6)+100)/100</f>
        <v>0.01</v>
      </c>
      <c r="H475" s="965"/>
      <c r="I475" s="53">
        <f>(SUMIF($7:$7,H475,$8:$8)-SUMIF($7:$7,$H$24,$8:$8)+100)/100</f>
        <v>0.04</v>
      </c>
      <c r="J475" s="965"/>
      <c r="K475" s="53">
        <f>(SUMIF($9:$9,J475,$10:$10)-SUMIF($9:$9,$J$24,$10:$10)+100)/100</f>
        <v>0.04</v>
      </c>
      <c r="L475" s="965"/>
      <c r="M475" s="53">
        <f>(SUMIF($11:$11,L475,$12:$12)-SUMIF($11:$11,$L$24,$12:$12)+100)/100</f>
        <v>1</v>
      </c>
      <c r="N475" s="965"/>
      <c r="O475" s="53">
        <f>(SUMIF($13:$13,N475,$14:$14)-SUMIF($13:$13,$N$24,$14:$14)+100)/100</f>
        <v>1</v>
      </c>
      <c r="P475" s="965"/>
      <c r="Q475" s="53">
        <f>(SUMIF($15:$15,P475,$16:$16)-SUMIF($15:$15,$P$24,$16:$16)+100)/100</f>
        <v>1</v>
      </c>
      <c r="R475" s="965"/>
      <c r="S475" s="53">
        <f>(SUMIF($17:$17,R475,$18:$18)-SUMIF($17:$17,$R$24,$18:$18)+100)/100</f>
        <v>1</v>
      </c>
      <c r="T475" s="493">
        <f t="shared" si="22"/>
        <v>0</v>
      </c>
      <c r="U475" s="802">
        <f t="shared" si="21"/>
        <v>0</v>
      </c>
    </row>
    <row r="476" spans="3:21">
      <c r="C476" s="967"/>
      <c r="D476" s="137"/>
      <c r="E476" s="53">
        <f>IF(D476="",1,(LOOKUP(D476,$3:$3,$4:$4)-LOOKUP($D$24,$3:$3,$4:$4)+100)/100)</f>
        <v>1</v>
      </c>
      <c r="F476" s="965"/>
      <c r="G476" s="53">
        <f>(SUMIF($5:$5,F476,$6:$6)-SUMIF($5:$5,$F$24,$6:$6)+100)/100</f>
        <v>0.01</v>
      </c>
      <c r="H476" s="965"/>
      <c r="I476" s="53">
        <f>(SUMIF($7:$7,H476,$8:$8)-SUMIF($7:$7,$H$24,$8:$8)+100)/100</f>
        <v>0.04</v>
      </c>
      <c r="J476" s="965"/>
      <c r="K476" s="53">
        <f>(SUMIF($9:$9,J476,$10:$10)-SUMIF($9:$9,$J$24,$10:$10)+100)/100</f>
        <v>0.04</v>
      </c>
      <c r="L476" s="965"/>
      <c r="M476" s="53">
        <f>(SUMIF($11:$11,L476,$12:$12)-SUMIF($11:$11,$L$24,$12:$12)+100)/100</f>
        <v>1</v>
      </c>
      <c r="N476" s="965"/>
      <c r="O476" s="53">
        <f>(SUMIF($13:$13,N476,$14:$14)-SUMIF($13:$13,$N$24,$14:$14)+100)/100</f>
        <v>1</v>
      </c>
      <c r="P476" s="965"/>
      <c r="Q476" s="53">
        <f>(SUMIF($15:$15,P476,$16:$16)-SUMIF($15:$15,$P$24,$16:$16)+100)/100</f>
        <v>1</v>
      </c>
      <c r="R476" s="965"/>
      <c r="S476" s="53">
        <f>(SUMIF($17:$17,R476,$18:$18)-SUMIF($17:$17,$R$24,$18:$18)+100)/100</f>
        <v>1</v>
      </c>
      <c r="T476" s="493">
        <f t="shared" si="22"/>
        <v>0</v>
      </c>
      <c r="U476" s="802">
        <f t="shared" si="21"/>
        <v>0</v>
      </c>
    </row>
    <row r="477" spans="3:21">
      <c r="C477" s="967"/>
      <c r="D477" s="137"/>
      <c r="E477" s="53">
        <f>IF(D477="",1,(LOOKUP(D477,$3:$3,$4:$4)-LOOKUP($D$24,$3:$3,$4:$4)+100)/100)</f>
        <v>1</v>
      </c>
      <c r="F477" s="965"/>
      <c r="G477" s="53">
        <f>(SUMIF($5:$5,F477,$6:$6)-SUMIF($5:$5,$F$24,$6:$6)+100)/100</f>
        <v>0.01</v>
      </c>
      <c r="H477" s="965"/>
      <c r="I477" s="53">
        <f>(SUMIF($7:$7,H477,$8:$8)-SUMIF($7:$7,$H$24,$8:$8)+100)/100</f>
        <v>0.04</v>
      </c>
      <c r="J477" s="965"/>
      <c r="K477" s="53">
        <f>(SUMIF($9:$9,J477,$10:$10)-SUMIF($9:$9,$J$24,$10:$10)+100)/100</f>
        <v>0.04</v>
      </c>
      <c r="L477" s="965"/>
      <c r="M477" s="53">
        <f>(SUMIF($11:$11,L477,$12:$12)-SUMIF($11:$11,$L$24,$12:$12)+100)/100</f>
        <v>1</v>
      </c>
      <c r="N477" s="965"/>
      <c r="O477" s="53">
        <f>(SUMIF($13:$13,N477,$14:$14)-SUMIF($13:$13,$N$24,$14:$14)+100)/100</f>
        <v>1</v>
      </c>
      <c r="P477" s="965"/>
      <c r="Q477" s="53">
        <f>(SUMIF($15:$15,P477,$16:$16)-SUMIF($15:$15,$P$24,$16:$16)+100)/100</f>
        <v>1</v>
      </c>
      <c r="R477" s="965"/>
      <c r="S477" s="53">
        <f>(SUMIF($17:$17,R477,$18:$18)-SUMIF($17:$17,$R$24,$18:$18)+100)/100</f>
        <v>1</v>
      </c>
      <c r="T477" s="493">
        <f t="shared" si="22"/>
        <v>0</v>
      </c>
      <c r="U477" s="802">
        <f t="shared" si="21"/>
        <v>0</v>
      </c>
    </row>
    <row r="478" spans="3:21">
      <c r="C478" s="967"/>
      <c r="D478" s="137"/>
      <c r="E478" s="53">
        <f>IF(D478="",1,(LOOKUP(D478,$3:$3,$4:$4)-LOOKUP($D$24,$3:$3,$4:$4)+100)/100)</f>
        <v>1</v>
      </c>
      <c r="F478" s="965"/>
      <c r="G478" s="53">
        <f>(SUMIF($5:$5,F478,$6:$6)-SUMIF($5:$5,$F$24,$6:$6)+100)/100</f>
        <v>0.01</v>
      </c>
      <c r="H478" s="965"/>
      <c r="I478" s="53">
        <f>(SUMIF($7:$7,H478,$8:$8)-SUMIF($7:$7,$H$24,$8:$8)+100)/100</f>
        <v>0.04</v>
      </c>
      <c r="J478" s="965"/>
      <c r="K478" s="53">
        <f>(SUMIF($9:$9,J478,$10:$10)-SUMIF($9:$9,$J$24,$10:$10)+100)/100</f>
        <v>0.04</v>
      </c>
      <c r="L478" s="965"/>
      <c r="M478" s="53">
        <f>(SUMIF($11:$11,L478,$12:$12)-SUMIF($11:$11,$L$24,$12:$12)+100)/100</f>
        <v>1</v>
      </c>
      <c r="N478" s="965"/>
      <c r="O478" s="53">
        <f>(SUMIF($13:$13,N478,$14:$14)-SUMIF($13:$13,$N$24,$14:$14)+100)/100</f>
        <v>1</v>
      </c>
      <c r="P478" s="965"/>
      <c r="Q478" s="53">
        <f>(SUMIF($15:$15,P478,$16:$16)-SUMIF($15:$15,$P$24,$16:$16)+100)/100</f>
        <v>1</v>
      </c>
      <c r="R478" s="965"/>
      <c r="S478" s="53">
        <f>(SUMIF($17:$17,R478,$18:$18)-SUMIF($17:$17,$R$24,$18:$18)+100)/100</f>
        <v>1</v>
      </c>
      <c r="T478" s="493">
        <f t="shared" si="22"/>
        <v>0</v>
      </c>
      <c r="U478" s="802">
        <f t="shared" si="21"/>
        <v>0</v>
      </c>
    </row>
    <row r="479" spans="3:21">
      <c r="C479" s="967"/>
      <c r="D479" s="137"/>
      <c r="E479" s="53">
        <f>IF(D479="",1,(LOOKUP(D479,$3:$3,$4:$4)-LOOKUP($D$24,$3:$3,$4:$4)+100)/100)</f>
        <v>1</v>
      </c>
      <c r="F479" s="965"/>
      <c r="G479" s="53">
        <f>(SUMIF($5:$5,F479,$6:$6)-SUMIF($5:$5,$F$24,$6:$6)+100)/100</f>
        <v>0.01</v>
      </c>
      <c r="H479" s="965"/>
      <c r="I479" s="53">
        <f>(SUMIF($7:$7,H479,$8:$8)-SUMIF($7:$7,$H$24,$8:$8)+100)/100</f>
        <v>0.04</v>
      </c>
      <c r="J479" s="965"/>
      <c r="K479" s="53">
        <f>(SUMIF($9:$9,J479,$10:$10)-SUMIF($9:$9,$J$24,$10:$10)+100)/100</f>
        <v>0.04</v>
      </c>
      <c r="L479" s="965"/>
      <c r="M479" s="53">
        <f>(SUMIF($11:$11,L479,$12:$12)-SUMIF($11:$11,$L$24,$12:$12)+100)/100</f>
        <v>1</v>
      </c>
      <c r="N479" s="965"/>
      <c r="O479" s="53">
        <f>(SUMIF($13:$13,N479,$14:$14)-SUMIF($13:$13,$N$24,$14:$14)+100)/100</f>
        <v>1</v>
      </c>
      <c r="P479" s="965"/>
      <c r="Q479" s="53">
        <f>(SUMIF($15:$15,P479,$16:$16)-SUMIF($15:$15,$P$24,$16:$16)+100)/100</f>
        <v>1</v>
      </c>
      <c r="R479" s="965"/>
      <c r="S479" s="53">
        <f>(SUMIF($17:$17,R479,$18:$18)-SUMIF($17:$17,$R$24,$18:$18)+100)/100</f>
        <v>1</v>
      </c>
      <c r="T479" s="493">
        <f t="shared" si="22"/>
        <v>0</v>
      </c>
      <c r="U479" s="802">
        <f t="shared" si="21"/>
        <v>0</v>
      </c>
    </row>
    <row r="480" spans="3:21">
      <c r="C480" s="967"/>
      <c r="D480" s="137"/>
      <c r="E480" s="53">
        <f>IF(D480="",1,(LOOKUP(D480,$3:$3,$4:$4)-LOOKUP($D$24,$3:$3,$4:$4)+100)/100)</f>
        <v>1</v>
      </c>
      <c r="F480" s="965"/>
      <c r="G480" s="53">
        <f>(SUMIF($5:$5,F480,$6:$6)-SUMIF($5:$5,$F$24,$6:$6)+100)/100</f>
        <v>0.01</v>
      </c>
      <c r="H480" s="965"/>
      <c r="I480" s="53">
        <f>(SUMIF($7:$7,H480,$8:$8)-SUMIF($7:$7,$H$24,$8:$8)+100)/100</f>
        <v>0.04</v>
      </c>
      <c r="J480" s="965"/>
      <c r="K480" s="53">
        <f>(SUMIF($9:$9,J480,$10:$10)-SUMIF($9:$9,$J$24,$10:$10)+100)/100</f>
        <v>0.04</v>
      </c>
      <c r="L480" s="965"/>
      <c r="M480" s="53">
        <f>(SUMIF($11:$11,L480,$12:$12)-SUMIF($11:$11,$L$24,$12:$12)+100)/100</f>
        <v>1</v>
      </c>
      <c r="N480" s="965"/>
      <c r="O480" s="53">
        <f>(SUMIF($13:$13,N480,$14:$14)-SUMIF($13:$13,$N$24,$14:$14)+100)/100</f>
        <v>1</v>
      </c>
      <c r="P480" s="965"/>
      <c r="Q480" s="53">
        <f>(SUMIF($15:$15,P480,$16:$16)-SUMIF($15:$15,$P$24,$16:$16)+100)/100</f>
        <v>1</v>
      </c>
      <c r="R480" s="965"/>
      <c r="S480" s="53">
        <f>(SUMIF($17:$17,R480,$18:$18)-SUMIF($17:$17,$R$24,$18:$18)+100)/100</f>
        <v>1</v>
      </c>
      <c r="T480" s="493">
        <f t="shared" si="22"/>
        <v>0</v>
      </c>
      <c r="U480" s="802">
        <f t="shared" si="21"/>
        <v>0</v>
      </c>
    </row>
    <row r="481" spans="3:21">
      <c r="C481" s="967"/>
      <c r="D481" s="137"/>
      <c r="E481" s="53">
        <f>IF(D481="",1,(LOOKUP(D481,$3:$3,$4:$4)-LOOKUP($D$24,$3:$3,$4:$4)+100)/100)</f>
        <v>1</v>
      </c>
      <c r="F481" s="965"/>
      <c r="G481" s="53">
        <f>(SUMIF($5:$5,F481,$6:$6)-SUMIF($5:$5,$F$24,$6:$6)+100)/100</f>
        <v>0.01</v>
      </c>
      <c r="H481" s="965"/>
      <c r="I481" s="53">
        <f>(SUMIF($7:$7,H481,$8:$8)-SUMIF($7:$7,$H$24,$8:$8)+100)/100</f>
        <v>0.04</v>
      </c>
      <c r="J481" s="965"/>
      <c r="K481" s="53">
        <f>(SUMIF($9:$9,J481,$10:$10)-SUMIF($9:$9,$J$24,$10:$10)+100)/100</f>
        <v>0.04</v>
      </c>
      <c r="L481" s="965"/>
      <c r="M481" s="53">
        <f>(SUMIF($11:$11,L481,$12:$12)-SUMIF($11:$11,$L$24,$12:$12)+100)/100</f>
        <v>1</v>
      </c>
      <c r="N481" s="965"/>
      <c r="O481" s="53">
        <f>(SUMIF($13:$13,N481,$14:$14)-SUMIF($13:$13,$N$24,$14:$14)+100)/100</f>
        <v>1</v>
      </c>
      <c r="P481" s="965"/>
      <c r="Q481" s="53">
        <f>(SUMIF($15:$15,P481,$16:$16)-SUMIF($15:$15,$P$24,$16:$16)+100)/100</f>
        <v>1</v>
      </c>
      <c r="R481" s="965"/>
      <c r="S481" s="53">
        <f>(SUMIF($17:$17,R481,$18:$18)-SUMIF($17:$17,$R$24,$18:$18)+100)/100</f>
        <v>1</v>
      </c>
      <c r="T481" s="493">
        <f t="shared" si="22"/>
        <v>0</v>
      </c>
      <c r="U481" s="802">
        <f t="shared" si="21"/>
        <v>0</v>
      </c>
    </row>
    <row r="482" spans="3:21">
      <c r="C482" s="967"/>
      <c r="D482" s="137"/>
      <c r="E482" s="53">
        <f>IF(D482="",1,(LOOKUP(D482,$3:$3,$4:$4)-LOOKUP($D$24,$3:$3,$4:$4)+100)/100)</f>
        <v>1</v>
      </c>
      <c r="F482" s="965"/>
      <c r="G482" s="53">
        <f>(SUMIF($5:$5,F482,$6:$6)-SUMIF($5:$5,$F$24,$6:$6)+100)/100</f>
        <v>0.01</v>
      </c>
      <c r="H482" s="965"/>
      <c r="I482" s="53">
        <f>(SUMIF($7:$7,H482,$8:$8)-SUMIF($7:$7,$H$24,$8:$8)+100)/100</f>
        <v>0.04</v>
      </c>
      <c r="J482" s="965"/>
      <c r="K482" s="53">
        <f>(SUMIF($9:$9,J482,$10:$10)-SUMIF($9:$9,$J$24,$10:$10)+100)/100</f>
        <v>0.04</v>
      </c>
      <c r="L482" s="965"/>
      <c r="M482" s="53">
        <f>(SUMIF($11:$11,L482,$12:$12)-SUMIF($11:$11,$L$24,$12:$12)+100)/100</f>
        <v>1</v>
      </c>
      <c r="N482" s="965"/>
      <c r="O482" s="53">
        <f>(SUMIF($13:$13,N482,$14:$14)-SUMIF($13:$13,$N$24,$14:$14)+100)/100</f>
        <v>1</v>
      </c>
      <c r="P482" s="965"/>
      <c r="Q482" s="53">
        <f>(SUMIF($15:$15,P482,$16:$16)-SUMIF($15:$15,$P$24,$16:$16)+100)/100</f>
        <v>1</v>
      </c>
      <c r="R482" s="965"/>
      <c r="S482" s="53">
        <f>(SUMIF($17:$17,R482,$18:$18)-SUMIF($17:$17,$R$24,$18:$18)+100)/100</f>
        <v>1</v>
      </c>
      <c r="T482" s="493">
        <f t="shared" si="22"/>
        <v>0</v>
      </c>
      <c r="U482" s="802">
        <f t="shared" si="21"/>
        <v>0</v>
      </c>
    </row>
    <row r="483" spans="3:21">
      <c r="C483" s="967"/>
      <c r="D483" s="137"/>
      <c r="E483" s="53">
        <f>IF(D483="",1,(LOOKUP(D483,$3:$3,$4:$4)-LOOKUP($D$24,$3:$3,$4:$4)+100)/100)</f>
        <v>1</v>
      </c>
      <c r="F483" s="965"/>
      <c r="G483" s="53">
        <f>(SUMIF($5:$5,F483,$6:$6)-SUMIF($5:$5,$F$24,$6:$6)+100)/100</f>
        <v>0.01</v>
      </c>
      <c r="H483" s="965"/>
      <c r="I483" s="53">
        <f>(SUMIF($7:$7,H483,$8:$8)-SUMIF($7:$7,$H$24,$8:$8)+100)/100</f>
        <v>0.04</v>
      </c>
      <c r="J483" s="965"/>
      <c r="K483" s="53">
        <f>(SUMIF($9:$9,J483,$10:$10)-SUMIF($9:$9,$J$24,$10:$10)+100)/100</f>
        <v>0.04</v>
      </c>
      <c r="L483" s="965"/>
      <c r="M483" s="53">
        <f>(SUMIF($11:$11,L483,$12:$12)-SUMIF($11:$11,$L$24,$12:$12)+100)/100</f>
        <v>1</v>
      </c>
      <c r="N483" s="965"/>
      <c r="O483" s="53">
        <f>(SUMIF($13:$13,N483,$14:$14)-SUMIF($13:$13,$N$24,$14:$14)+100)/100</f>
        <v>1</v>
      </c>
      <c r="P483" s="965"/>
      <c r="Q483" s="53">
        <f>(SUMIF($15:$15,P483,$16:$16)-SUMIF($15:$15,$P$24,$16:$16)+100)/100</f>
        <v>1</v>
      </c>
      <c r="R483" s="965"/>
      <c r="S483" s="53">
        <f>(SUMIF($17:$17,R483,$18:$18)-SUMIF($17:$17,$R$24,$18:$18)+100)/100</f>
        <v>1</v>
      </c>
      <c r="T483" s="493">
        <f t="shared" si="22"/>
        <v>0</v>
      </c>
      <c r="U483" s="802">
        <f t="shared" si="21"/>
        <v>0</v>
      </c>
    </row>
    <row r="484" spans="3:21">
      <c r="C484" s="967"/>
      <c r="D484" s="137"/>
      <c r="E484" s="53">
        <f>IF(D484="",1,(LOOKUP(D484,$3:$3,$4:$4)-LOOKUP($D$24,$3:$3,$4:$4)+100)/100)</f>
        <v>1</v>
      </c>
      <c r="F484" s="965"/>
      <c r="G484" s="53">
        <f>(SUMIF($5:$5,F484,$6:$6)-SUMIF($5:$5,$F$24,$6:$6)+100)/100</f>
        <v>0.01</v>
      </c>
      <c r="H484" s="965"/>
      <c r="I484" s="53">
        <f>(SUMIF($7:$7,H484,$8:$8)-SUMIF($7:$7,$H$24,$8:$8)+100)/100</f>
        <v>0.04</v>
      </c>
      <c r="J484" s="965"/>
      <c r="K484" s="53">
        <f>(SUMIF($9:$9,J484,$10:$10)-SUMIF($9:$9,$J$24,$10:$10)+100)/100</f>
        <v>0.04</v>
      </c>
      <c r="L484" s="965"/>
      <c r="M484" s="53">
        <f>(SUMIF($11:$11,L484,$12:$12)-SUMIF($11:$11,$L$24,$12:$12)+100)/100</f>
        <v>1</v>
      </c>
      <c r="N484" s="965"/>
      <c r="O484" s="53">
        <f>(SUMIF($13:$13,N484,$14:$14)-SUMIF($13:$13,$N$24,$14:$14)+100)/100</f>
        <v>1</v>
      </c>
      <c r="P484" s="965"/>
      <c r="Q484" s="53">
        <f>(SUMIF($15:$15,P484,$16:$16)-SUMIF($15:$15,$P$24,$16:$16)+100)/100</f>
        <v>1</v>
      </c>
      <c r="R484" s="965"/>
      <c r="S484" s="53">
        <f>(SUMIF($17:$17,R484,$18:$18)-SUMIF($17:$17,$R$24,$18:$18)+100)/100</f>
        <v>1</v>
      </c>
      <c r="T484" s="493">
        <f t="shared" si="22"/>
        <v>0</v>
      </c>
      <c r="U484" s="802">
        <f t="shared" si="21"/>
        <v>0</v>
      </c>
    </row>
    <row r="485" spans="3:21">
      <c r="C485" s="967"/>
      <c r="D485" s="137"/>
      <c r="E485" s="53">
        <f>IF(D485="",1,(LOOKUP(D485,$3:$3,$4:$4)-LOOKUP($D$24,$3:$3,$4:$4)+100)/100)</f>
        <v>1</v>
      </c>
      <c r="F485" s="965"/>
      <c r="G485" s="53">
        <f>(SUMIF($5:$5,F485,$6:$6)-SUMIF($5:$5,$F$24,$6:$6)+100)/100</f>
        <v>0.01</v>
      </c>
      <c r="H485" s="965"/>
      <c r="I485" s="53">
        <f>(SUMIF($7:$7,H485,$8:$8)-SUMIF($7:$7,$H$24,$8:$8)+100)/100</f>
        <v>0.04</v>
      </c>
      <c r="J485" s="965"/>
      <c r="K485" s="53">
        <f>(SUMIF($9:$9,J485,$10:$10)-SUMIF($9:$9,$J$24,$10:$10)+100)/100</f>
        <v>0.04</v>
      </c>
      <c r="L485" s="965"/>
      <c r="M485" s="53">
        <f>(SUMIF($11:$11,L485,$12:$12)-SUMIF($11:$11,$L$24,$12:$12)+100)/100</f>
        <v>1</v>
      </c>
      <c r="N485" s="965"/>
      <c r="O485" s="53">
        <f>(SUMIF($13:$13,N485,$14:$14)-SUMIF($13:$13,$N$24,$14:$14)+100)/100</f>
        <v>1</v>
      </c>
      <c r="P485" s="965"/>
      <c r="Q485" s="53">
        <f>(SUMIF($15:$15,P485,$16:$16)-SUMIF($15:$15,$P$24,$16:$16)+100)/100</f>
        <v>1</v>
      </c>
      <c r="R485" s="965"/>
      <c r="S485" s="53">
        <f>(SUMIF($17:$17,R485,$18:$18)-SUMIF($17:$17,$R$24,$18:$18)+100)/100</f>
        <v>1</v>
      </c>
      <c r="T485" s="493">
        <f t="shared" si="22"/>
        <v>0</v>
      </c>
      <c r="U485" s="802">
        <f t="shared" si="21"/>
        <v>0</v>
      </c>
    </row>
    <row r="486" spans="3:21">
      <c r="C486" s="967"/>
      <c r="D486" s="137"/>
      <c r="E486" s="53">
        <f>IF(D486="",1,(LOOKUP(D486,$3:$3,$4:$4)-LOOKUP($D$24,$3:$3,$4:$4)+100)/100)</f>
        <v>1</v>
      </c>
      <c r="F486" s="965"/>
      <c r="G486" s="53">
        <f>(SUMIF($5:$5,F486,$6:$6)-SUMIF($5:$5,$F$24,$6:$6)+100)/100</f>
        <v>0.01</v>
      </c>
      <c r="H486" s="965"/>
      <c r="I486" s="53">
        <f>(SUMIF($7:$7,H486,$8:$8)-SUMIF($7:$7,$H$24,$8:$8)+100)/100</f>
        <v>0.04</v>
      </c>
      <c r="J486" s="965"/>
      <c r="K486" s="53">
        <f>(SUMIF($9:$9,J486,$10:$10)-SUMIF($9:$9,$J$24,$10:$10)+100)/100</f>
        <v>0.04</v>
      </c>
      <c r="L486" s="965"/>
      <c r="M486" s="53">
        <f>(SUMIF($11:$11,L486,$12:$12)-SUMIF($11:$11,$L$24,$12:$12)+100)/100</f>
        <v>1</v>
      </c>
      <c r="N486" s="965"/>
      <c r="O486" s="53">
        <f>(SUMIF($13:$13,N486,$14:$14)-SUMIF($13:$13,$N$24,$14:$14)+100)/100</f>
        <v>1</v>
      </c>
      <c r="P486" s="965"/>
      <c r="Q486" s="53">
        <f>(SUMIF($15:$15,P486,$16:$16)-SUMIF($15:$15,$P$24,$16:$16)+100)/100</f>
        <v>1</v>
      </c>
      <c r="R486" s="965"/>
      <c r="S486" s="53">
        <f>(SUMIF($17:$17,R486,$18:$18)-SUMIF($17:$17,$R$24,$18:$18)+100)/100</f>
        <v>1</v>
      </c>
      <c r="T486" s="493">
        <f t="shared" si="22"/>
        <v>0</v>
      </c>
      <c r="U486" s="802">
        <f t="shared" si="21"/>
        <v>0</v>
      </c>
    </row>
    <row r="487" spans="3:21">
      <c r="C487" s="967"/>
      <c r="D487" s="137"/>
      <c r="E487" s="53">
        <f>IF(D487="",1,(LOOKUP(D487,$3:$3,$4:$4)-LOOKUP($D$24,$3:$3,$4:$4)+100)/100)</f>
        <v>1</v>
      </c>
      <c r="F487" s="965"/>
      <c r="G487" s="53">
        <f>(SUMIF($5:$5,F487,$6:$6)-SUMIF($5:$5,$F$24,$6:$6)+100)/100</f>
        <v>0.01</v>
      </c>
      <c r="H487" s="965"/>
      <c r="I487" s="53">
        <f>(SUMIF($7:$7,H487,$8:$8)-SUMIF($7:$7,$H$24,$8:$8)+100)/100</f>
        <v>0.04</v>
      </c>
      <c r="J487" s="965"/>
      <c r="K487" s="53">
        <f>(SUMIF($9:$9,J487,$10:$10)-SUMIF($9:$9,$J$24,$10:$10)+100)/100</f>
        <v>0.04</v>
      </c>
      <c r="L487" s="965"/>
      <c r="M487" s="53">
        <f>(SUMIF($11:$11,L487,$12:$12)-SUMIF($11:$11,$L$24,$12:$12)+100)/100</f>
        <v>1</v>
      </c>
      <c r="N487" s="965"/>
      <c r="O487" s="53">
        <f>(SUMIF($13:$13,N487,$14:$14)-SUMIF($13:$13,$N$24,$14:$14)+100)/100</f>
        <v>1</v>
      </c>
      <c r="P487" s="965"/>
      <c r="Q487" s="53">
        <f>(SUMIF($15:$15,P487,$16:$16)-SUMIF($15:$15,$P$24,$16:$16)+100)/100</f>
        <v>1</v>
      </c>
      <c r="R487" s="965"/>
      <c r="S487" s="53">
        <f>(SUMIF($17:$17,R487,$18:$18)-SUMIF($17:$17,$R$24,$18:$18)+100)/100</f>
        <v>1</v>
      </c>
      <c r="T487" s="493">
        <f t="shared" si="22"/>
        <v>0</v>
      </c>
      <c r="U487" s="802">
        <f t="shared" si="21"/>
        <v>0</v>
      </c>
    </row>
    <row r="488" spans="3:21">
      <c r="C488" s="967"/>
      <c r="D488" s="137"/>
      <c r="E488" s="53">
        <f>IF(D488="",1,(LOOKUP(D488,$3:$3,$4:$4)-LOOKUP($D$24,$3:$3,$4:$4)+100)/100)</f>
        <v>1</v>
      </c>
      <c r="F488" s="965"/>
      <c r="G488" s="53">
        <f>(SUMIF($5:$5,F488,$6:$6)-SUMIF($5:$5,$F$24,$6:$6)+100)/100</f>
        <v>0.01</v>
      </c>
      <c r="H488" s="965"/>
      <c r="I488" s="53">
        <f>(SUMIF($7:$7,H488,$8:$8)-SUMIF($7:$7,$H$24,$8:$8)+100)/100</f>
        <v>0.04</v>
      </c>
      <c r="J488" s="965"/>
      <c r="K488" s="53">
        <f>(SUMIF($9:$9,J488,$10:$10)-SUMIF($9:$9,$J$24,$10:$10)+100)/100</f>
        <v>0.04</v>
      </c>
      <c r="L488" s="965"/>
      <c r="M488" s="53">
        <f>(SUMIF($11:$11,L488,$12:$12)-SUMIF($11:$11,$L$24,$12:$12)+100)/100</f>
        <v>1</v>
      </c>
      <c r="N488" s="965"/>
      <c r="O488" s="53">
        <f>(SUMIF($13:$13,N488,$14:$14)-SUMIF($13:$13,$N$24,$14:$14)+100)/100</f>
        <v>1</v>
      </c>
      <c r="P488" s="965"/>
      <c r="Q488" s="53">
        <f>(SUMIF($15:$15,P488,$16:$16)-SUMIF($15:$15,$P$24,$16:$16)+100)/100</f>
        <v>1</v>
      </c>
      <c r="R488" s="965"/>
      <c r="S488" s="53">
        <f>(SUMIF($17:$17,R488,$18:$18)-SUMIF($17:$17,$R$24,$18:$18)+100)/100</f>
        <v>1</v>
      </c>
      <c r="T488" s="493">
        <f t="shared" si="22"/>
        <v>0</v>
      </c>
      <c r="U488" s="802">
        <f t="shared" si="21"/>
        <v>0</v>
      </c>
    </row>
    <row r="489" spans="3:21">
      <c r="C489" s="967"/>
      <c r="D489" s="137"/>
      <c r="E489" s="53">
        <f>IF(D489="",1,(LOOKUP(D489,$3:$3,$4:$4)-LOOKUP($D$24,$3:$3,$4:$4)+100)/100)</f>
        <v>1</v>
      </c>
      <c r="F489" s="965"/>
      <c r="G489" s="53">
        <f>(SUMIF($5:$5,F489,$6:$6)-SUMIF($5:$5,$F$24,$6:$6)+100)/100</f>
        <v>0.01</v>
      </c>
      <c r="H489" s="965"/>
      <c r="I489" s="53">
        <f>(SUMIF($7:$7,H489,$8:$8)-SUMIF($7:$7,$H$24,$8:$8)+100)/100</f>
        <v>0.04</v>
      </c>
      <c r="J489" s="965"/>
      <c r="K489" s="53">
        <f>(SUMIF($9:$9,J489,$10:$10)-SUMIF($9:$9,$J$24,$10:$10)+100)/100</f>
        <v>0.04</v>
      </c>
      <c r="L489" s="965"/>
      <c r="M489" s="53">
        <f>(SUMIF($11:$11,L489,$12:$12)-SUMIF($11:$11,$L$24,$12:$12)+100)/100</f>
        <v>1</v>
      </c>
      <c r="N489" s="965"/>
      <c r="O489" s="53">
        <f>(SUMIF($13:$13,N489,$14:$14)-SUMIF($13:$13,$N$24,$14:$14)+100)/100</f>
        <v>1</v>
      </c>
      <c r="P489" s="965"/>
      <c r="Q489" s="53">
        <f>(SUMIF($15:$15,P489,$16:$16)-SUMIF($15:$15,$P$24,$16:$16)+100)/100</f>
        <v>1</v>
      </c>
      <c r="R489" s="965"/>
      <c r="S489" s="53">
        <f>(SUMIF($17:$17,R489,$18:$18)-SUMIF($17:$17,$R$24,$18:$18)+100)/100</f>
        <v>1</v>
      </c>
      <c r="T489" s="493">
        <f t="shared" si="22"/>
        <v>0</v>
      </c>
      <c r="U489" s="802">
        <f t="shared" si="21"/>
        <v>0</v>
      </c>
    </row>
    <row r="490" spans="3:21">
      <c r="C490" s="967"/>
      <c r="D490" s="137"/>
      <c r="E490" s="53">
        <f>IF(D490="",1,(LOOKUP(D490,$3:$3,$4:$4)-LOOKUP($D$24,$3:$3,$4:$4)+100)/100)</f>
        <v>1</v>
      </c>
      <c r="F490" s="965"/>
      <c r="G490" s="53">
        <f>(SUMIF($5:$5,F490,$6:$6)-SUMIF($5:$5,$F$24,$6:$6)+100)/100</f>
        <v>0.01</v>
      </c>
      <c r="H490" s="965"/>
      <c r="I490" s="53">
        <f>(SUMIF($7:$7,H490,$8:$8)-SUMIF($7:$7,$H$24,$8:$8)+100)/100</f>
        <v>0.04</v>
      </c>
      <c r="J490" s="965"/>
      <c r="K490" s="53">
        <f>(SUMIF($9:$9,J490,$10:$10)-SUMIF($9:$9,$J$24,$10:$10)+100)/100</f>
        <v>0.04</v>
      </c>
      <c r="L490" s="965"/>
      <c r="M490" s="53">
        <f>(SUMIF($11:$11,L490,$12:$12)-SUMIF($11:$11,$L$24,$12:$12)+100)/100</f>
        <v>1</v>
      </c>
      <c r="N490" s="965"/>
      <c r="O490" s="53">
        <f>(SUMIF($13:$13,N490,$14:$14)-SUMIF($13:$13,$N$24,$14:$14)+100)/100</f>
        <v>1</v>
      </c>
      <c r="P490" s="965"/>
      <c r="Q490" s="53">
        <f>(SUMIF($15:$15,P490,$16:$16)-SUMIF($15:$15,$P$24,$16:$16)+100)/100</f>
        <v>1</v>
      </c>
      <c r="R490" s="965"/>
      <c r="S490" s="53">
        <f>(SUMIF($17:$17,R490,$18:$18)-SUMIF($17:$17,$R$24,$18:$18)+100)/100</f>
        <v>1</v>
      </c>
      <c r="T490" s="493">
        <f t="shared" si="22"/>
        <v>0</v>
      </c>
      <c r="U490" s="802">
        <f t="shared" si="21"/>
        <v>0</v>
      </c>
    </row>
    <row r="491" spans="3:21">
      <c r="C491" s="967"/>
      <c r="D491" s="137"/>
      <c r="E491" s="53">
        <f>IF(D491="",1,(LOOKUP(D491,$3:$3,$4:$4)-LOOKUP($D$24,$3:$3,$4:$4)+100)/100)</f>
        <v>1</v>
      </c>
      <c r="F491" s="965"/>
      <c r="G491" s="53">
        <f>(SUMIF($5:$5,F491,$6:$6)-SUMIF($5:$5,$F$24,$6:$6)+100)/100</f>
        <v>0.01</v>
      </c>
      <c r="H491" s="965"/>
      <c r="I491" s="53">
        <f>(SUMIF($7:$7,H491,$8:$8)-SUMIF($7:$7,$H$24,$8:$8)+100)/100</f>
        <v>0.04</v>
      </c>
      <c r="J491" s="965"/>
      <c r="K491" s="53">
        <f>(SUMIF($9:$9,J491,$10:$10)-SUMIF($9:$9,$J$24,$10:$10)+100)/100</f>
        <v>0.04</v>
      </c>
      <c r="L491" s="965"/>
      <c r="M491" s="53">
        <f>(SUMIF($11:$11,L491,$12:$12)-SUMIF($11:$11,$L$24,$12:$12)+100)/100</f>
        <v>1</v>
      </c>
      <c r="N491" s="965"/>
      <c r="O491" s="53">
        <f>(SUMIF($13:$13,N491,$14:$14)-SUMIF($13:$13,$N$24,$14:$14)+100)/100</f>
        <v>1</v>
      </c>
      <c r="P491" s="965"/>
      <c r="Q491" s="53">
        <f>(SUMIF($15:$15,P491,$16:$16)-SUMIF($15:$15,$P$24,$16:$16)+100)/100</f>
        <v>1</v>
      </c>
      <c r="R491" s="965"/>
      <c r="S491" s="53">
        <f>(SUMIF($17:$17,R491,$18:$18)-SUMIF($17:$17,$R$24,$18:$18)+100)/100</f>
        <v>1</v>
      </c>
      <c r="T491" s="493">
        <f t="shared" si="22"/>
        <v>0</v>
      </c>
      <c r="U491" s="802">
        <f t="shared" si="21"/>
        <v>0</v>
      </c>
    </row>
    <row r="492" spans="3:21">
      <c r="C492" s="967"/>
      <c r="D492" s="137"/>
      <c r="E492" s="53">
        <f>IF(D492="",1,(LOOKUP(D492,$3:$3,$4:$4)-LOOKUP($D$24,$3:$3,$4:$4)+100)/100)</f>
        <v>1</v>
      </c>
      <c r="F492" s="965"/>
      <c r="G492" s="53">
        <f>(SUMIF($5:$5,F492,$6:$6)-SUMIF($5:$5,$F$24,$6:$6)+100)/100</f>
        <v>0.01</v>
      </c>
      <c r="H492" s="965"/>
      <c r="I492" s="53">
        <f>(SUMIF($7:$7,H492,$8:$8)-SUMIF($7:$7,$H$24,$8:$8)+100)/100</f>
        <v>0.04</v>
      </c>
      <c r="J492" s="965"/>
      <c r="K492" s="53">
        <f>(SUMIF($9:$9,J492,$10:$10)-SUMIF($9:$9,$J$24,$10:$10)+100)/100</f>
        <v>0.04</v>
      </c>
      <c r="L492" s="965"/>
      <c r="M492" s="53">
        <f>(SUMIF($11:$11,L492,$12:$12)-SUMIF($11:$11,$L$24,$12:$12)+100)/100</f>
        <v>1</v>
      </c>
      <c r="N492" s="965"/>
      <c r="O492" s="53">
        <f>(SUMIF($13:$13,N492,$14:$14)-SUMIF($13:$13,$N$24,$14:$14)+100)/100</f>
        <v>1</v>
      </c>
      <c r="P492" s="965"/>
      <c r="Q492" s="53">
        <f>(SUMIF($15:$15,P492,$16:$16)-SUMIF($15:$15,$P$24,$16:$16)+100)/100</f>
        <v>1</v>
      </c>
      <c r="R492" s="965"/>
      <c r="S492" s="53">
        <f>(SUMIF($17:$17,R492,$18:$18)-SUMIF($17:$17,$R$24,$18:$18)+100)/100</f>
        <v>1</v>
      </c>
      <c r="T492" s="493">
        <f t="shared" si="22"/>
        <v>0</v>
      </c>
      <c r="U492" s="802">
        <f t="shared" si="21"/>
        <v>0</v>
      </c>
    </row>
    <row r="493" spans="3:21">
      <c r="C493" s="967"/>
      <c r="D493" s="137"/>
      <c r="E493" s="53">
        <f>IF(D493="",1,(LOOKUP(D493,$3:$3,$4:$4)-LOOKUP($D$24,$3:$3,$4:$4)+100)/100)</f>
        <v>1</v>
      </c>
      <c r="F493" s="965"/>
      <c r="G493" s="53">
        <f>(SUMIF($5:$5,F493,$6:$6)-SUMIF($5:$5,$F$24,$6:$6)+100)/100</f>
        <v>0.01</v>
      </c>
      <c r="H493" s="965"/>
      <c r="I493" s="53">
        <f>(SUMIF($7:$7,H493,$8:$8)-SUMIF($7:$7,$H$24,$8:$8)+100)/100</f>
        <v>0.04</v>
      </c>
      <c r="J493" s="965"/>
      <c r="K493" s="53">
        <f>(SUMIF($9:$9,J493,$10:$10)-SUMIF($9:$9,$J$24,$10:$10)+100)/100</f>
        <v>0.04</v>
      </c>
      <c r="L493" s="965"/>
      <c r="M493" s="53">
        <f>(SUMIF($11:$11,L493,$12:$12)-SUMIF($11:$11,$L$24,$12:$12)+100)/100</f>
        <v>1</v>
      </c>
      <c r="N493" s="965"/>
      <c r="O493" s="53">
        <f>(SUMIF($13:$13,N493,$14:$14)-SUMIF($13:$13,$N$24,$14:$14)+100)/100</f>
        <v>1</v>
      </c>
      <c r="P493" s="965"/>
      <c r="Q493" s="53">
        <f>(SUMIF($15:$15,P493,$16:$16)-SUMIF($15:$15,$P$24,$16:$16)+100)/100</f>
        <v>1</v>
      </c>
      <c r="R493" s="965"/>
      <c r="S493" s="53">
        <f>(SUMIF($17:$17,R493,$18:$18)-SUMIF($17:$17,$R$24,$18:$18)+100)/100</f>
        <v>1</v>
      </c>
      <c r="T493" s="493">
        <f t="shared" si="22"/>
        <v>0</v>
      </c>
      <c r="U493" s="802">
        <f t="shared" si="21"/>
        <v>0</v>
      </c>
    </row>
    <row r="494" spans="3:21">
      <c r="C494" s="967"/>
      <c r="D494" s="137"/>
      <c r="E494" s="53">
        <f>IF(D494="",1,(LOOKUP(D494,$3:$3,$4:$4)-LOOKUP($D$24,$3:$3,$4:$4)+100)/100)</f>
        <v>1</v>
      </c>
      <c r="F494" s="965"/>
      <c r="G494" s="53">
        <f>(SUMIF($5:$5,F494,$6:$6)-SUMIF($5:$5,$F$24,$6:$6)+100)/100</f>
        <v>0.01</v>
      </c>
      <c r="H494" s="965"/>
      <c r="I494" s="53">
        <f>(SUMIF($7:$7,H494,$8:$8)-SUMIF($7:$7,$H$24,$8:$8)+100)/100</f>
        <v>0.04</v>
      </c>
      <c r="J494" s="965"/>
      <c r="K494" s="53">
        <f>(SUMIF($9:$9,J494,$10:$10)-SUMIF($9:$9,$J$24,$10:$10)+100)/100</f>
        <v>0.04</v>
      </c>
      <c r="L494" s="965"/>
      <c r="M494" s="53">
        <f>(SUMIF($11:$11,L494,$12:$12)-SUMIF($11:$11,$L$24,$12:$12)+100)/100</f>
        <v>1</v>
      </c>
      <c r="N494" s="965"/>
      <c r="O494" s="53">
        <f>(SUMIF($13:$13,N494,$14:$14)-SUMIF($13:$13,$N$24,$14:$14)+100)/100</f>
        <v>1</v>
      </c>
      <c r="P494" s="965"/>
      <c r="Q494" s="53">
        <f>(SUMIF($15:$15,P494,$16:$16)-SUMIF($15:$15,$P$24,$16:$16)+100)/100</f>
        <v>1</v>
      </c>
      <c r="R494" s="965"/>
      <c r="S494" s="53">
        <f>(SUMIF($17:$17,R494,$18:$18)-SUMIF($17:$17,$R$24,$18:$18)+100)/100</f>
        <v>1</v>
      </c>
      <c r="T494" s="493">
        <f t="shared" si="22"/>
        <v>0</v>
      </c>
      <c r="U494" s="802">
        <f t="shared" si="21"/>
        <v>0</v>
      </c>
    </row>
    <row r="495" spans="3:21">
      <c r="C495" s="967"/>
      <c r="D495" s="137"/>
      <c r="E495" s="53">
        <f>IF(D495="",1,(LOOKUP(D495,$3:$3,$4:$4)-LOOKUP($D$24,$3:$3,$4:$4)+100)/100)</f>
        <v>1</v>
      </c>
      <c r="F495" s="965"/>
      <c r="G495" s="53">
        <f>(SUMIF($5:$5,F495,$6:$6)-SUMIF($5:$5,$F$24,$6:$6)+100)/100</f>
        <v>0.01</v>
      </c>
      <c r="H495" s="965"/>
      <c r="I495" s="53">
        <f>(SUMIF($7:$7,H495,$8:$8)-SUMIF($7:$7,$H$24,$8:$8)+100)/100</f>
        <v>0.04</v>
      </c>
      <c r="J495" s="965"/>
      <c r="K495" s="53">
        <f>(SUMIF($9:$9,J495,$10:$10)-SUMIF($9:$9,$J$24,$10:$10)+100)/100</f>
        <v>0.04</v>
      </c>
      <c r="L495" s="965"/>
      <c r="M495" s="53">
        <f>(SUMIF($11:$11,L495,$12:$12)-SUMIF($11:$11,$L$24,$12:$12)+100)/100</f>
        <v>1</v>
      </c>
      <c r="N495" s="965"/>
      <c r="O495" s="53">
        <f>(SUMIF($13:$13,N495,$14:$14)-SUMIF($13:$13,$N$24,$14:$14)+100)/100</f>
        <v>1</v>
      </c>
      <c r="P495" s="965"/>
      <c r="Q495" s="53">
        <f>(SUMIF($15:$15,P495,$16:$16)-SUMIF($15:$15,$P$24,$16:$16)+100)/100</f>
        <v>1</v>
      </c>
      <c r="R495" s="965"/>
      <c r="S495" s="53">
        <f>(SUMIF($17:$17,R495,$18:$18)-SUMIF($17:$17,$R$24,$18:$18)+100)/100</f>
        <v>1</v>
      </c>
      <c r="T495" s="493">
        <f t="shared" si="22"/>
        <v>0</v>
      </c>
      <c r="U495" s="802">
        <f t="shared" si="21"/>
        <v>0</v>
      </c>
    </row>
    <row r="496" spans="3:21">
      <c r="C496" s="967"/>
      <c r="D496" s="137"/>
      <c r="E496" s="53">
        <f>IF(D496="",1,(LOOKUP(D496,$3:$3,$4:$4)-LOOKUP($D$24,$3:$3,$4:$4)+100)/100)</f>
        <v>1</v>
      </c>
      <c r="F496" s="965"/>
      <c r="G496" s="53">
        <f>(SUMIF($5:$5,F496,$6:$6)-SUMIF($5:$5,$F$24,$6:$6)+100)/100</f>
        <v>0.01</v>
      </c>
      <c r="H496" s="965"/>
      <c r="I496" s="53">
        <f>(SUMIF($7:$7,H496,$8:$8)-SUMIF($7:$7,$H$24,$8:$8)+100)/100</f>
        <v>0.04</v>
      </c>
      <c r="J496" s="965"/>
      <c r="K496" s="53">
        <f>(SUMIF($9:$9,J496,$10:$10)-SUMIF($9:$9,$J$24,$10:$10)+100)/100</f>
        <v>0.04</v>
      </c>
      <c r="L496" s="965"/>
      <c r="M496" s="53">
        <f>(SUMIF($11:$11,L496,$12:$12)-SUMIF($11:$11,$L$24,$12:$12)+100)/100</f>
        <v>1</v>
      </c>
      <c r="N496" s="965"/>
      <c r="O496" s="53">
        <f>(SUMIF($13:$13,N496,$14:$14)-SUMIF($13:$13,$N$24,$14:$14)+100)/100</f>
        <v>1</v>
      </c>
      <c r="P496" s="965"/>
      <c r="Q496" s="53">
        <f>(SUMIF($15:$15,P496,$16:$16)-SUMIF($15:$15,$P$24,$16:$16)+100)/100</f>
        <v>1</v>
      </c>
      <c r="R496" s="965"/>
      <c r="S496" s="53">
        <f>(SUMIF($17:$17,R496,$18:$18)-SUMIF($17:$17,$R$24,$18:$18)+100)/100</f>
        <v>1</v>
      </c>
      <c r="T496" s="493">
        <f t="shared" si="22"/>
        <v>0</v>
      </c>
      <c r="U496" s="802">
        <f t="shared" si="21"/>
        <v>0</v>
      </c>
    </row>
    <row r="497" spans="3:21">
      <c r="C497" s="967"/>
      <c r="D497" s="137"/>
      <c r="E497" s="53">
        <f>IF(D497="",1,(LOOKUP(D497,$3:$3,$4:$4)-LOOKUP($D$24,$3:$3,$4:$4)+100)/100)</f>
        <v>1</v>
      </c>
      <c r="F497" s="965"/>
      <c r="G497" s="53">
        <f>(SUMIF($5:$5,F497,$6:$6)-SUMIF($5:$5,$F$24,$6:$6)+100)/100</f>
        <v>0.01</v>
      </c>
      <c r="H497" s="965"/>
      <c r="I497" s="53">
        <f>(SUMIF($7:$7,H497,$8:$8)-SUMIF($7:$7,$H$24,$8:$8)+100)/100</f>
        <v>0.04</v>
      </c>
      <c r="J497" s="965"/>
      <c r="K497" s="53">
        <f>(SUMIF($9:$9,J497,$10:$10)-SUMIF($9:$9,$J$24,$10:$10)+100)/100</f>
        <v>0.04</v>
      </c>
      <c r="L497" s="965"/>
      <c r="M497" s="53">
        <f>(SUMIF($11:$11,L497,$12:$12)-SUMIF($11:$11,$L$24,$12:$12)+100)/100</f>
        <v>1</v>
      </c>
      <c r="N497" s="965"/>
      <c r="O497" s="53">
        <f>(SUMIF($13:$13,N497,$14:$14)-SUMIF($13:$13,$N$24,$14:$14)+100)/100</f>
        <v>1</v>
      </c>
      <c r="P497" s="965"/>
      <c r="Q497" s="53">
        <f>(SUMIF($15:$15,P497,$16:$16)-SUMIF($15:$15,$P$24,$16:$16)+100)/100</f>
        <v>1</v>
      </c>
      <c r="R497" s="965"/>
      <c r="S497" s="53">
        <f>(SUMIF($17:$17,R497,$18:$18)-SUMIF($17:$17,$R$24,$18:$18)+100)/100</f>
        <v>1</v>
      </c>
      <c r="T497" s="493">
        <f t="shared" si="22"/>
        <v>0</v>
      </c>
      <c r="U497" s="802">
        <f t="shared" si="21"/>
        <v>0</v>
      </c>
    </row>
    <row r="498" spans="3:21">
      <c r="C498" s="967"/>
      <c r="D498" s="137"/>
      <c r="E498" s="53">
        <f>IF(D498="",1,(LOOKUP(D498,$3:$3,$4:$4)-LOOKUP($D$24,$3:$3,$4:$4)+100)/100)</f>
        <v>1</v>
      </c>
      <c r="F498" s="965"/>
      <c r="G498" s="53">
        <f>(SUMIF($5:$5,F498,$6:$6)-SUMIF($5:$5,$F$24,$6:$6)+100)/100</f>
        <v>0.01</v>
      </c>
      <c r="H498" s="965"/>
      <c r="I498" s="53">
        <f>(SUMIF($7:$7,H498,$8:$8)-SUMIF($7:$7,$H$24,$8:$8)+100)/100</f>
        <v>0.04</v>
      </c>
      <c r="J498" s="965"/>
      <c r="K498" s="53">
        <f>(SUMIF($9:$9,J498,$10:$10)-SUMIF($9:$9,$J$24,$10:$10)+100)/100</f>
        <v>0.04</v>
      </c>
      <c r="L498" s="965"/>
      <c r="M498" s="53">
        <f>(SUMIF($11:$11,L498,$12:$12)-SUMIF($11:$11,$L$24,$12:$12)+100)/100</f>
        <v>1</v>
      </c>
      <c r="N498" s="965"/>
      <c r="O498" s="53">
        <f>(SUMIF($13:$13,N498,$14:$14)-SUMIF($13:$13,$N$24,$14:$14)+100)/100</f>
        <v>1</v>
      </c>
      <c r="P498" s="965"/>
      <c r="Q498" s="53">
        <f>(SUMIF($15:$15,P498,$16:$16)-SUMIF($15:$15,$P$24,$16:$16)+100)/100</f>
        <v>1</v>
      </c>
      <c r="R498" s="965"/>
      <c r="S498" s="53">
        <f>(SUMIF($17:$17,R498,$18:$18)-SUMIF($17:$17,$R$24,$18:$18)+100)/100</f>
        <v>1</v>
      </c>
      <c r="T498" s="493">
        <f t="shared" si="22"/>
        <v>0</v>
      </c>
      <c r="U498" s="802">
        <f t="shared" ref="U498:U524" si="23">ROUND(T498*D498/10000,0)</f>
        <v>0</v>
      </c>
    </row>
    <row r="499" spans="3:21">
      <c r="C499" s="967"/>
      <c r="D499" s="137"/>
      <c r="E499" s="53">
        <f>IF(D499="",1,(LOOKUP(D499,$3:$3,$4:$4)-LOOKUP($D$24,$3:$3,$4:$4)+100)/100)</f>
        <v>1</v>
      </c>
      <c r="F499" s="965"/>
      <c r="G499" s="53">
        <f>(SUMIF($5:$5,F499,$6:$6)-SUMIF($5:$5,$F$24,$6:$6)+100)/100</f>
        <v>0.01</v>
      </c>
      <c r="H499" s="965"/>
      <c r="I499" s="53">
        <f>(SUMIF($7:$7,H499,$8:$8)-SUMIF($7:$7,$H$24,$8:$8)+100)/100</f>
        <v>0.04</v>
      </c>
      <c r="J499" s="965"/>
      <c r="K499" s="53">
        <f>(SUMIF($9:$9,J499,$10:$10)-SUMIF($9:$9,$J$24,$10:$10)+100)/100</f>
        <v>0.04</v>
      </c>
      <c r="L499" s="965"/>
      <c r="M499" s="53">
        <f>(SUMIF($11:$11,L499,$12:$12)-SUMIF($11:$11,$L$24,$12:$12)+100)/100</f>
        <v>1</v>
      </c>
      <c r="N499" s="965"/>
      <c r="O499" s="53">
        <f>(SUMIF($13:$13,N499,$14:$14)-SUMIF($13:$13,$N$24,$14:$14)+100)/100</f>
        <v>1</v>
      </c>
      <c r="P499" s="965"/>
      <c r="Q499" s="53">
        <f>(SUMIF($15:$15,P499,$16:$16)-SUMIF($15:$15,$P$24,$16:$16)+100)/100</f>
        <v>1</v>
      </c>
      <c r="R499" s="965"/>
      <c r="S499" s="53">
        <f>(SUMIF($17:$17,R499,$18:$18)-SUMIF($17:$17,$R$24,$18:$18)+100)/100</f>
        <v>1</v>
      </c>
      <c r="T499" s="493">
        <f t="shared" si="22"/>
        <v>0</v>
      </c>
      <c r="U499" s="802">
        <f t="shared" si="23"/>
        <v>0</v>
      </c>
    </row>
    <row r="500" spans="3:21">
      <c r="C500" s="967"/>
      <c r="D500" s="137"/>
      <c r="E500" s="53">
        <f>IF(D500="",1,(LOOKUP(D500,$3:$3,$4:$4)-LOOKUP($D$24,$3:$3,$4:$4)+100)/100)</f>
        <v>1</v>
      </c>
      <c r="F500" s="965"/>
      <c r="G500" s="53">
        <f>(SUMIF($5:$5,F500,$6:$6)-SUMIF($5:$5,$F$24,$6:$6)+100)/100</f>
        <v>0.01</v>
      </c>
      <c r="H500" s="965"/>
      <c r="I500" s="53">
        <f>(SUMIF($7:$7,H500,$8:$8)-SUMIF($7:$7,$H$24,$8:$8)+100)/100</f>
        <v>0.04</v>
      </c>
      <c r="J500" s="965"/>
      <c r="K500" s="53">
        <f>(SUMIF($9:$9,J500,$10:$10)-SUMIF($9:$9,$J$24,$10:$10)+100)/100</f>
        <v>0.04</v>
      </c>
      <c r="L500" s="965"/>
      <c r="M500" s="53">
        <f>(SUMIF($11:$11,L500,$12:$12)-SUMIF($11:$11,$L$24,$12:$12)+100)/100</f>
        <v>1</v>
      </c>
      <c r="N500" s="965"/>
      <c r="O500" s="53">
        <f>(SUMIF($13:$13,N500,$14:$14)-SUMIF($13:$13,$N$24,$14:$14)+100)/100</f>
        <v>1</v>
      </c>
      <c r="P500" s="965"/>
      <c r="Q500" s="53">
        <f>(SUMIF($15:$15,P500,$16:$16)-SUMIF($15:$15,$P$24,$16:$16)+100)/100</f>
        <v>1</v>
      </c>
      <c r="R500" s="965"/>
      <c r="S500" s="53">
        <f>(SUMIF($17:$17,R500,$18:$18)-SUMIF($17:$17,$R$24,$18:$18)+100)/100</f>
        <v>1</v>
      </c>
      <c r="T500" s="493">
        <f t="shared" si="22"/>
        <v>0</v>
      </c>
      <c r="U500" s="802">
        <f t="shared" si="23"/>
        <v>0</v>
      </c>
    </row>
    <row r="501" spans="3:21">
      <c r="C501" s="967"/>
      <c r="D501" s="137"/>
      <c r="E501" s="53">
        <f>IF(D501="",1,(LOOKUP(D501,$3:$3,$4:$4)-LOOKUP($D$24,$3:$3,$4:$4)+100)/100)</f>
        <v>1</v>
      </c>
      <c r="F501" s="965"/>
      <c r="G501" s="53">
        <f>(SUMIF($5:$5,F501,$6:$6)-SUMIF($5:$5,$F$24,$6:$6)+100)/100</f>
        <v>0.01</v>
      </c>
      <c r="H501" s="965"/>
      <c r="I501" s="53">
        <f>(SUMIF($7:$7,H501,$8:$8)-SUMIF($7:$7,$H$24,$8:$8)+100)/100</f>
        <v>0.04</v>
      </c>
      <c r="J501" s="965"/>
      <c r="K501" s="53">
        <f>(SUMIF($9:$9,J501,$10:$10)-SUMIF($9:$9,$J$24,$10:$10)+100)/100</f>
        <v>0.04</v>
      </c>
      <c r="L501" s="965"/>
      <c r="M501" s="53">
        <f>(SUMIF($11:$11,L501,$12:$12)-SUMIF($11:$11,$L$24,$12:$12)+100)/100</f>
        <v>1</v>
      </c>
      <c r="N501" s="965"/>
      <c r="O501" s="53">
        <f>(SUMIF($13:$13,N501,$14:$14)-SUMIF($13:$13,$N$24,$14:$14)+100)/100</f>
        <v>1</v>
      </c>
      <c r="P501" s="965"/>
      <c r="Q501" s="53">
        <f>(SUMIF($15:$15,P501,$16:$16)-SUMIF($15:$15,$P$24,$16:$16)+100)/100</f>
        <v>1</v>
      </c>
      <c r="R501" s="965"/>
      <c r="S501" s="53">
        <f>(SUMIF($17:$17,R501,$18:$18)-SUMIF($17:$17,$R$24,$18:$18)+100)/100</f>
        <v>1</v>
      </c>
      <c r="T501" s="493">
        <f t="shared" si="22"/>
        <v>0</v>
      </c>
      <c r="U501" s="802">
        <f t="shared" si="23"/>
        <v>0</v>
      </c>
    </row>
    <row r="502" spans="3:21">
      <c r="C502" s="967"/>
      <c r="D502" s="137"/>
      <c r="E502" s="53">
        <f>IF(D502="",1,(LOOKUP(D502,$3:$3,$4:$4)-LOOKUP($D$24,$3:$3,$4:$4)+100)/100)</f>
        <v>1</v>
      </c>
      <c r="F502" s="965"/>
      <c r="G502" s="53">
        <f>(SUMIF($5:$5,F502,$6:$6)-SUMIF($5:$5,$F$24,$6:$6)+100)/100</f>
        <v>0.01</v>
      </c>
      <c r="H502" s="965"/>
      <c r="I502" s="53">
        <f>(SUMIF($7:$7,H502,$8:$8)-SUMIF($7:$7,$H$24,$8:$8)+100)/100</f>
        <v>0.04</v>
      </c>
      <c r="J502" s="965"/>
      <c r="K502" s="53">
        <f>(SUMIF($9:$9,J502,$10:$10)-SUMIF($9:$9,$J$24,$10:$10)+100)/100</f>
        <v>0.04</v>
      </c>
      <c r="L502" s="965"/>
      <c r="M502" s="53">
        <f>(SUMIF($11:$11,L502,$12:$12)-SUMIF($11:$11,$L$24,$12:$12)+100)/100</f>
        <v>1</v>
      </c>
      <c r="N502" s="965"/>
      <c r="O502" s="53">
        <f>(SUMIF($13:$13,N502,$14:$14)-SUMIF($13:$13,$N$24,$14:$14)+100)/100</f>
        <v>1</v>
      </c>
      <c r="P502" s="965"/>
      <c r="Q502" s="53">
        <f>(SUMIF($15:$15,P502,$16:$16)-SUMIF($15:$15,$P$24,$16:$16)+100)/100</f>
        <v>1</v>
      </c>
      <c r="R502" s="965"/>
      <c r="S502" s="53">
        <f>(SUMIF($17:$17,R502,$18:$18)-SUMIF($17:$17,$R$24,$18:$18)+100)/100</f>
        <v>1</v>
      </c>
      <c r="T502" s="493">
        <f t="shared" si="22"/>
        <v>0</v>
      </c>
      <c r="U502" s="802">
        <f t="shared" si="23"/>
        <v>0</v>
      </c>
    </row>
    <row r="503" spans="3:21">
      <c r="C503" s="967"/>
      <c r="D503" s="137"/>
      <c r="E503" s="53">
        <f>IF(D503="",1,(LOOKUP(D503,$3:$3,$4:$4)-LOOKUP($D$24,$3:$3,$4:$4)+100)/100)</f>
        <v>1</v>
      </c>
      <c r="F503" s="965"/>
      <c r="G503" s="53">
        <f>(SUMIF($5:$5,F503,$6:$6)-SUMIF($5:$5,$F$24,$6:$6)+100)/100</f>
        <v>0.01</v>
      </c>
      <c r="H503" s="965"/>
      <c r="I503" s="53">
        <f>(SUMIF($7:$7,H503,$8:$8)-SUMIF($7:$7,$H$24,$8:$8)+100)/100</f>
        <v>0.04</v>
      </c>
      <c r="J503" s="965"/>
      <c r="K503" s="53">
        <f>(SUMIF($9:$9,J503,$10:$10)-SUMIF($9:$9,$J$24,$10:$10)+100)/100</f>
        <v>0.04</v>
      </c>
      <c r="L503" s="965"/>
      <c r="M503" s="53">
        <f>(SUMIF($11:$11,L503,$12:$12)-SUMIF($11:$11,$L$24,$12:$12)+100)/100</f>
        <v>1</v>
      </c>
      <c r="N503" s="965"/>
      <c r="O503" s="53">
        <f>(SUMIF($13:$13,N503,$14:$14)-SUMIF($13:$13,$N$24,$14:$14)+100)/100</f>
        <v>1</v>
      </c>
      <c r="P503" s="965"/>
      <c r="Q503" s="53">
        <f>(SUMIF($15:$15,P503,$16:$16)-SUMIF($15:$15,$P$24,$16:$16)+100)/100</f>
        <v>1</v>
      </c>
      <c r="R503" s="965"/>
      <c r="S503" s="53">
        <f>(SUMIF($17:$17,R503,$18:$18)-SUMIF($17:$17,$R$24,$18:$18)+100)/100</f>
        <v>1</v>
      </c>
      <c r="T503" s="493">
        <f t="shared" si="22"/>
        <v>0</v>
      </c>
      <c r="U503" s="802">
        <f t="shared" si="23"/>
        <v>0</v>
      </c>
    </row>
    <row r="504" spans="3:21">
      <c r="C504" s="967"/>
      <c r="D504" s="137"/>
      <c r="E504" s="53">
        <f>IF(D504="",1,(LOOKUP(D504,$3:$3,$4:$4)-LOOKUP($D$24,$3:$3,$4:$4)+100)/100)</f>
        <v>1</v>
      </c>
      <c r="F504" s="965"/>
      <c r="G504" s="53">
        <f>(SUMIF($5:$5,F504,$6:$6)-SUMIF($5:$5,$F$24,$6:$6)+100)/100</f>
        <v>0.01</v>
      </c>
      <c r="H504" s="965"/>
      <c r="I504" s="53">
        <f>(SUMIF($7:$7,H504,$8:$8)-SUMIF($7:$7,$H$24,$8:$8)+100)/100</f>
        <v>0.04</v>
      </c>
      <c r="J504" s="965"/>
      <c r="K504" s="53">
        <f>(SUMIF($9:$9,J504,$10:$10)-SUMIF($9:$9,$J$24,$10:$10)+100)/100</f>
        <v>0.04</v>
      </c>
      <c r="L504" s="965"/>
      <c r="M504" s="53">
        <f>(SUMIF($11:$11,L504,$12:$12)-SUMIF($11:$11,$L$24,$12:$12)+100)/100</f>
        <v>1</v>
      </c>
      <c r="N504" s="965"/>
      <c r="O504" s="53">
        <f>(SUMIF($13:$13,N504,$14:$14)-SUMIF($13:$13,$N$24,$14:$14)+100)/100</f>
        <v>1</v>
      </c>
      <c r="P504" s="965"/>
      <c r="Q504" s="53">
        <f>(SUMIF($15:$15,P504,$16:$16)-SUMIF($15:$15,$P$24,$16:$16)+100)/100</f>
        <v>1</v>
      </c>
      <c r="R504" s="965"/>
      <c r="S504" s="53">
        <f>(SUMIF($17:$17,R504,$18:$18)-SUMIF($17:$17,$R$24,$18:$18)+100)/100</f>
        <v>1</v>
      </c>
      <c r="T504" s="493">
        <f t="shared" si="22"/>
        <v>0</v>
      </c>
      <c r="U504" s="802">
        <f t="shared" si="23"/>
        <v>0</v>
      </c>
    </row>
    <row r="505" spans="3:21">
      <c r="C505" s="967"/>
      <c r="D505" s="137"/>
      <c r="E505" s="53">
        <f>IF(D505="",1,(LOOKUP(D505,$3:$3,$4:$4)-LOOKUP($D$24,$3:$3,$4:$4)+100)/100)</f>
        <v>1</v>
      </c>
      <c r="F505" s="965"/>
      <c r="G505" s="53">
        <f>(SUMIF($5:$5,F505,$6:$6)-SUMIF($5:$5,$F$24,$6:$6)+100)/100</f>
        <v>0.01</v>
      </c>
      <c r="H505" s="965"/>
      <c r="I505" s="53">
        <f>(SUMIF($7:$7,H505,$8:$8)-SUMIF($7:$7,$H$24,$8:$8)+100)/100</f>
        <v>0.04</v>
      </c>
      <c r="J505" s="965"/>
      <c r="K505" s="53">
        <f>(SUMIF($9:$9,J505,$10:$10)-SUMIF($9:$9,$J$24,$10:$10)+100)/100</f>
        <v>0.04</v>
      </c>
      <c r="L505" s="965"/>
      <c r="M505" s="53">
        <f>(SUMIF($11:$11,L505,$12:$12)-SUMIF($11:$11,$L$24,$12:$12)+100)/100</f>
        <v>1</v>
      </c>
      <c r="N505" s="965"/>
      <c r="O505" s="53">
        <f>(SUMIF($13:$13,N505,$14:$14)-SUMIF($13:$13,$N$24,$14:$14)+100)/100</f>
        <v>1</v>
      </c>
      <c r="P505" s="965"/>
      <c r="Q505" s="53">
        <f>(SUMIF($15:$15,P505,$16:$16)-SUMIF($15:$15,$P$24,$16:$16)+100)/100</f>
        <v>1</v>
      </c>
      <c r="R505" s="965"/>
      <c r="S505" s="53">
        <f>(SUMIF($17:$17,R505,$18:$18)-SUMIF($17:$17,$R$24,$18:$18)+100)/100</f>
        <v>1</v>
      </c>
      <c r="T505" s="493">
        <f t="shared" si="22"/>
        <v>0</v>
      </c>
      <c r="U505" s="802">
        <f t="shared" si="23"/>
        <v>0</v>
      </c>
    </row>
    <row r="506" spans="3:21">
      <c r="C506" s="967"/>
      <c r="D506" s="137"/>
      <c r="E506" s="53">
        <f>IF(D506="",1,(LOOKUP(D506,$3:$3,$4:$4)-LOOKUP($D$24,$3:$3,$4:$4)+100)/100)</f>
        <v>1</v>
      </c>
      <c r="F506" s="965"/>
      <c r="G506" s="53">
        <f>(SUMIF($5:$5,F506,$6:$6)-SUMIF($5:$5,$F$24,$6:$6)+100)/100</f>
        <v>0.01</v>
      </c>
      <c r="H506" s="965"/>
      <c r="I506" s="53">
        <f>(SUMIF($7:$7,H506,$8:$8)-SUMIF($7:$7,$H$24,$8:$8)+100)/100</f>
        <v>0.04</v>
      </c>
      <c r="J506" s="965"/>
      <c r="K506" s="53">
        <f>(SUMIF($9:$9,J506,$10:$10)-SUMIF($9:$9,$J$24,$10:$10)+100)/100</f>
        <v>0.04</v>
      </c>
      <c r="L506" s="965"/>
      <c r="M506" s="53">
        <f>(SUMIF($11:$11,L506,$12:$12)-SUMIF($11:$11,$L$24,$12:$12)+100)/100</f>
        <v>1</v>
      </c>
      <c r="N506" s="965"/>
      <c r="O506" s="53">
        <f>(SUMIF($13:$13,N506,$14:$14)-SUMIF($13:$13,$N$24,$14:$14)+100)/100</f>
        <v>1</v>
      </c>
      <c r="P506" s="965"/>
      <c r="Q506" s="53">
        <f>(SUMIF($15:$15,P506,$16:$16)-SUMIF($15:$15,$P$24,$16:$16)+100)/100</f>
        <v>1</v>
      </c>
      <c r="R506" s="965"/>
      <c r="S506" s="53">
        <f>(SUMIF($17:$17,R506,$18:$18)-SUMIF($17:$17,$R$24,$18:$18)+100)/100</f>
        <v>1</v>
      </c>
      <c r="T506" s="493">
        <f t="shared" si="22"/>
        <v>0</v>
      </c>
      <c r="U506" s="802">
        <f t="shared" si="23"/>
        <v>0</v>
      </c>
    </row>
    <row r="507" spans="3:21">
      <c r="C507" s="967"/>
      <c r="D507" s="137"/>
      <c r="E507" s="53">
        <f>IF(D507="",1,(LOOKUP(D507,$3:$3,$4:$4)-LOOKUP($D$24,$3:$3,$4:$4)+100)/100)</f>
        <v>1</v>
      </c>
      <c r="F507" s="965"/>
      <c r="G507" s="53">
        <f>(SUMIF($5:$5,F507,$6:$6)-SUMIF($5:$5,$F$24,$6:$6)+100)/100</f>
        <v>0.01</v>
      </c>
      <c r="H507" s="965"/>
      <c r="I507" s="53">
        <f>(SUMIF($7:$7,H507,$8:$8)-SUMIF($7:$7,$H$24,$8:$8)+100)/100</f>
        <v>0.04</v>
      </c>
      <c r="J507" s="965"/>
      <c r="K507" s="53">
        <f>(SUMIF($9:$9,J507,$10:$10)-SUMIF($9:$9,$J$24,$10:$10)+100)/100</f>
        <v>0.04</v>
      </c>
      <c r="L507" s="965"/>
      <c r="M507" s="53">
        <f>(SUMIF($11:$11,L507,$12:$12)-SUMIF($11:$11,$L$24,$12:$12)+100)/100</f>
        <v>1</v>
      </c>
      <c r="N507" s="965"/>
      <c r="O507" s="53">
        <f>(SUMIF($13:$13,N507,$14:$14)-SUMIF($13:$13,$N$24,$14:$14)+100)/100</f>
        <v>1</v>
      </c>
      <c r="P507" s="965"/>
      <c r="Q507" s="53">
        <f>(SUMIF($15:$15,P507,$16:$16)-SUMIF($15:$15,$P$24,$16:$16)+100)/100</f>
        <v>1</v>
      </c>
      <c r="R507" s="965"/>
      <c r="S507" s="53">
        <f>(SUMIF($17:$17,R507,$18:$18)-SUMIF($17:$17,$R$24,$18:$18)+100)/100</f>
        <v>1</v>
      </c>
      <c r="T507" s="493">
        <f t="shared" si="22"/>
        <v>0</v>
      </c>
      <c r="U507" s="802">
        <f t="shared" si="23"/>
        <v>0</v>
      </c>
    </row>
    <row r="508" spans="3:21">
      <c r="C508" s="967"/>
      <c r="D508" s="137"/>
      <c r="E508" s="53">
        <f>IF(D508="",1,(LOOKUP(D508,$3:$3,$4:$4)-LOOKUP($D$24,$3:$3,$4:$4)+100)/100)</f>
        <v>1</v>
      </c>
      <c r="F508" s="965"/>
      <c r="G508" s="53">
        <f>(SUMIF($5:$5,F508,$6:$6)-SUMIF($5:$5,$F$24,$6:$6)+100)/100</f>
        <v>0.01</v>
      </c>
      <c r="H508" s="965"/>
      <c r="I508" s="53">
        <f>(SUMIF($7:$7,H508,$8:$8)-SUMIF($7:$7,$H$24,$8:$8)+100)/100</f>
        <v>0.04</v>
      </c>
      <c r="J508" s="965"/>
      <c r="K508" s="53">
        <f>(SUMIF($9:$9,J508,$10:$10)-SUMIF($9:$9,$J$24,$10:$10)+100)/100</f>
        <v>0.04</v>
      </c>
      <c r="L508" s="965"/>
      <c r="M508" s="53">
        <f>(SUMIF($11:$11,L508,$12:$12)-SUMIF($11:$11,$L$24,$12:$12)+100)/100</f>
        <v>1</v>
      </c>
      <c r="N508" s="965"/>
      <c r="O508" s="53">
        <f>(SUMIF($13:$13,N508,$14:$14)-SUMIF($13:$13,$N$24,$14:$14)+100)/100</f>
        <v>1</v>
      </c>
      <c r="P508" s="965"/>
      <c r="Q508" s="53">
        <f>(SUMIF($15:$15,P508,$16:$16)-SUMIF($15:$15,$P$24,$16:$16)+100)/100</f>
        <v>1</v>
      </c>
      <c r="R508" s="965"/>
      <c r="S508" s="53">
        <f>(SUMIF($17:$17,R508,$18:$18)-SUMIF($17:$17,$R$24,$18:$18)+100)/100</f>
        <v>1</v>
      </c>
      <c r="T508" s="493">
        <f t="shared" si="22"/>
        <v>0</v>
      </c>
      <c r="U508" s="802">
        <f t="shared" si="23"/>
        <v>0</v>
      </c>
    </row>
    <row r="509" spans="3:21">
      <c r="C509" s="967"/>
      <c r="D509" s="137"/>
      <c r="E509" s="53">
        <f>IF(D509="",1,(LOOKUP(D509,$3:$3,$4:$4)-LOOKUP($D$24,$3:$3,$4:$4)+100)/100)</f>
        <v>1</v>
      </c>
      <c r="F509" s="965"/>
      <c r="G509" s="53">
        <f>(SUMIF($5:$5,F509,$6:$6)-SUMIF($5:$5,$F$24,$6:$6)+100)/100</f>
        <v>0.01</v>
      </c>
      <c r="H509" s="965"/>
      <c r="I509" s="53">
        <f>(SUMIF($7:$7,H509,$8:$8)-SUMIF($7:$7,$H$24,$8:$8)+100)/100</f>
        <v>0.04</v>
      </c>
      <c r="J509" s="965"/>
      <c r="K509" s="53">
        <f>(SUMIF($9:$9,J509,$10:$10)-SUMIF($9:$9,$J$24,$10:$10)+100)/100</f>
        <v>0.04</v>
      </c>
      <c r="L509" s="965"/>
      <c r="M509" s="53">
        <f>(SUMIF($11:$11,L509,$12:$12)-SUMIF($11:$11,$L$24,$12:$12)+100)/100</f>
        <v>1</v>
      </c>
      <c r="N509" s="965"/>
      <c r="O509" s="53">
        <f>(SUMIF($13:$13,N509,$14:$14)-SUMIF($13:$13,$N$24,$14:$14)+100)/100</f>
        <v>1</v>
      </c>
      <c r="P509" s="965"/>
      <c r="Q509" s="53">
        <f>(SUMIF($15:$15,P509,$16:$16)-SUMIF($15:$15,$P$24,$16:$16)+100)/100</f>
        <v>1</v>
      </c>
      <c r="R509" s="965"/>
      <c r="S509" s="53">
        <f>(SUMIF($17:$17,R509,$18:$18)-SUMIF($17:$17,$R$24,$18:$18)+100)/100</f>
        <v>1</v>
      </c>
      <c r="T509" s="493">
        <f t="shared" si="22"/>
        <v>0</v>
      </c>
      <c r="U509" s="802">
        <f t="shared" si="23"/>
        <v>0</v>
      </c>
    </row>
    <row r="510" spans="3:21">
      <c r="C510" s="967"/>
      <c r="D510" s="137"/>
      <c r="E510" s="53">
        <f>IF(D510="",1,(LOOKUP(D510,$3:$3,$4:$4)-LOOKUP($D$24,$3:$3,$4:$4)+100)/100)</f>
        <v>1</v>
      </c>
      <c r="F510" s="965"/>
      <c r="G510" s="53">
        <f>(SUMIF($5:$5,F510,$6:$6)-SUMIF($5:$5,$F$24,$6:$6)+100)/100</f>
        <v>0.01</v>
      </c>
      <c r="H510" s="965"/>
      <c r="I510" s="53">
        <f>(SUMIF($7:$7,H510,$8:$8)-SUMIF($7:$7,$H$24,$8:$8)+100)/100</f>
        <v>0.04</v>
      </c>
      <c r="J510" s="965"/>
      <c r="K510" s="53">
        <f>(SUMIF($9:$9,J510,$10:$10)-SUMIF($9:$9,$J$24,$10:$10)+100)/100</f>
        <v>0.04</v>
      </c>
      <c r="L510" s="965"/>
      <c r="M510" s="53">
        <f>(SUMIF($11:$11,L510,$12:$12)-SUMIF($11:$11,$L$24,$12:$12)+100)/100</f>
        <v>1</v>
      </c>
      <c r="N510" s="965"/>
      <c r="O510" s="53">
        <f>(SUMIF($13:$13,N510,$14:$14)-SUMIF($13:$13,$N$24,$14:$14)+100)/100</f>
        <v>1</v>
      </c>
      <c r="P510" s="965"/>
      <c r="Q510" s="53">
        <f>(SUMIF($15:$15,P510,$16:$16)-SUMIF($15:$15,$P$24,$16:$16)+100)/100</f>
        <v>1</v>
      </c>
      <c r="R510" s="965"/>
      <c r="S510" s="53">
        <f>(SUMIF($17:$17,R510,$18:$18)-SUMIF($17:$17,$R$24,$18:$18)+100)/100</f>
        <v>1</v>
      </c>
      <c r="T510" s="493">
        <f t="shared" si="22"/>
        <v>0</v>
      </c>
      <c r="U510" s="802">
        <f t="shared" si="23"/>
        <v>0</v>
      </c>
    </row>
    <row r="511" spans="3:21">
      <c r="C511" s="967"/>
      <c r="D511" s="137"/>
      <c r="E511" s="53">
        <f>IF(D511="",1,(LOOKUP(D511,$3:$3,$4:$4)-LOOKUP($D$24,$3:$3,$4:$4)+100)/100)</f>
        <v>1</v>
      </c>
      <c r="F511" s="965"/>
      <c r="G511" s="53">
        <f>(SUMIF($5:$5,F511,$6:$6)-SUMIF($5:$5,$F$24,$6:$6)+100)/100</f>
        <v>0.01</v>
      </c>
      <c r="H511" s="965"/>
      <c r="I511" s="53">
        <f>(SUMIF($7:$7,H511,$8:$8)-SUMIF($7:$7,$H$24,$8:$8)+100)/100</f>
        <v>0.04</v>
      </c>
      <c r="J511" s="965"/>
      <c r="K511" s="53">
        <f>(SUMIF($9:$9,J511,$10:$10)-SUMIF($9:$9,$J$24,$10:$10)+100)/100</f>
        <v>0.04</v>
      </c>
      <c r="L511" s="965"/>
      <c r="M511" s="53">
        <f>(SUMIF($11:$11,L511,$12:$12)-SUMIF($11:$11,$L$24,$12:$12)+100)/100</f>
        <v>1</v>
      </c>
      <c r="N511" s="965"/>
      <c r="O511" s="53">
        <f>(SUMIF($13:$13,N511,$14:$14)-SUMIF($13:$13,$N$24,$14:$14)+100)/100</f>
        <v>1</v>
      </c>
      <c r="P511" s="965"/>
      <c r="Q511" s="53">
        <f>(SUMIF($15:$15,P511,$16:$16)-SUMIF($15:$15,$P$24,$16:$16)+100)/100</f>
        <v>1</v>
      </c>
      <c r="R511" s="965"/>
      <c r="S511" s="53">
        <f>(SUMIF($17:$17,R511,$18:$18)-SUMIF($17:$17,$R$24,$18:$18)+100)/100</f>
        <v>1</v>
      </c>
      <c r="T511" s="493">
        <f t="shared" si="22"/>
        <v>0</v>
      </c>
      <c r="U511" s="802">
        <f t="shared" si="23"/>
        <v>0</v>
      </c>
    </row>
    <row r="512" spans="3:21">
      <c r="C512" s="967"/>
      <c r="D512" s="137"/>
      <c r="E512" s="53">
        <f>IF(D512="",1,(LOOKUP(D512,$3:$3,$4:$4)-LOOKUP($D$24,$3:$3,$4:$4)+100)/100)</f>
        <v>1</v>
      </c>
      <c r="F512" s="965"/>
      <c r="G512" s="53">
        <f>(SUMIF($5:$5,F512,$6:$6)-SUMIF($5:$5,$F$24,$6:$6)+100)/100</f>
        <v>0.01</v>
      </c>
      <c r="H512" s="965"/>
      <c r="I512" s="53">
        <f>(SUMIF($7:$7,H512,$8:$8)-SUMIF($7:$7,$H$24,$8:$8)+100)/100</f>
        <v>0.04</v>
      </c>
      <c r="J512" s="965"/>
      <c r="K512" s="53">
        <f>(SUMIF($9:$9,J512,$10:$10)-SUMIF($9:$9,$J$24,$10:$10)+100)/100</f>
        <v>0.04</v>
      </c>
      <c r="L512" s="965"/>
      <c r="M512" s="53">
        <f>(SUMIF($11:$11,L512,$12:$12)-SUMIF($11:$11,$L$24,$12:$12)+100)/100</f>
        <v>1</v>
      </c>
      <c r="N512" s="965"/>
      <c r="O512" s="53">
        <f>(SUMIF($13:$13,N512,$14:$14)-SUMIF($13:$13,$N$24,$14:$14)+100)/100</f>
        <v>1</v>
      </c>
      <c r="P512" s="965"/>
      <c r="Q512" s="53">
        <f>(SUMIF($15:$15,P512,$16:$16)-SUMIF($15:$15,$P$24,$16:$16)+100)/100</f>
        <v>1</v>
      </c>
      <c r="R512" s="965"/>
      <c r="S512" s="53">
        <f>(SUMIF($17:$17,R512,$18:$18)-SUMIF($17:$17,$R$24,$18:$18)+100)/100</f>
        <v>1</v>
      </c>
      <c r="T512" s="493">
        <f t="shared" si="22"/>
        <v>0</v>
      </c>
      <c r="U512" s="802">
        <f t="shared" si="23"/>
        <v>0</v>
      </c>
    </row>
    <row r="513" spans="3:21">
      <c r="C513" s="967"/>
      <c r="D513" s="137"/>
      <c r="E513" s="53">
        <f>IF(D513="",1,(LOOKUP(D513,$3:$3,$4:$4)-LOOKUP($D$24,$3:$3,$4:$4)+100)/100)</f>
        <v>1</v>
      </c>
      <c r="F513" s="965"/>
      <c r="G513" s="53">
        <f>(SUMIF($5:$5,F513,$6:$6)-SUMIF($5:$5,$F$24,$6:$6)+100)/100</f>
        <v>0.01</v>
      </c>
      <c r="H513" s="965"/>
      <c r="I513" s="53">
        <f>(SUMIF($7:$7,H513,$8:$8)-SUMIF($7:$7,$H$24,$8:$8)+100)/100</f>
        <v>0.04</v>
      </c>
      <c r="J513" s="965"/>
      <c r="K513" s="53">
        <f>(SUMIF($9:$9,J513,$10:$10)-SUMIF($9:$9,$J$24,$10:$10)+100)/100</f>
        <v>0.04</v>
      </c>
      <c r="L513" s="965"/>
      <c r="M513" s="53">
        <f>(SUMIF($11:$11,L513,$12:$12)-SUMIF($11:$11,$L$24,$12:$12)+100)/100</f>
        <v>1</v>
      </c>
      <c r="N513" s="965"/>
      <c r="O513" s="53">
        <f>(SUMIF($13:$13,N513,$14:$14)-SUMIF($13:$13,$N$24,$14:$14)+100)/100</f>
        <v>1</v>
      </c>
      <c r="P513" s="965"/>
      <c r="Q513" s="53">
        <f>(SUMIF($15:$15,P513,$16:$16)-SUMIF($15:$15,$P$24,$16:$16)+100)/100</f>
        <v>1</v>
      </c>
      <c r="R513" s="965"/>
      <c r="S513" s="53">
        <f>(SUMIF($17:$17,R513,$18:$18)-SUMIF($17:$17,$R$24,$18:$18)+100)/100</f>
        <v>1</v>
      </c>
      <c r="T513" s="493">
        <f t="shared" si="22"/>
        <v>0</v>
      </c>
      <c r="U513" s="802">
        <f t="shared" si="23"/>
        <v>0</v>
      </c>
    </row>
    <row r="514" spans="3:21">
      <c r="C514" s="967"/>
      <c r="D514" s="137"/>
      <c r="E514" s="53">
        <f>IF(D514="",1,(LOOKUP(D514,$3:$3,$4:$4)-LOOKUP($D$24,$3:$3,$4:$4)+100)/100)</f>
        <v>1</v>
      </c>
      <c r="F514" s="965"/>
      <c r="G514" s="53">
        <f>(SUMIF($5:$5,F514,$6:$6)-SUMIF($5:$5,$F$24,$6:$6)+100)/100</f>
        <v>0.01</v>
      </c>
      <c r="H514" s="965"/>
      <c r="I514" s="53">
        <f>(SUMIF($7:$7,H514,$8:$8)-SUMIF($7:$7,$H$24,$8:$8)+100)/100</f>
        <v>0.04</v>
      </c>
      <c r="J514" s="965"/>
      <c r="K514" s="53">
        <f>(SUMIF($9:$9,J514,$10:$10)-SUMIF($9:$9,$J$24,$10:$10)+100)/100</f>
        <v>0.04</v>
      </c>
      <c r="L514" s="965"/>
      <c r="M514" s="53">
        <f>(SUMIF($11:$11,L514,$12:$12)-SUMIF($11:$11,$L$24,$12:$12)+100)/100</f>
        <v>1</v>
      </c>
      <c r="N514" s="965"/>
      <c r="O514" s="53">
        <f>(SUMIF($13:$13,N514,$14:$14)-SUMIF($13:$13,$N$24,$14:$14)+100)/100</f>
        <v>1</v>
      </c>
      <c r="P514" s="965"/>
      <c r="Q514" s="53">
        <f>(SUMIF($15:$15,P514,$16:$16)-SUMIF($15:$15,$P$24,$16:$16)+100)/100</f>
        <v>1</v>
      </c>
      <c r="R514" s="965"/>
      <c r="S514" s="53">
        <f>(SUMIF($17:$17,R514,$18:$18)-SUMIF($17:$17,$R$24,$18:$18)+100)/100</f>
        <v>1</v>
      </c>
      <c r="T514" s="493">
        <f t="shared" si="22"/>
        <v>0</v>
      </c>
      <c r="U514" s="802">
        <f t="shared" si="23"/>
        <v>0</v>
      </c>
    </row>
    <row r="515" spans="3:21">
      <c r="C515" s="967"/>
      <c r="D515" s="137"/>
      <c r="E515" s="53">
        <f>IF(D515="",1,(LOOKUP(D515,$3:$3,$4:$4)-LOOKUP($D$24,$3:$3,$4:$4)+100)/100)</f>
        <v>1</v>
      </c>
      <c r="F515" s="965"/>
      <c r="G515" s="53">
        <f>(SUMIF($5:$5,F515,$6:$6)-SUMIF($5:$5,$F$24,$6:$6)+100)/100</f>
        <v>0.01</v>
      </c>
      <c r="H515" s="965"/>
      <c r="I515" s="53">
        <f>(SUMIF($7:$7,H515,$8:$8)-SUMIF($7:$7,$H$24,$8:$8)+100)/100</f>
        <v>0.04</v>
      </c>
      <c r="J515" s="965"/>
      <c r="K515" s="53">
        <f>(SUMIF($9:$9,J515,$10:$10)-SUMIF($9:$9,$J$24,$10:$10)+100)/100</f>
        <v>0.04</v>
      </c>
      <c r="L515" s="965"/>
      <c r="M515" s="53">
        <f>(SUMIF($11:$11,L515,$12:$12)-SUMIF($11:$11,$L$24,$12:$12)+100)/100</f>
        <v>1</v>
      </c>
      <c r="N515" s="965"/>
      <c r="O515" s="53">
        <f>(SUMIF($13:$13,N515,$14:$14)-SUMIF($13:$13,$N$24,$14:$14)+100)/100</f>
        <v>1</v>
      </c>
      <c r="P515" s="965"/>
      <c r="Q515" s="53">
        <f>(SUMIF($15:$15,P515,$16:$16)-SUMIF($15:$15,$P$24,$16:$16)+100)/100</f>
        <v>1</v>
      </c>
      <c r="R515" s="965"/>
      <c r="S515" s="53">
        <f>(SUMIF($17:$17,R515,$18:$18)-SUMIF($17:$17,$R$24,$18:$18)+100)/100</f>
        <v>1</v>
      </c>
      <c r="T515" s="493">
        <f t="shared" si="22"/>
        <v>0</v>
      </c>
      <c r="U515" s="802">
        <f t="shared" si="23"/>
        <v>0</v>
      </c>
    </row>
    <row r="516" spans="3:21">
      <c r="C516" s="967"/>
      <c r="D516" s="137"/>
      <c r="E516" s="53">
        <f>IF(D516="",1,(LOOKUP(D516,$3:$3,$4:$4)-LOOKUP($D$24,$3:$3,$4:$4)+100)/100)</f>
        <v>1</v>
      </c>
      <c r="F516" s="965"/>
      <c r="G516" s="53">
        <f>(SUMIF($5:$5,F516,$6:$6)-SUMIF($5:$5,$F$24,$6:$6)+100)/100</f>
        <v>0.01</v>
      </c>
      <c r="H516" s="965"/>
      <c r="I516" s="53">
        <f>(SUMIF($7:$7,H516,$8:$8)-SUMIF($7:$7,$H$24,$8:$8)+100)/100</f>
        <v>0.04</v>
      </c>
      <c r="J516" s="965"/>
      <c r="K516" s="53">
        <f>(SUMIF($9:$9,J516,$10:$10)-SUMIF($9:$9,$J$24,$10:$10)+100)/100</f>
        <v>0.04</v>
      </c>
      <c r="L516" s="965"/>
      <c r="M516" s="53">
        <f>(SUMIF($11:$11,L516,$12:$12)-SUMIF($11:$11,$L$24,$12:$12)+100)/100</f>
        <v>1</v>
      </c>
      <c r="N516" s="965"/>
      <c r="O516" s="53">
        <f>(SUMIF($13:$13,N516,$14:$14)-SUMIF($13:$13,$N$24,$14:$14)+100)/100</f>
        <v>1</v>
      </c>
      <c r="P516" s="965"/>
      <c r="Q516" s="53">
        <f>(SUMIF($15:$15,P516,$16:$16)-SUMIF($15:$15,$P$24,$16:$16)+100)/100</f>
        <v>1</v>
      </c>
      <c r="R516" s="965"/>
      <c r="S516" s="53">
        <f>(SUMIF($17:$17,R516,$18:$18)-SUMIF($17:$17,$R$24,$18:$18)+100)/100</f>
        <v>1</v>
      </c>
      <c r="T516" s="493">
        <f t="shared" si="22"/>
        <v>0</v>
      </c>
      <c r="U516" s="802">
        <f t="shared" si="23"/>
        <v>0</v>
      </c>
    </row>
    <row r="517" spans="3:21">
      <c r="C517" s="967"/>
      <c r="D517" s="137"/>
      <c r="E517" s="53">
        <f>IF(D517="",1,(LOOKUP(D517,$3:$3,$4:$4)-LOOKUP($D$24,$3:$3,$4:$4)+100)/100)</f>
        <v>1</v>
      </c>
      <c r="F517" s="965"/>
      <c r="G517" s="53">
        <f>(SUMIF($5:$5,F517,$6:$6)-SUMIF($5:$5,$F$24,$6:$6)+100)/100</f>
        <v>0.01</v>
      </c>
      <c r="H517" s="965"/>
      <c r="I517" s="53">
        <f>(SUMIF($7:$7,H517,$8:$8)-SUMIF($7:$7,$H$24,$8:$8)+100)/100</f>
        <v>0.04</v>
      </c>
      <c r="J517" s="965"/>
      <c r="K517" s="53">
        <f>(SUMIF($9:$9,J517,$10:$10)-SUMIF($9:$9,$J$24,$10:$10)+100)/100</f>
        <v>0.04</v>
      </c>
      <c r="L517" s="965"/>
      <c r="M517" s="53">
        <f>(SUMIF($11:$11,L517,$12:$12)-SUMIF($11:$11,$L$24,$12:$12)+100)/100</f>
        <v>1</v>
      </c>
      <c r="N517" s="965"/>
      <c r="O517" s="53">
        <f>(SUMIF($13:$13,N517,$14:$14)-SUMIF($13:$13,$N$24,$14:$14)+100)/100</f>
        <v>1</v>
      </c>
      <c r="P517" s="965"/>
      <c r="Q517" s="53">
        <f>(SUMIF($15:$15,P517,$16:$16)-SUMIF($15:$15,$P$24,$16:$16)+100)/100</f>
        <v>1</v>
      </c>
      <c r="R517" s="965"/>
      <c r="S517" s="53">
        <f>(SUMIF($17:$17,R517,$18:$18)-SUMIF($17:$17,$R$24,$18:$18)+100)/100</f>
        <v>1</v>
      </c>
      <c r="T517" s="493">
        <f t="shared" si="22"/>
        <v>0</v>
      </c>
      <c r="U517" s="802">
        <f t="shared" si="23"/>
        <v>0</v>
      </c>
    </row>
    <row r="518" spans="3:21">
      <c r="C518" s="967"/>
      <c r="D518" s="137"/>
      <c r="E518" s="53">
        <f>IF(D518="",1,(LOOKUP(D518,$3:$3,$4:$4)-LOOKUP($D$24,$3:$3,$4:$4)+100)/100)</f>
        <v>1</v>
      </c>
      <c r="F518" s="965"/>
      <c r="G518" s="53">
        <f>(SUMIF($5:$5,F518,$6:$6)-SUMIF($5:$5,$F$24,$6:$6)+100)/100</f>
        <v>0.01</v>
      </c>
      <c r="H518" s="965"/>
      <c r="I518" s="53">
        <f>(SUMIF($7:$7,H518,$8:$8)-SUMIF($7:$7,$H$24,$8:$8)+100)/100</f>
        <v>0.04</v>
      </c>
      <c r="J518" s="965"/>
      <c r="K518" s="53">
        <f>(SUMIF($9:$9,J518,$10:$10)-SUMIF($9:$9,$J$24,$10:$10)+100)/100</f>
        <v>0.04</v>
      </c>
      <c r="L518" s="965"/>
      <c r="M518" s="53">
        <f>(SUMIF($11:$11,L518,$12:$12)-SUMIF($11:$11,$L$24,$12:$12)+100)/100</f>
        <v>1</v>
      </c>
      <c r="N518" s="965"/>
      <c r="O518" s="53">
        <f>(SUMIF($13:$13,N518,$14:$14)-SUMIF($13:$13,$N$24,$14:$14)+100)/100</f>
        <v>1</v>
      </c>
      <c r="P518" s="965"/>
      <c r="Q518" s="53">
        <f>(SUMIF($15:$15,P518,$16:$16)-SUMIF($15:$15,$P$24,$16:$16)+100)/100</f>
        <v>1</v>
      </c>
      <c r="R518" s="965"/>
      <c r="S518" s="53">
        <f>(SUMIF($17:$17,R518,$18:$18)-SUMIF($17:$17,$R$24,$18:$18)+100)/100</f>
        <v>1</v>
      </c>
      <c r="T518" s="493">
        <f t="shared" si="22"/>
        <v>0</v>
      </c>
      <c r="U518" s="802">
        <f t="shared" si="23"/>
        <v>0</v>
      </c>
    </row>
    <row r="519" spans="3:21">
      <c r="C519" s="967"/>
      <c r="D519" s="137"/>
      <c r="E519" s="53">
        <f>IF(D519="",1,(LOOKUP(D519,$3:$3,$4:$4)-LOOKUP($D$24,$3:$3,$4:$4)+100)/100)</f>
        <v>1</v>
      </c>
      <c r="F519" s="965"/>
      <c r="G519" s="53">
        <f>(SUMIF($5:$5,F519,$6:$6)-SUMIF($5:$5,$F$24,$6:$6)+100)/100</f>
        <v>0.01</v>
      </c>
      <c r="H519" s="965"/>
      <c r="I519" s="53">
        <f>(SUMIF($7:$7,H519,$8:$8)-SUMIF($7:$7,$H$24,$8:$8)+100)/100</f>
        <v>0.04</v>
      </c>
      <c r="J519" s="965"/>
      <c r="K519" s="53">
        <f>(SUMIF($9:$9,J519,$10:$10)-SUMIF($9:$9,$J$24,$10:$10)+100)/100</f>
        <v>0.04</v>
      </c>
      <c r="L519" s="965"/>
      <c r="M519" s="53">
        <f>(SUMIF($11:$11,L519,$12:$12)-SUMIF($11:$11,$L$24,$12:$12)+100)/100</f>
        <v>1</v>
      </c>
      <c r="N519" s="965"/>
      <c r="O519" s="53">
        <f>(SUMIF($13:$13,N519,$14:$14)-SUMIF($13:$13,$N$24,$14:$14)+100)/100</f>
        <v>1</v>
      </c>
      <c r="P519" s="965"/>
      <c r="Q519" s="53">
        <f>(SUMIF($15:$15,P519,$16:$16)-SUMIF($15:$15,$P$24,$16:$16)+100)/100</f>
        <v>1</v>
      </c>
      <c r="R519" s="965"/>
      <c r="S519" s="53">
        <f>(SUMIF($17:$17,R519,$18:$18)-SUMIF($17:$17,$R$24,$18:$18)+100)/100</f>
        <v>1</v>
      </c>
      <c r="T519" s="493">
        <f t="shared" si="22"/>
        <v>0</v>
      </c>
      <c r="U519" s="802">
        <f t="shared" si="23"/>
        <v>0</v>
      </c>
    </row>
    <row r="520" spans="3:21">
      <c r="C520" s="967"/>
      <c r="D520" s="137"/>
      <c r="E520" s="53">
        <f>IF(D520="",1,(LOOKUP(D520,$3:$3,$4:$4)-LOOKUP($D$24,$3:$3,$4:$4)+100)/100)</f>
        <v>1</v>
      </c>
      <c r="F520" s="965"/>
      <c r="G520" s="53">
        <f>(SUMIF($5:$5,F520,$6:$6)-SUMIF($5:$5,$F$24,$6:$6)+100)/100</f>
        <v>0.01</v>
      </c>
      <c r="H520" s="965"/>
      <c r="I520" s="53">
        <f>(SUMIF($7:$7,H520,$8:$8)-SUMIF($7:$7,$H$24,$8:$8)+100)/100</f>
        <v>0.04</v>
      </c>
      <c r="J520" s="965"/>
      <c r="K520" s="53">
        <f>(SUMIF($9:$9,J520,$10:$10)-SUMIF($9:$9,$J$24,$10:$10)+100)/100</f>
        <v>0.04</v>
      </c>
      <c r="L520" s="965"/>
      <c r="M520" s="53">
        <f>(SUMIF($11:$11,L520,$12:$12)-SUMIF($11:$11,$L$24,$12:$12)+100)/100</f>
        <v>1</v>
      </c>
      <c r="N520" s="965"/>
      <c r="O520" s="53">
        <f>(SUMIF($13:$13,N520,$14:$14)-SUMIF($13:$13,$N$24,$14:$14)+100)/100</f>
        <v>1</v>
      </c>
      <c r="P520" s="965"/>
      <c r="Q520" s="53">
        <f>(SUMIF($15:$15,P520,$16:$16)-SUMIF($15:$15,$P$24,$16:$16)+100)/100</f>
        <v>1</v>
      </c>
      <c r="R520" s="965"/>
      <c r="S520" s="53">
        <f>(SUMIF($17:$17,R520,$18:$18)-SUMIF($17:$17,$R$24,$18:$18)+100)/100</f>
        <v>1</v>
      </c>
      <c r="T520" s="493">
        <f t="shared" si="22"/>
        <v>0</v>
      </c>
      <c r="U520" s="802">
        <f t="shared" si="23"/>
        <v>0</v>
      </c>
    </row>
    <row r="521" spans="3:21">
      <c r="C521" s="967"/>
      <c r="D521" s="137"/>
      <c r="E521" s="53">
        <f>IF(D521="",1,(LOOKUP(D521,$3:$3,$4:$4)-LOOKUP($D$24,$3:$3,$4:$4)+100)/100)</f>
        <v>1</v>
      </c>
      <c r="F521" s="965"/>
      <c r="G521" s="53">
        <f>(SUMIF($5:$5,F521,$6:$6)-SUMIF($5:$5,$F$24,$6:$6)+100)/100</f>
        <v>0.01</v>
      </c>
      <c r="H521" s="965"/>
      <c r="I521" s="53">
        <f>(SUMIF($7:$7,H521,$8:$8)-SUMIF($7:$7,$H$24,$8:$8)+100)/100</f>
        <v>0.04</v>
      </c>
      <c r="J521" s="965"/>
      <c r="K521" s="53">
        <f>(SUMIF($9:$9,J521,$10:$10)-SUMIF($9:$9,$J$24,$10:$10)+100)/100</f>
        <v>0.04</v>
      </c>
      <c r="L521" s="965"/>
      <c r="M521" s="53">
        <f>(SUMIF($11:$11,L521,$12:$12)-SUMIF($11:$11,$L$24,$12:$12)+100)/100</f>
        <v>1</v>
      </c>
      <c r="N521" s="965"/>
      <c r="O521" s="53">
        <f>(SUMIF($13:$13,N521,$14:$14)-SUMIF($13:$13,$N$24,$14:$14)+100)/100</f>
        <v>1</v>
      </c>
      <c r="P521" s="965"/>
      <c r="Q521" s="53">
        <f>(SUMIF($15:$15,P521,$16:$16)-SUMIF($15:$15,$P$24,$16:$16)+100)/100</f>
        <v>1</v>
      </c>
      <c r="R521" s="965"/>
      <c r="S521" s="53">
        <f>(SUMIF($17:$17,R521,$18:$18)-SUMIF($17:$17,$R$24,$18:$18)+100)/100</f>
        <v>1</v>
      </c>
      <c r="T521" s="493">
        <f t="shared" si="22"/>
        <v>0</v>
      </c>
      <c r="U521" s="802">
        <f t="shared" si="23"/>
        <v>0</v>
      </c>
    </row>
    <row r="522" spans="3:21">
      <c r="C522" s="967"/>
      <c r="D522" s="137"/>
      <c r="E522" s="53">
        <f>IF(D522="",1,(LOOKUP(D522,$3:$3,$4:$4)-LOOKUP($D$24,$3:$3,$4:$4)+100)/100)</f>
        <v>1</v>
      </c>
      <c r="F522" s="965"/>
      <c r="G522" s="53">
        <f>(SUMIF($5:$5,F522,$6:$6)-SUMIF($5:$5,$F$24,$6:$6)+100)/100</f>
        <v>0.01</v>
      </c>
      <c r="H522" s="965"/>
      <c r="I522" s="53">
        <f>(SUMIF($7:$7,H522,$8:$8)-SUMIF($7:$7,$H$24,$8:$8)+100)/100</f>
        <v>0.04</v>
      </c>
      <c r="J522" s="965"/>
      <c r="K522" s="53">
        <f>(SUMIF($9:$9,J522,$10:$10)-SUMIF($9:$9,$J$24,$10:$10)+100)/100</f>
        <v>0.04</v>
      </c>
      <c r="L522" s="965"/>
      <c r="M522" s="53">
        <f>(SUMIF($11:$11,L522,$12:$12)-SUMIF($11:$11,$L$24,$12:$12)+100)/100</f>
        <v>1</v>
      </c>
      <c r="N522" s="965"/>
      <c r="O522" s="53">
        <f>(SUMIF($13:$13,N522,$14:$14)-SUMIF($13:$13,$N$24,$14:$14)+100)/100</f>
        <v>1</v>
      </c>
      <c r="P522" s="965"/>
      <c r="Q522" s="53">
        <f>(SUMIF($15:$15,P522,$16:$16)-SUMIF($15:$15,$P$24,$16:$16)+100)/100</f>
        <v>1</v>
      </c>
      <c r="R522" s="965"/>
      <c r="S522" s="53">
        <f>(SUMIF($17:$17,R522,$18:$18)-SUMIF($17:$17,$R$24,$18:$18)+100)/100</f>
        <v>1</v>
      </c>
      <c r="T522" s="493">
        <f t="shared" si="22"/>
        <v>0</v>
      </c>
      <c r="U522" s="802">
        <f t="shared" si="23"/>
        <v>0</v>
      </c>
    </row>
    <row r="523" spans="3:21">
      <c r="C523" s="967"/>
      <c r="D523" s="137"/>
      <c r="E523" s="53">
        <f>IF(D523="",1,(LOOKUP(D523,$3:$3,$4:$4)-LOOKUP($D$24,$3:$3,$4:$4)+100)/100)</f>
        <v>1</v>
      </c>
      <c r="F523" s="965"/>
      <c r="G523" s="53">
        <f>(SUMIF($5:$5,F523,$6:$6)-SUMIF($5:$5,$F$24,$6:$6)+100)/100</f>
        <v>0.01</v>
      </c>
      <c r="H523" s="965"/>
      <c r="I523" s="53">
        <f>(SUMIF($7:$7,H523,$8:$8)-SUMIF($7:$7,$H$24,$8:$8)+100)/100</f>
        <v>0.04</v>
      </c>
      <c r="J523" s="965"/>
      <c r="K523" s="53">
        <f>(SUMIF($9:$9,J523,$10:$10)-SUMIF($9:$9,$J$24,$10:$10)+100)/100</f>
        <v>0.04</v>
      </c>
      <c r="L523" s="965"/>
      <c r="M523" s="53">
        <f>(SUMIF($11:$11,L523,$12:$12)-SUMIF($11:$11,$L$24,$12:$12)+100)/100</f>
        <v>1</v>
      </c>
      <c r="N523" s="965"/>
      <c r="O523" s="53">
        <f>(SUMIF($13:$13,N523,$14:$14)-SUMIF($13:$13,$N$24,$14:$14)+100)/100</f>
        <v>1</v>
      </c>
      <c r="P523" s="965"/>
      <c r="Q523" s="53">
        <f>(SUMIF($15:$15,P523,$16:$16)-SUMIF($15:$15,$P$24,$16:$16)+100)/100</f>
        <v>1</v>
      </c>
      <c r="R523" s="965"/>
      <c r="S523" s="53">
        <f>(SUMIF($17:$17,R523,$18:$18)-SUMIF($17:$17,$R$24,$18:$18)+100)/100</f>
        <v>1</v>
      </c>
      <c r="T523" s="493">
        <f t="shared" si="22"/>
        <v>0</v>
      </c>
      <c r="U523" s="802">
        <f t="shared" si="23"/>
        <v>0</v>
      </c>
    </row>
    <row r="524" spans="3:21">
      <c r="C524" s="967"/>
      <c r="D524" s="137"/>
      <c r="E524" s="53">
        <f>IF(D524="",1,(LOOKUP(D524,$3:$3,$4:$4)-LOOKUP($D$24,$3:$3,$4:$4)+100)/100)</f>
        <v>1</v>
      </c>
      <c r="F524" s="965"/>
      <c r="G524" s="53">
        <f>(SUMIF($5:$5,F524,$6:$6)-SUMIF($5:$5,$F$24,$6:$6)+100)/100</f>
        <v>0.01</v>
      </c>
      <c r="H524" s="965"/>
      <c r="I524" s="53">
        <f>(SUMIF($7:$7,H524,$8:$8)-SUMIF($7:$7,$H$24,$8:$8)+100)/100</f>
        <v>0.04</v>
      </c>
      <c r="J524" s="965"/>
      <c r="K524" s="53">
        <f>(SUMIF($9:$9,J524,$10:$10)-SUMIF($9:$9,$J$24,$10:$10)+100)/100</f>
        <v>0.04</v>
      </c>
      <c r="L524" s="965"/>
      <c r="M524" s="53">
        <f>(SUMIF($11:$11,L524,$12:$12)-SUMIF($11:$11,$L$24,$12:$12)+100)/100</f>
        <v>1</v>
      </c>
      <c r="N524" s="965"/>
      <c r="O524" s="53">
        <f>(SUMIF($13:$13,N524,$14:$14)-SUMIF($13:$13,$N$24,$14:$14)+100)/100</f>
        <v>1</v>
      </c>
      <c r="P524" s="965"/>
      <c r="Q524" s="53">
        <f>(SUMIF($15:$15,P524,$16:$16)-SUMIF($15:$15,$P$24,$16:$16)+100)/100</f>
        <v>1</v>
      </c>
      <c r="R524" s="965"/>
      <c r="S524" s="53">
        <f>(SUMIF($17:$17,R524,$18:$18)-SUMIF($17:$17,$R$24,$18:$18)+100)/100</f>
        <v>1</v>
      </c>
      <c r="T524" s="493">
        <f t="shared" si="22"/>
        <v>0</v>
      </c>
      <c r="U524" s="802">
        <f t="shared" si="23"/>
        <v>0</v>
      </c>
    </row>
    <row r="525" spans="3:21">
      <c r="C525" s="257"/>
      <c r="D525" s="57"/>
      <c r="E525" s="57"/>
      <c r="F525" s="57"/>
      <c r="G525" s="57"/>
      <c r="H525" s="57"/>
      <c r="I525" s="57"/>
      <c r="J525" s="57"/>
      <c r="K525" s="57"/>
      <c r="L525" s="57"/>
      <c r="M525" s="57"/>
      <c r="N525" s="57"/>
      <c r="O525" s="57"/>
      <c r="P525" s="57"/>
      <c r="Q525" s="57"/>
      <c r="R525" s="57"/>
      <c r="S525" s="57"/>
      <c r="T525" s="2234"/>
      <c r="U525" s="257"/>
    </row>
    <row r="526" spans="3:21">
      <c r="C526" s="257"/>
      <c r="D526" s="57"/>
      <c r="E526" s="57"/>
      <c r="F526" s="57"/>
      <c r="G526" s="57"/>
      <c r="H526" s="57"/>
      <c r="I526" s="57"/>
      <c r="J526" s="57"/>
      <c r="K526" s="57"/>
      <c r="L526" s="57"/>
      <c r="M526" s="57"/>
      <c r="N526" s="57"/>
      <c r="O526" s="57"/>
      <c r="P526" s="57"/>
      <c r="Q526" s="57"/>
      <c r="R526" s="57"/>
      <c r="S526" s="57"/>
      <c r="T526" s="2234"/>
      <c r="U526" s="257"/>
    </row>
    <row r="527" spans="3:21">
      <c r="C527" s="257"/>
      <c r="D527" s="57"/>
      <c r="E527" s="57"/>
      <c r="F527" s="57"/>
      <c r="G527" s="57"/>
      <c r="H527" s="57"/>
      <c r="I527" s="57"/>
      <c r="J527" s="57"/>
      <c r="K527" s="57"/>
      <c r="L527" s="57"/>
      <c r="M527" s="57"/>
      <c r="N527" s="57"/>
      <c r="O527" s="57"/>
      <c r="P527" s="57"/>
      <c r="Q527" s="57"/>
      <c r="R527" s="57"/>
      <c r="S527" s="57"/>
      <c r="T527" s="2234"/>
      <c r="U527" s="257"/>
    </row>
    <row r="528" spans="3:21">
      <c r="C528" s="257"/>
      <c r="D528" s="57"/>
      <c r="E528" s="57"/>
      <c r="F528" s="57"/>
      <c r="G528" s="57"/>
      <c r="H528" s="57"/>
      <c r="I528" s="57"/>
      <c r="J528" s="57"/>
      <c r="K528" s="57"/>
      <c r="L528" s="57"/>
      <c r="M528" s="57"/>
      <c r="N528" s="57"/>
      <c r="O528" s="57"/>
      <c r="P528" s="57"/>
      <c r="Q528" s="57"/>
      <c r="R528" s="57"/>
      <c r="S528" s="57"/>
      <c r="T528" s="2234"/>
      <c r="U528" s="257"/>
    </row>
    <row r="529" spans="3:21">
      <c r="C529" s="257"/>
      <c r="D529" s="57"/>
      <c r="E529" s="57"/>
      <c r="F529" s="57"/>
      <c r="G529" s="57"/>
      <c r="H529" s="57"/>
      <c r="I529" s="57"/>
      <c r="J529" s="57"/>
      <c r="K529" s="57"/>
      <c r="L529" s="57"/>
      <c r="M529" s="57"/>
      <c r="N529" s="57"/>
      <c r="O529" s="57"/>
      <c r="P529" s="57"/>
      <c r="Q529" s="57"/>
      <c r="R529" s="57"/>
      <c r="S529" s="57"/>
      <c r="T529" s="2234"/>
      <c r="U529" s="257"/>
    </row>
    <row r="530" spans="3:21">
      <c r="C530" s="257"/>
      <c r="D530" s="57"/>
      <c r="E530" s="57"/>
      <c r="F530" s="57"/>
      <c r="G530" s="57"/>
      <c r="H530" s="57"/>
      <c r="I530" s="57"/>
      <c r="J530" s="57"/>
      <c r="K530" s="57"/>
      <c r="L530" s="57"/>
      <c r="M530" s="57"/>
      <c r="N530" s="57"/>
      <c r="O530" s="57"/>
      <c r="P530" s="57"/>
      <c r="Q530" s="57"/>
      <c r="R530" s="57"/>
      <c r="S530" s="57"/>
      <c r="T530" s="2234"/>
      <c r="U530" s="257"/>
    </row>
    <row r="531" spans="3:21">
      <c r="C531" s="257"/>
      <c r="D531" s="57"/>
      <c r="E531" s="57"/>
      <c r="F531" s="57"/>
      <c r="G531" s="57"/>
      <c r="H531" s="57"/>
      <c r="I531" s="57"/>
      <c r="J531" s="57"/>
      <c r="K531" s="57"/>
      <c r="L531" s="57"/>
      <c r="M531" s="57"/>
      <c r="N531" s="57"/>
      <c r="O531" s="57"/>
      <c r="P531" s="57"/>
      <c r="Q531" s="57"/>
      <c r="R531" s="57"/>
      <c r="S531" s="57"/>
      <c r="T531" s="2234"/>
      <c r="U531" s="257"/>
    </row>
    <row r="532" spans="3:21">
      <c r="C532" s="257"/>
      <c r="D532" s="57"/>
      <c r="E532" s="57"/>
      <c r="F532" s="57"/>
      <c r="G532" s="57"/>
      <c r="H532" s="57"/>
      <c r="I532" s="57"/>
      <c r="J532" s="57"/>
      <c r="K532" s="57"/>
      <c r="L532" s="57"/>
      <c r="M532" s="57"/>
      <c r="N532" s="57"/>
      <c r="O532" s="57"/>
      <c r="P532" s="57"/>
      <c r="Q532" s="57"/>
      <c r="R532" s="57"/>
      <c r="S532" s="57"/>
      <c r="T532" s="2234"/>
      <c r="U532" s="257"/>
    </row>
    <row r="533" spans="3:21">
      <c r="C533" s="257"/>
      <c r="D533" s="57"/>
      <c r="E533" s="57"/>
      <c r="F533" s="57"/>
      <c r="G533" s="57"/>
      <c r="H533" s="57"/>
      <c r="I533" s="57"/>
      <c r="J533" s="57"/>
      <c r="K533" s="57"/>
      <c r="L533" s="57"/>
      <c r="M533" s="57"/>
      <c r="N533" s="57"/>
      <c r="O533" s="57"/>
      <c r="P533" s="57"/>
      <c r="Q533" s="57"/>
      <c r="R533" s="57"/>
      <c r="S533" s="57"/>
      <c r="T533" s="2234"/>
      <c r="U533" s="257"/>
    </row>
    <row r="534" spans="3:21">
      <c r="C534" s="257"/>
      <c r="D534" s="57"/>
      <c r="E534" s="57"/>
      <c r="F534" s="57"/>
      <c r="G534" s="57"/>
      <c r="H534" s="57"/>
      <c r="I534" s="57"/>
      <c r="J534" s="57"/>
      <c r="K534" s="57"/>
      <c r="L534" s="57"/>
      <c r="M534" s="57"/>
      <c r="N534" s="57"/>
      <c r="O534" s="57"/>
      <c r="P534" s="57"/>
      <c r="Q534" s="57"/>
      <c r="R534" s="57"/>
      <c r="S534" s="57"/>
      <c r="T534" s="2234"/>
      <c r="U534" s="257"/>
    </row>
    <row r="535" spans="3:21">
      <c r="C535" s="257"/>
      <c r="D535" s="57"/>
      <c r="E535" s="57"/>
      <c r="F535" s="57"/>
      <c r="G535" s="57"/>
      <c r="H535" s="57"/>
      <c r="I535" s="57"/>
      <c r="J535" s="57"/>
      <c r="K535" s="57"/>
      <c r="L535" s="57"/>
      <c r="M535" s="57"/>
      <c r="N535" s="57"/>
      <c r="O535" s="57"/>
      <c r="P535" s="57"/>
      <c r="Q535" s="57"/>
      <c r="R535" s="57"/>
      <c r="S535" s="57"/>
      <c r="T535" s="2234"/>
      <c r="U535" s="257"/>
    </row>
    <row r="536" spans="3:21">
      <c r="C536" s="257"/>
      <c r="D536" s="57"/>
      <c r="E536" s="57"/>
      <c r="F536" s="57"/>
      <c r="G536" s="57"/>
      <c r="H536" s="57"/>
      <c r="I536" s="57"/>
      <c r="J536" s="57"/>
      <c r="K536" s="57"/>
      <c r="L536" s="57"/>
      <c r="M536" s="57"/>
      <c r="N536" s="57"/>
      <c r="O536" s="57"/>
      <c r="P536" s="57"/>
      <c r="Q536" s="57"/>
      <c r="R536" s="57"/>
      <c r="S536" s="57"/>
      <c r="T536" s="2234"/>
      <c r="U536" s="257"/>
    </row>
    <row r="537" spans="3:21">
      <c r="C537" s="257"/>
      <c r="D537" s="57"/>
      <c r="E537" s="57"/>
      <c r="F537" s="57"/>
      <c r="G537" s="57"/>
      <c r="H537" s="57"/>
      <c r="I537" s="57"/>
      <c r="J537" s="57"/>
      <c r="K537" s="57"/>
      <c r="L537" s="57"/>
      <c r="M537" s="57"/>
      <c r="N537" s="57"/>
      <c r="O537" s="57"/>
      <c r="P537" s="57"/>
      <c r="Q537" s="57"/>
      <c r="R537" s="57"/>
      <c r="S537" s="57"/>
      <c r="T537" s="2234"/>
      <c r="U537" s="257"/>
    </row>
    <row r="538" spans="3:21">
      <c r="C538" s="257"/>
      <c r="D538" s="57"/>
      <c r="E538" s="57"/>
      <c r="F538" s="57"/>
      <c r="G538" s="57"/>
      <c r="H538" s="57"/>
      <c r="I538" s="57"/>
      <c r="J538" s="57"/>
      <c r="K538" s="57"/>
      <c r="L538" s="57"/>
      <c r="M538" s="57"/>
      <c r="N538" s="57"/>
      <c r="O538" s="57"/>
      <c r="P538" s="57"/>
      <c r="Q538" s="57"/>
      <c r="R538" s="57"/>
      <c r="S538" s="57"/>
      <c r="T538" s="2234"/>
      <c r="U538" s="257"/>
    </row>
    <row r="539" spans="3:21">
      <c r="C539" s="257"/>
      <c r="D539" s="57"/>
      <c r="E539" s="57"/>
      <c r="F539" s="57"/>
      <c r="G539" s="57"/>
      <c r="H539" s="57"/>
      <c r="I539" s="57"/>
      <c r="J539" s="57"/>
      <c r="K539" s="57"/>
      <c r="L539" s="57"/>
      <c r="M539" s="57"/>
      <c r="N539" s="57"/>
      <c r="O539" s="57"/>
      <c r="P539" s="57"/>
      <c r="Q539" s="57"/>
      <c r="R539" s="57"/>
      <c r="S539" s="57"/>
      <c r="T539" s="2234"/>
      <c r="U539" s="257"/>
    </row>
    <row r="540" spans="3:21">
      <c r="C540" s="257"/>
      <c r="D540" s="57"/>
      <c r="E540" s="57"/>
      <c r="F540" s="57"/>
      <c r="G540" s="57"/>
      <c r="H540" s="57"/>
      <c r="I540" s="57"/>
      <c r="J540" s="57"/>
      <c r="K540" s="57"/>
      <c r="L540" s="57"/>
      <c r="M540" s="57"/>
      <c r="N540" s="57"/>
      <c r="O540" s="57"/>
      <c r="P540" s="57"/>
      <c r="Q540" s="57"/>
      <c r="R540" s="57"/>
      <c r="S540" s="57"/>
      <c r="T540" s="2234"/>
      <c r="U540" s="257"/>
    </row>
    <row r="541" spans="3:21">
      <c r="C541" s="257"/>
      <c r="D541" s="57"/>
      <c r="E541" s="57"/>
      <c r="F541" s="57"/>
      <c r="G541" s="57"/>
      <c r="H541" s="57"/>
      <c r="I541" s="57"/>
      <c r="J541" s="57"/>
      <c r="K541" s="57"/>
      <c r="L541" s="57"/>
      <c r="M541" s="57"/>
      <c r="N541" s="57"/>
      <c r="O541" s="57"/>
      <c r="P541" s="57"/>
      <c r="Q541" s="57"/>
      <c r="R541" s="57"/>
      <c r="S541" s="57"/>
      <c r="T541" s="2234"/>
      <c r="U541" s="257"/>
    </row>
    <row r="542" spans="3:21">
      <c r="C542" s="257"/>
      <c r="D542" s="57"/>
      <c r="E542" s="57"/>
      <c r="F542" s="57"/>
      <c r="G542" s="57"/>
      <c r="H542" s="57"/>
      <c r="I542" s="57"/>
      <c r="J542" s="57"/>
      <c r="K542" s="57"/>
      <c r="L542" s="57"/>
      <c r="M542" s="57"/>
      <c r="N542" s="57"/>
      <c r="O542" s="57"/>
      <c r="P542" s="57"/>
      <c r="Q542" s="57"/>
      <c r="R542" s="57"/>
      <c r="S542" s="57"/>
      <c r="T542" s="2234"/>
      <c r="U542" s="257"/>
    </row>
    <row r="543" spans="3:21">
      <c r="C543" s="257"/>
      <c r="D543" s="57"/>
      <c r="E543" s="57"/>
      <c r="F543" s="57"/>
      <c r="G543" s="57"/>
      <c r="H543" s="57"/>
      <c r="I543" s="57"/>
      <c r="J543" s="57"/>
      <c r="K543" s="57"/>
      <c r="L543" s="57"/>
      <c r="M543" s="57"/>
      <c r="N543" s="57"/>
      <c r="O543" s="57"/>
      <c r="P543" s="57"/>
      <c r="Q543" s="57"/>
      <c r="R543" s="57"/>
      <c r="S543" s="57"/>
      <c r="T543" s="2234"/>
      <c r="U543" s="257"/>
    </row>
    <row r="544" spans="3:21">
      <c r="C544" s="257"/>
      <c r="D544" s="57"/>
      <c r="E544" s="57"/>
      <c r="F544" s="57"/>
      <c r="G544" s="57"/>
      <c r="H544" s="57"/>
      <c r="I544" s="57"/>
      <c r="J544" s="57"/>
      <c r="K544" s="57"/>
      <c r="L544" s="57"/>
      <c r="M544" s="57"/>
      <c r="N544" s="57"/>
      <c r="O544" s="57"/>
      <c r="P544" s="57"/>
      <c r="Q544" s="57"/>
      <c r="R544" s="57"/>
      <c r="S544" s="57"/>
      <c r="T544" s="2234"/>
      <c r="U544" s="257"/>
    </row>
    <row r="545" spans="3:21">
      <c r="C545" s="257"/>
      <c r="D545" s="57"/>
      <c r="E545" s="57"/>
      <c r="F545" s="57"/>
      <c r="G545" s="57"/>
      <c r="H545" s="57"/>
      <c r="I545" s="57"/>
      <c r="J545" s="57"/>
      <c r="K545" s="57"/>
      <c r="L545" s="57"/>
      <c r="M545" s="57"/>
      <c r="N545" s="57"/>
      <c r="O545" s="57"/>
      <c r="P545" s="57"/>
      <c r="Q545" s="57"/>
      <c r="R545" s="57"/>
      <c r="S545" s="57"/>
      <c r="T545" s="2234"/>
      <c r="U545" s="257"/>
    </row>
    <row r="546" spans="3:21">
      <c r="C546" s="257"/>
      <c r="D546" s="57"/>
      <c r="E546" s="57"/>
      <c r="F546" s="57"/>
      <c r="G546" s="57"/>
      <c r="H546" s="57"/>
      <c r="I546" s="57"/>
      <c r="J546" s="57"/>
      <c r="K546" s="57"/>
      <c r="L546" s="57"/>
      <c r="M546" s="57"/>
      <c r="N546" s="57"/>
      <c r="O546" s="57"/>
      <c r="P546" s="57"/>
      <c r="Q546" s="57"/>
      <c r="R546" s="57"/>
      <c r="S546" s="57"/>
      <c r="T546" s="2234"/>
      <c r="U546" s="257"/>
    </row>
    <row r="547" spans="3:21">
      <c r="C547" s="257"/>
      <c r="D547" s="57"/>
      <c r="E547" s="57"/>
      <c r="F547" s="57"/>
      <c r="G547" s="57"/>
      <c r="H547" s="57"/>
      <c r="I547" s="57"/>
      <c r="J547" s="57"/>
      <c r="K547" s="57"/>
      <c r="L547" s="57"/>
      <c r="M547" s="57"/>
      <c r="N547" s="57"/>
      <c r="O547" s="57"/>
      <c r="P547" s="57"/>
      <c r="Q547" s="57"/>
      <c r="R547" s="57"/>
      <c r="S547" s="57"/>
      <c r="T547" s="2234"/>
      <c r="U547" s="257"/>
    </row>
    <row r="548" spans="3:21">
      <c r="C548" s="257"/>
      <c r="D548" s="57"/>
      <c r="E548" s="57"/>
      <c r="F548" s="57"/>
      <c r="G548" s="57"/>
      <c r="H548" s="57"/>
      <c r="I548" s="57"/>
      <c r="J548" s="57"/>
      <c r="K548" s="57"/>
      <c r="L548" s="57"/>
      <c r="M548" s="57"/>
      <c r="N548" s="57"/>
      <c r="O548" s="57"/>
      <c r="P548" s="57"/>
      <c r="Q548" s="57"/>
      <c r="R548" s="57"/>
      <c r="S548" s="57"/>
      <c r="T548" s="2234"/>
      <c r="U548" s="257"/>
    </row>
    <row r="549" spans="3:21">
      <c r="C549" s="257"/>
      <c r="D549" s="57"/>
      <c r="E549" s="57"/>
      <c r="F549" s="57"/>
      <c r="G549" s="57"/>
      <c r="H549" s="57"/>
      <c r="I549" s="57"/>
      <c r="J549" s="57"/>
      <c r="K549" s="57"/>
      <c r="L549" s="57"/>
      <c r="M549" s="57"/>
      <c r="N549" s="57"/>
      <c r="O549" s="57"/>
      <c r="P549" s="57"/>
      <c r="Q549" s="57"/>
      <c r="R549" s="57"/>
      <c r="S549" s="57"/>
      <c r="T549" s="2234"/>
      <c r="U549" s="257"/>
    </row>
    <row r="550" spans="3:21">
      <c r="C550" s="257"/>
      <c r="D550" s="57"/>
      <c r="E550" s="57"/>
      <c r="F550" s="57"/>
      <c r="G550" s="57"/>
      <c r="H550" s="57"/>
      <c r="I550" s="57"/>
      <c r="J550" s="57"/>
      <c r="K550" s="57"/>
      <c r="L550" s="57"/>
      <c r="M550" s="57"/>
      <c r="N550" s="57"/>
      <c r="O550" s="57"/>
      <c r="P550" s="57"/>
      <c r="Q550" s="57"/>
      <c r="R550" s="57"/>
      <c r="S550" s="57"/>
      <c r="T550" s="2234"/>
      <c r="U550" s="257"/>
    </row>
    <row r="551" spans="3:21">
      <c r="C551" s="257"/>
      <c r="D551" s="57"/>
      <c r="E551" s="57"/>
      <c r="F551" s="57"/>
      <c r="G551" s="57"/>
      <c r="H551" s="57"/>
      <c r="I551" s="57"/>
      <c r="J551" s="57"/>
      <c r="K551" s="57"/>
      <c r="L551" s="57"/>
      <c r="M551" s="57"/>
      <c r="N551" s="57"/>
      <c r="O551" s="57"/>
      <c r="P551" s="57"/>
      <c r="Q551" s="57"/>
      <c r="R551" s="57"/>
      <c r="S551" s="57"/>
      <c r="T551" s="2234"/>
      <c r="U551" s="257"/>
    </row>
    <row r="552" spans="3:21">
      <c r="C552" s="257"/>
      <c r="D552" s="57"/>
      <c r="E552" s="57"/>
      <c r="F552" s="57"/>
      <c r="G552" s="57"/>
      <c r="H552" s="57"/>
      <c r="I552" s="57"/>
      <c r="J552" s="57"/>
      <c r="K552" s="57"/>
      <c r="L552" s="57"/>
      <c r="M552" s="57"/>
      <c r="N552" s="57"/>
      <c r="O552" s="57"/>
      <c r="P552" s="57"/>
      <c r="Q552" s="57"/>
      <c r="R552" s="57"/>
      <c r="S552" s="57"/>
      <c r="T552" s="2234"/>
      <c r="U552" s="257"/>
    </row>
    <row r="553" spans="3:21">
      <c r="C553" s="257"/>
      <c r="D553" s="57"/>
      <c r="E553" s="57"/>
      <c r="F553" s="57"/>
      <c r="G553" s="57"/>
      <c r="H553" s="57"/>
      <c r="I553" s="57"/>
      <c r="J553" s="57"/>
      <c r="K553" s="57"/>
      <c r="L553" s="57"/>
      <c r="M553" s="57"/>
      <c r="N553" s="57"/>
      <c r="O553" s="57"/>
      <c r="P553" s="57"/>
      <c r="Q553" s="57"/>
      <c r="R553" s="57"/>
      <c r="S553" s="57"/>
      <c r="T553" s="2234"/>
      <c r="U553" s="257"/>
    </row>
    <row r="554" spans="3:21">
      <c r="C554" s="257"/>
      <c r="D554" s="57"/>
      <c r="E554" s="57"/>
      <c r="F554" s="57"/>
      <c r="G554" s="57"/>
      <c r="H554" s="57"/>
      <c r="I554" s="57"/>
      <c r="J554" s="57"/>
      <c r="K554" s="57"/>
      <c r="L554" s="57"/>
      <c r="M554" s="57"/>
      <c r="N554" s="57"/>
      <c r="O554" s="57"/>
      <c r="P554" s="57"/>
      <c r="Q554" s="57"/>
      <c r="R554" s="57"/>
      <c r="S554" s="57"/>
      <c r="T554" s="2234"/>
      <c r="U554" s="257"/>
    </row>
    <row r="555" spans="3:21">
      <c r="C555" s="257"/>
      <c r="D555" s="57"/>
      <c r="E555" s="57"/>
      <c r="F555" s="57"/>
      <c r="G555" s="57"/>
      <c r="H555" s="57"/>
      <c r="I555" s="57"/>
      <c r="J555" s="57"/>
      <c r="K555" s="57"/>
      <c r="L555" s="57"/>
      <c r="M555" s="57"/>
      <c r="N555" s="57"/>
      <c r="O555" s="57"/>
      <c r="P555" s="57"/>
      <c r="Q555" s="57"/>
      <c r="R555" s="57"/>
      <c r="S555" s="57"/>
      <c r="T555" s="2234"/>
      <c r="U555" s="257"/>
    </row>
    <row r="556" spans="3:21">
      <c r="C556" s="257"/>
      <c r="D556" s="57"/>
      <c r="E556" s="57"/>
      <c r="F556" s="57"/>
      <c r="G556" s="57"/>
      <c r="H556" s="57"/>
      <c r="I556" s="57"/>
      <c r="J556" s="57"/>
      <c r="K556" s="57"/>
      <c r="L556" s="57"/>
      <c r="M556" s="57"/>
      <c r="N556" s="57"/>
      <c r="O556" s="57"/>
      <c r="P556" s="57"/>
      <c r="Q556" s="57"/>
      <c r="R556" s="57"/>
      <c r="S556" s="57"/>
      <c r="T556" s="2234"/>
      <c r="U556" s="257"/>
    </row>
    <row r="557" spans="3:21">
      <c r="C557" s="257"/>
      <c r="D557" s="57"/>
      <c r="E557" s="57"/>
      <c r="F557" s="57"/>
      <c r="G557" s="57"/>
      <c r="H557" s="57"/>
      <c r="I557" s="57"/>
      <c r="J557" s="57"/>
      <c r="K557" s="57"/>
      <c r="L557" s="57"/>
      <c r="M557" s="57"/>
      <c r="N557" s="57"/>
      <c r="O557" s="57"/>
      <c r="P557" s="57"/>
      <c r="Q557" s="57"/>
      <c r="R557" s="57"/>
      <c r="S557" s="57"/>
      <c r="T557" s="2234"/>
      <c r="U557" s="257"/>
    </row>
    <row r="558" spans="3:21">
      <c r="C558" s="257"/>
      <c r="D558" s="57"/>
      <c r="E558" s="57"/>
      <c r="F558" s="57"/>
      <c r="G558" s="57"/>
      <c r="H558" s="57"/>
      <c r="I558" s="57"/>
      <c r="J558" s="57"/>
      <c r="K558" s="57"/>
      <c r="L558" s="57"/>
      <c r="M558" s="57"/>
      <c r="N558" s="57"/>
      <c r="O558" s="57"/>
      <c r="P558" s="57"/>
      <c r="Q558" s="57"/>
      <c r="R558" s="57"/>
      <c r="S558" s="57"/>
      <c r="T558" s="2234"/>
      <c r="U558" s="257"/>
    </row>
    <row r="559" spans="3:21">
      <c r="C559" s="257"/>
      <c r="D559" s="57"/>
      <c r="E559" s="57"/>
      <c r="F559" s="57"/>
      <c r="G559" s="57"/>
      <c r="H559" s="57"/>
      <c r="I559" s="57"/>
      <c r="J559" s="57"/>
      <c r="K559" s="57"/>
      <c r="L559" s="57"/>
      <c r="M559" s="57"/>
      <c r="N559" s="57"/>
      <c r="O559" s="57"/>
      <c r="P559" s="57"/>
      <c r="Q559" s="57"/>
      <c r="R559" s="57"/>
      <c r="S559" s="57"/>
      <c r="T559" s="2234"/>
      <c r="U559" s="257"/>
    </row>
    <row r="560" spans="3:21">
      <c r="C560" s="257"/>
      <c r="D560" s="57"/>
      <c r="E560" s="57"/>
      <c r="F560" s="57"/>
      <c r="G560" s="57"/>
      <c r="H560" s="57"/>
      <c r="I560" s="57"/>
      <c r="J560" s="57"/>
      <c r="K560" s="57"/>
      <c r="L560" s="57"/>
      <c r="M560" s="57"/>
      <c r="N560" s="57"/>
      <c r="O560" s="57"/>
      <c r="P560" s="57"/>
      <c r="Q560" s="57"/>
      <c r="R560" s="57"/>
      <c r="S560" s="57"/>
      <c r="T560" s="2234"/>
      <c r="U560" s="257"/>
    </row>
    <row r="561" spans="3:21">
      <c r="C561" s="257"/>
      <c r="D561" s="57"/>
      <c r="E561" s="57"/>
      <c r="F561" s="57"/>
      <c r="G561" s="57"/>
      <c r="H561" s="57"/>
      <c r="I561" s="57"/>
      <c r="J561" s="57"/>
      <c r="K561" s="57"/>
      <c r="L561" s="57"/>
      <c r="M561" s="57"/>
      <c r="N561" s="57"/>
      <c r="O561" s="57"/>
      <c r="P561" s="57"/>
      <c r="Q561" s="57"/>
      <c r="R561" s="57"/>
      <c r="S561" s="57"/>
      <c r="T561" s="2234"/>
      <c r="U561" s="257"/>
    </row>
    <row r="562" spans="3:21">
      <c r="C562" s="257"/>
      <c r="D562" s="57"/>
      <c r="E562" s="57"/>
      <c r="F562" s="57"/>
      <c r="G562" s="57"/>
      <c r="H562" s="57"/>
      <c r="I562" s="57"/>
      <c r="J562" s="57"/>
      <c r="K562" s="57"/>
      <c r="L562" s="57"/>
      <c r="M562" s="57"/>
      <c r="N562" s="57"/>
      <c r="O562" s="57"/>
      <c r="P562" s="57"/>
      <c r="Q562" s="57"/>
      <c r="R562" s="57"/>
      <c r="S562" s="57"/>
      <c r="T562" s="2234"/>
      <c r="U562" s="257"/>
    </row>
    <row r="563" spans="3:21">
      <c r="C563" s="257"/>
      <c r="D563" s="57"/>
      <c r="E563" s="57"/>
      <c r="F563" s="57"/>
      <c r="G563" s="57"/>
      <c r="H563" s="57"/>
      <c r="I563" s="57"/>
      <c r="J563" s="57"/>
      <c r="K563" s="57"/>
      <c r="L563" s="57"/>
      <c r="M563" s="57"/>
      <c r="N563" s="57"/>
      <c r="O563" s="57"/>
      <c r="P563" s="57"/>
      <c r="Q563" s="57"/>
      <c r="R563" s="57"/>
      <c r="S563" s="57"/>
      <c r="T563" s="2234"/>
      <c r="U563" s="257"/>
    </row>
    <row r="564" spans="3:21">
      <c r="C564" s="257"/>
      <c r="D564" s="57"/>
      <c r="E564" s="57"/>
      <c r="F564" s="57"/>
      <c r="G564" s="57"/>
      <c r="H564" s="57"/>
      <c r="I564" s="57"/>
      <c r="J564" s="57"/>
      <c r="K564" s="57"/>
      <c r="L564" s="57"/>
      <c r="M564" s="57"/>
      <c r="N564" s="57"/>
      <c r="O564" s="57"/>
      <c r="P564" s="57"/>
      <c r="Q564" s="57"/>
      <c r="R564" s="57"/>
      <c r="S564" s="57"/>
      <c r="T564" s="2234"/>
      <c r="U564" s="257"/>
    </row>
    <row r="565" spans="3:21">
      <c r="C565" s="257"/>
      <c r="D565" s="57"/>
      <c r="E565" s="57"/>
      <c r="F565" s="57"/>
      <c r="G565" s="57"/>
      <c r="H565" s="57"/>
      <c r="I565" s="57"/>
      <c r="J565" s="57"/>
      <c r="K565" s="57"/>
      <c r="L565" s="57"/>
      <c r="M565" s="57"/>
      <c r="N565" s="57"/>
      <c r="O565" s="57"/>
      <c r="P565" s="57"/>
      <c r="Q565" s="57"/>
      <c r="R565" s="57"/>
      <c r="S565" s="57"/>
      <c r="T565" s="2234"/>
      <c r="U565" s="257"/>
    </row>
    <row r="566" spans="3:21">
      <c r="C566" s="257"/>
      <c r="D566" s="57"/>
      <c r="E566" s="57"/>
      <c r="F566" s="57"/>
      <c r="G566" s="57"/>
      <c r="H566" s="57"/>
      <c r="I566" s="57"/>
      <c r="J566" s="57"/>
      <c r="K566" s="57"/>
      <c r="L566" s="57"/>
      <c r="M566" s="57"/>
      <c r="N566" s="57"/>
      <c r="O566" s="57"/>
      <c r="P566" s="57"/>
      <c r="Q566" s="57"/>
      <c r="R566" s="57"/>
      <c r="S566" s="57"/>
      <c r="T566" s="2234"/>
      <c r="U566" s="257"/>
    </row>
    <row r="567" spans="3:21">
      <c r="C567" s="257"/>
      <c r="D567" s="57"/>
      <c r="E567" s="57"/>
      <c r="F567" s="57"/>
      <c r="G567" s="57"/>
      <c r="H567" s="57"/>
      <c r="I567" s="57"/>
      <c r="J567" s="57"/>
      <c r="K567" s="57"/>
      <c r="L567" s="57"/>
      <c r="M567" s="57"/>
      <c r="N567" s="57"/>
      <c r="O567" s="57"/>
      <c r="P567" s="57"/>
      <c r="Q567" s="57"/>
      <c r="R567" s="57"/>
      <c r="S567" s="57"/>
      <c r="T567" s="2234"/>
      <c r="U567" s="257"/>
    </row>
    <row r="568" spans="3:21">
      <c r="C568" s="257"/>
      <c r="D568" s="57"/>
      <c r="E568" s="57"/>
      <c r="F568" s="57"/>
      <c r="G568" s="57"/>
      <c r="H568" s="57"/>
      <c r="I568" s="57"/>
      <c r="J568" s="57"/>
      <c r="K568" s="57"/>
      <c r="L568" s="57"/>
      <c r="M568" s="57"/>
      <c r="N568" s="57"/>
      <c r="O568" s="57"/>
      <c r="P568" s="57"/>
      <c r="Q568" s="57"/>
      <c r="R568" s="57"/>
      <c r="S568" s="57"/>
      <c r="T568" s="2234"/>
      <c r="U568" s="257"/>
    </row>
    <row r="569" spans="3:21">
      <c r="C569" s="257"/>
      <c r="D569" s="57"/>
      <c r="E569" s="57"/>
      <c r="F569" s="57"/>
      <c r="G569" s="57"/>
      <c r="H569" s="57"/>
      <c r="I569" s="57"/>
      <c r="J569" s="57"/>
      <c r="K569" s="57"/>
      <c r="L569" s="57"/>
      <c r="M569" s="57"/>
      <c r="N569" s="57"/>
      <c r="O569" s="57"/>
      <c r="P569" s="57"/>
      <c r="Q569" s="57"/>
      <c r="R569" s="57"/>
      <c r="S569" s="57"/>
      <c r="T569" s="2234"/>
      <c r="U569" s="257"/>
    </row>
    <row r="570" spans="3:21">
      <c r="C570" s="257"/>
      <c r="D570" s="57"/>
      <c r="E570" s="57"/>
      <c r="F570" s="57"/>
      <c r="G570" s="57"/>
      <c r="H570" s="57"/>
      <c r="I570" s="57"/>
      <c r="J570" s="57"/>
      <c r="K570" s="57"/>
      <c r="L570" s="57"/>
      <c r="M570" s="57"/>
      <c r="N570" s="57"/>
      <c r="O570" s="57"/>
      <c r="P570" s="57"/>
      <c r="Q570" s="57"/>
      <c r="R570" s="57"/>
      <c r="S570" s="57"/>
      <c r="T570" s="2234"/>
      <c r="U570" s="257"/>
    </row>
    <row r="571" spans="3:21">
      <c r="C571" s="257"/>
      <c r="D571" s="57"/>
      <c r="E571" s="57"/>
      <c r="F571" s="57"/>
      <c r="G571" s="57"/>
      <c r="H571" s="57"/>
      <c r="I571" s="57"/>
      <c r="J571" s="57"/>
      <c r="K571" s="57"/>
      <c r="L571" s="57"/>
      <c r="M571" s="57"/>
      <c r="N571" s="57"/>
      <c r="O571" s="57"/>
      <c r="P571" s="57"/>
      <c r="Q571" s="57"/>
      <c r="R571" s="57"/>
      <c r="S571" s="57"/>
      <c r="T571" s="2234"/>
      <c r="U571" s="257"/>
    </row>
    <row r="572" spans="3:21">
      <c r="C572" s="257"/>
      <c r="D572" s="57"/>
      <c r="E572" s="57"/>
      <c r="F572" s="57"/>
      <c r="G572" s="57"/>
      <c r="H572" s="57"/>
      <c r="I572" s="57"/>
      <c r="J572" s="57"/>
      <c r="K572" s="57"/>
      <c r="L572" s="57"/>
      <c r="M572" s="57"/>
      <c r="N572" s="57"/>
      <c r="O572" s="57"/>
      <c r="P572" s="57"/>
      <c r="Q572" s="57"/>
      <c r="R572" s="57"/>
      <c r="S572" s="57"/>
      <c r="T572" s="2234"/>
      <c r="U572" s="257"/>
    </row>
    <row r="573" spans="3:21">
      <c r="C573" s="257"/>
      <c r="D573" s="57"/>
      <c r="E573" s="57"/>
      <c r="F573" s="57"/>
      <c r="G573" s="57"/>
      <c r="H573" s="57"/>
      <c r="I573" s="57"/>
      <c r="J573" s="57"/>
      <c r="K573" s="57"/>
      <c r="L573" s="57"/>
      <c r="M573" s="57"/>
      <c r="N573" s="57"/>
      <c r="O573" s="57"/>
      <c r="P573" s="57"/>
      <c r="Q573" s="57"/>
      <c r="R573" s="57"/>
      <c r="S573" s="57"/>
      <c r="T573" s="2234"/>
      <c r="U573" s="257"/>
    </row>
    <row r="574" spans="3:21">
      <c r="C574" s="257"/>
      <c r="D574" s="57"/>
      <c r="E574" s="57"/>
      <c r="F574" s="57"/>
      <c r="G574" s="57"/>
      <c r="H574" s="57"/>
      <c r="I574" s="57"/>
      <c r="J574" s="57"/>
      <c r="K574" s="57"/>
      <c r="L574" s="57"/>
      <c r="M574" s="57"/>
      <c r="N574" s="57"/>
      <c r="O574" s="57"/>
      <c r="P574" s="57"/>
      <c r="Q574" s="57"/>
      <c r="R574" s="57"/>
      <c r="S574" s="57"/>
      <c r="T574" s="2234"/>
      <c r="U574" s="257"/>
    </row>
    <row r="575" spans="3:21">
      <c r="C575" s="257"/>
      <c r="D575" s="57"/>
      <c r="E575" s="57"/>
      <c r="F575" s="57"/>
      <c r="G575" s="57"/>
      <c r="H575" s="57"/>
      <c r="I575" s="57"/>
      <c r="J575" s="57"/>
      <c r="K575" s="57"/>
      <c r="L575" s="57"/>
      <c r="M575" s="57"/>
      <c r="N575" s="57"/>
      <c r="O575" s="57"/>
      <c r="P575" s="57"/>
      <c r="Q575" s="57"/>
      <c r="R575" s="57"/>
      <c r="S575" s="57"/>
      <c r="T575" s="2234"/>
      <c r="U575" s="257"/>
    </row>
    <row r="576" spans="3:21">
      <c r="C576" s="257"/>
      <c r="D576" s="57"/>
      <c r="E576" s="57"/>
      <c r="F576" s="57"/>
      <c r="G576" s="57"/>
      <c r="H576" s="57"/>
      <c r="I576" s="57"/>
      <c r="J576" s="57"/>
      <c r="K576" s="57"/>
      <c r="L576" s="57"/>
      <c r="M576" s="57"/>
      <c r="N576" s="57"/>
      <c r="O576" s="57"/>
      <c r="P576" s="57"/>
      <c r="Q576" s="57"/>
      <c r="R576" s="57"/>
      <c r="S576" s="57"/>
      <c r="T576" s="2234"/>
      <c r="U576" s="257"/>
    </row>
    <row r="577" spans="3:21">
      <c r="C577" s="257"/>
      <c r="D577" s="57"/>
      <c r="E577" s="57"/>
      <c r="F577" s="57"/>
      <c r="G577" s="57"/>
      <c r="H577" s="57"/>
      <c r="I577" s="57"/>
      <c r="J577" s="57"/>
      <c r="K577" s="57"/>
      <c r="L577" s="57"/>
      <c r="M577" s="57"/>
      <c r="N577" s="57"/>
      <c r="O577" s="57"/>
      <c r="P577" s="57"/>
      <c r="Q577" s="57"/>
      <c r="R577" s="57"/>
      <c r="S577" s="57"/>
      <c r="T577" s="2234"/>
      <c r="U577" s="257"/>
    </row>
    <row r="578" spans="3:21">
      <c r="C578" s="257"/>
      <c r="D578" s="57"/>
      <c r="E578" s="57"/>
      <c r="F578" s="57"/>
      <c r="G578" s="57"/>
      <c r="H578" s="57"/>
      <c r="I578" s="57"/>
      <c r="J578" s="57"/>
      <c r="K578" s="57"/>
      <c r="L578" s="57"/>
      <c r="M578" s="57"/>
      <c r="N578" s="57"/>
      <c r="O578" s="57"/>
      <c r="P578" s="57"/>
      <c r="Q578" s="57"/>
      <c r="R578" s="57"/>
      <c r="S578" s="57"/>
      <c r="T578" s="2234"/>
      <c r="U578" s="257"/>
    </row>
    <row r="579" spans="3:21">
      <c r="C579" s="257"/>
      <c r="D579" s="57"/>
      <c r="E579" s="57"/>
      <c r="F579" s="57"/>
      <c r="G579" s="57"/>
      <c r="H579" s="57"/>
      <c r="I579" s="57"/>
      <c r="J579" s="57"/>
      <c r="K579" s="57"/>
      <c r="L579" s="57"/>
      <c r="M579" s="57"/>
      <c r="N579" s="57"/>
      <c r="O579" s="57"/>
      <c r="P579" s="57"/>
      <c r="Q579" s="57"/>
      <c r="R579" s="57"/>
      <c r="S579" s="57"/>
      <c r="T579" s="2234"/>
      <c r="U579" s="257"/>
    </row>
    <row r="580" spans="3:21">
      <c r="C580" s="257"/>
      <c r="D580" s="57"/>
      <c r="E580" s="57"/>
      <c r="F580" s="57"/>
      <c r="G580" s="57"/>
      <c r="H580" s="57"/>
      <c r="I580" s="57"/>
      <c r="J580" s="57"/>
      <c r="K580" s="57"/>
      <c r="L580" s="57"/>
      <c r="M580" s="57"/>
      <c r="N580" s="57"/>
      <c r="O580" s="57"/>
      <c r="P580" s="57"/>
      <c r="Q580" s="57"/>
      <c r="R580" s="57"/>
      <c r="S580" s="57"/>
      <c r="T580" s="2234"/>
      <c r="U580" s="257"/>
    </row>
    <row r="581" spans="3:21">
      <c r="C581" s="257"/>
      <c r="D581" s="57"/>
      <c r="E581" s="57"/>
      <c r="F581" s="57"/>
      <c r="G581" s="57"/>
      <c r="H581" s="57"/>
      <c r="I581" s="57"/>
      <c r="J581" s="57"/>
      <c r="K581" s="57"/>
      <c r="L581" s="57"/>
      <c r="M581" s="57"/>
      <c r="N581" s="57"/>
      <c r="O581" s="57"/>
      <c r="P581" s="57"/>
      <c r="Q581" s="57"/>
      <c r="R581" s="57"/>
      <c r="S581" s="57"/>
      <c r="T581" s="2234"/>
      <c r="U581" s="257"/>
    </row>
    <row r="582" spans="3:21">
      <c r="C582" s="257"/>
      <c r="D582" s="57"/>
      <c r="E582" s="57"/>
      <c r="F582" s="57"/>
      <c r="G582" s="57"/>
      <c r="H582" s="57"/>
      <c r="I582" s="57"/>
      <c r="J582" s="57"/>
      <c r="K582" s="57"/>
      <c r="L582" s="57"/>
      <c r="M582" s="57"/>
      <c r="N582" s="57"/>
      <c r="O582" s="57"/>
      <c r="P582" s="57"/>
      <c r="Q582" s="57"/>
      <c r="R582" s="57"/>
      <c r="S582" s="57"/>
      <c r="T582" s="2234"/>
      <c r="U582" s="257"/>
    </row>
    <row r="583" spans="3:21">
      <c r="C583" s="257"/>
      <c r="D583" s="57"/>
      <c r="E583" s="57"/>
      <c r="F583" s="57"/>
      <c r="G583" s="57"/>
      <c r="H583" s="57"/>
      <c r="I583" s="57"/>
      <c r="J583" s="57"/>
      <c r="K583" s="57"/>
      <c r="L583" s="57"/>
      <c r="M583" s="57"/>
      <c r="N583" s="57"/>
      <c r="O583" s="57"/>
      <c r="P583" s="57"/>
      <c r="Q583" s="57"/>
      <c r="R583" s="57"/>
      <c r="S583" s="57"/>
      <c r="T583" s="2234"/>
      <c r="U583" s="257"/>
    </row>
    <row r="584" spans="3:21">
      <c r="C584" s="257"/>
      <c r="D584" s="57"/>
      <c r="E584" s="57"/>
      <c r="F584" s="57"/>
      <c r="G584" s="57"/>
      <c r="H584" s="57"/>
      <c r="I584" s="57"/>
      <c r="J584" s="57"/>
      <c r="K584" s="57"/>
      <c r="L584" s="57"/>
      <c r="M584" s="57"/>
      <c r="N584" s="57"/>
      <c r="O584" s="57"/>
      <c r="P584" s="57"/>
      <c r="Q584" s="57"/>
      <c r="R584" s="57"/>
      <c r="S584" s="57"/>
      <c r="T584" s="2234"/>
      <c r="U584" s="257"/>
    </row>
    <row r="585" spans="3:21">
      <c r="C585" s="257"/>
      <c r="D585" s="57"/>
      <c r="E585" s="57"/>
      <c r="F585" s="57"/>
      <c r="G585" s="57"/>
      <c r="H585" s="57"/>
      <c r="I585" s="57"/>
      <c r="J585" s="57"/>
      <c r="K585" s="57"/>
      <c r="L585" s="57"/>
      <c r="M585" s="57"/>
      <c r="N585" s="57"/>
      <c r="O585" s="57"/>
      <c r="P585" s="57"/>
      <c r="Q585" s="57"/>
      <c r="R585" s="57"/>
      <c r="S585" s="57"/>
      <c r="T585" s="2234"/>
      <c r="U585" s="257"/>
    </row>
    <row r="586" spans="3:21">
      <c r="C586" s="257"/>
      <c r="D586" s="57"/>
      <c r="E586" s="57"/>
      <c r="F586" s="57"/>
      <c r="G586" s="57"/>
      <c r="H586" s="57"/>
      <c r="I586" s="57"/>
      <c r="J586" s="57"/>
      <c r="K586" s="57"/>
      <c r="L586" s="57"/>
      <c r="M586" s="57"/>
      <c r="N586" s="57"/>
      <c r="O586" s="57"/>
      <c r="P586" s="57"/>
      <c r="Q586" s="57"/>
      <c r="R586" s="57"/>
      <c r="S586" s="57"/>
      <c r="T586" s="2234"/>
      <c r="U586" s="257"/>
    </row>
    <row r="587" spans="3:21">
      <c r="C587" s="257"/>
      <c r="D587" s="57"/>
      <c r="E587" s="57"/>
      <c r="F587" s="57"/>
      <c r="G587" s="57"/>
      <c r="H587" s="57"/>
      <c r="I587" s="57"/>
      <c r="J587" s="57"/>
      <c r="K587" s="57"/>
      <c r="L587" s="57"/>
      <c r="M587" s="57"/>
      <c r="N587" s="57"/>
      <c r="O587" s="57"/>
      <c r="P587" s="57"/>
      <c r="Q587" s="57"/>
      <c r="R587" s="57"/>
      <c r="S587" s="57"/>
      <c r="T587" s="2234"/>
      <c r="U587" s="257"/>
    </row>
    <row r="588" spans="3:21">
      <c r="C588" s="257"/>
      <c r="D588" s="57"/>
      <c r="E588" s="57"/>
      <c r="F588" s="57"/>
      <c r="G588" s="57"/>
      <c r="H588" s="57"/>
      <c r="I588" s="57"/>
      <c r="J588" s="57"/>
      <c r="K588" s="57"/>
      <c r="L588" s="57"/>
      <c r="M588" s="57"/>
      <c r="N588" s="57"/>
      <c r="O588" s="57"/>
      <c r="P588" s="57"/>
      <c r="Q588" s="57"/>
      <c r="R588" s="57"/>
      <c r="S588" s="57"/>
      <c r="T588" s="2234"/>
      <c r="U588" s="257"/>
    </row>
    <row r="589" spans="3:21">
      <c r="C589" s="257"/>
      <c r="D589" s="57"/>
      <c r="E589" s="57"/>
      <c r="F589" s="57"/>
      <c r="G589" s="57"/>
      <c r="H589" s="57"/>
      <c r="I589" s="57"/>
      <c r="J589" s="57"/>
      <c r="K589" s="57"/>
      <c r="L589" s="57"/>
      <c r="M589" s="57"/>
      <c r="N589" s="57"/>
      <c r="O589" s="57"/>
      <c r="P589" s="57"/>
      <c r="Q589" s="57"/>
      <c r="R589" s="57"/>
      <c r="S589" s="57"/>
      <c r="T589" s="2234"/>
      <c r="U589" s="257"/>
    </row>
    <row r="590" spans="3:21">
      <c r="C590" s="257"/>
      <c r="D590" s="57"/>
      <c r="E590" s="57"/>
      <c r="F590" s="57"/>
      <c r="G590" s="57"/>
      <c r="H590" s="57"/>
      <c r="I590" s="57"/>
      <c r="J590" s="57"/>
      <c r="K590" s="57"/>
      <c r="L590" s="57"/>
      <c r="M590" s="57"/>
      <c r="N590" s="57"/>
      <c r="O590" s="57"/>
      <c r="P590" s="57"/>
      <c r="Q590" s="57"/>
      <c r="R590" s="57"/>
      <c r="S590" s="57"/>
      <c r="T590" s="2234"/>
      <c r="U590" s="257"/>
    </row>
    <row r="591" spans="3:21">
      <c r="C591" s="257"/>
      <c r="D591" s="57"/>
      <c r="E591" s="57"/>
      <c r="F591" s="57"/>
      <c r="G591" s="57"/>
      <c r="H591" s="57"/>
      <c r="I591" s="57"/>
      <c r="J591" s="57"/>
      <c r="K591" s="57"/>
      <c r="L591" s="57"/>
      <c r="M591" s="57"/>
      <c r="N591" s="57"/>
      <c r="O591" s="57"/>
      <c r="P591" s="57"/>
      <c r="Q591" s="57"/>
      <c r="R591" s="57"/>
      <c r="S591" s="57"/>
      <c r="T591" s="2234"/>
      <c r="U591" s="257"/>
    </row>
    <row r="592" spans="3:21">
      <c r="C592" s="257"/>
      <c r="D592" s="57"/>
      <c r="E592" s="57"/>
      <c r="F592" s="57"/>
      <c r="G592" s="57"/>
      <c r="H592" s="57"/>
      <c r="I592" s="57"/>
      <c r="J592" s="57"/>
      <c r="K592" s="57"/>
      <c r="L592" s="57"/>
      <c r="M592" s="57"/>
      <c r="N592" s="57"/>
      <c r="O592" s="57"/>
      <c r="P592" s="57"/>
      <c r="Q592" s="57"/>
      <c r="R592" s="57"/>
      <c r="S592" s="57"/>
      <c r="T592" s="2234"/>
      <c r="U592" s="257"/>
    </row>
    <row r="593" spans="3:21">
      <c r="C593" s="257"/>
      <c r="D593" s="57"/>
      <c r="E593" s="57"/>
      <c r="F593" s="57"/>
      <c r="G593" s="57"/>
      <c r="H593" s="57"/>
      <c r="I593" s="57"/>
      <c r="J593" s="57"/>
      <c r="K593" s="57"/>
      <c r="L593" s="57"/>
      <c r="M593" s="57"/>
      <c r="N593" s="57"/>
      <c r="O593" s="57"/>
      <c r="P593" s="57"/>
      <c r="Q593" s="57"/>
      <c r="R593" s="57"/>
      <c r="S593" s="57"/>
      <c r="T593" s="2234"/>
      <c r="U593" s="257"/>
    </row>
    <row r="594" spans="3:21">
      <c r="C594" s="257"/>
      <c r="D594" s="57"/>
      <c r="E594" s="57"/>
      <c r="F594" s="57"/>
      <c r="G594" s="57"/>
      <c r="H594" s="57"/>
      <c r="I594" s="57"/>
      <c r="J594" s="57"/>
      <c r="K594" s="57"/>
      <c r="L594" s="57"/>
      <c r="M594" s="57"/>
      <c r="N594" s="57"/>
      <c r="O594" s="57"/>
      <c r="P594" s="57"/>
      <c r="Q594" s="57"/>
      <c r="R594" s="57"/>
      <c r="S594" s="57"/>
      <c r="T594" s="2234"/>
      <c r="U594" s="257"/>
    </row>
    <row r="595" spans="3:21">
      <c r="C595" s="257"/>
      <c r="D595" s="57"/>
      <c r="E595" s="57"/>
      <c r="F595" s="57"/>
      <c r="G595" s="57"/>
      <c r="H595" s="57"/>
      <c r="I595" s="57"/>
      <c r="J595" s="57"/>
      <c r="K595" s="57"/>
      <c r="L595" s="57"/>
      <c r="M595" s="57"/>
      <c r="N595" s="57"/>
      <c r="O595" s="57"/>
      <c r="P595" s="57"/>
      <c r="Q595" s="57"/>
      <c r="R595" s="57"/>
      <c r="S595" s="57"/>
      <c r="T595" s="2234"/>
      <c r="U595" s="257"/>
    </row>
    <row r="596" spans="3:21">
      <c r="C596" s="257"/>
      <c r="D596" s="57"/>
      <c r="E596" s="57"/>
      <c r="F596" s="57"/>
      <c r="G596" s="57"/>
      <c r="H596" s="57"/>
      <c r="I596" s="57"/>
      <c r="J596" s="57"/>
      <c r="K596" s="57"/>
      <c r="L596" s="57"/>
      <c r="M596" s="57"/>
      <c r="N596" s="57"/>
      <c r="O596" s="57"/>
      <c r="P596" s="57"/>
      <c r="Q596" s="57"/>
      <c r="R596" s="57"/>
      <c r="S596" s="57"/>
      <c r="T596" s="2234"/>
      <c r="U596" s="257"/>
    </row>
    <row r="597" spans="3:21">
      <c r="C597" s="257"/>
      <c r="D597" s="57"/>
      <c r="E597" s="57"/>
      <c r="F597" s="57"/>
      <c r="G597" s="57"/>
      <c r="H597" s="57"/>
      <c r="I597" s="57"/>
      <c r="J597" s="57"/>
      <c r="K597" s="57"/>
      <c r="L597" s="57"/>
      <c r="M597" s="57"/>
      <c r="N597" s="57"/>
      <c r="O597" s="57"/>
      <c r="P597" s="57"/>
      <c r="Q597" s="57"/>
      <c r="R597" s="57"/>
      <c r="S597" s="57"/>
      <c r="T597" s="2234"/>
      <c r="U597" s="257"/>
    </row>
    <row r="598" spans="3:21">
      <c r="C598" s="257"/>
      <c r="D598" s="57"/>
      <c r="E598" s="57"/>
      <c r="F598" s="57"/>
      <c r="G598" s="57"/>
      <c r="H598" s="57"/>
      <c r="I598" s="57"/>
      <c r="J598" s="57"/>
      <c r="K598" s="57"/>
      <c r="L598" s="57"/>
      <c r="M598" s="57"/>
      <c r="N598" s="57"/>
      <c r="O598" s="57"/>
      <c r="P598" s="57"/>
      <c r="Q598" s="57"/>
      <c r="R598" s="57"/>
      <c r="S598" s="57"/>
      <c r="T598" s="2234"/>
      <c r="U598" s="257"/>
    </row>
    <row r="599" spans="3:21">
      <c r="C599" s="257"/>
      <c r="D599" s="57"/>
      <c r="E599" s="57"/>
      <c r="F599" s="57"/>
      <c r="G599" s="57"/>
      <c r="H599" s="57"/>
      <c r="I599" s="57"/>
      <c r="J599" s="57"/>
      <c r="K599" s="57"/>
      <c r="L599" s="57"/>
      <c r="M599" s="57"/>
      <c r="N599" s="57"/>
      <c r="O599" s="57"/>
      <c r="P599" s="57"/>
      <c r="Q599" s="57"/>
      <c r="R599" s="57"/>
      <c r="S599" s="57"/>
      <c r="T599" s="2234"/>
      <c r="U599" s="257"/>
    </row>
    <row r="600" spans="3:21">
      <c r="C600" s="257"/>
      <c r="D600" s="57"/>
      <c r="E600" s="57"/>
      <c r="F600" s="57"/>
      <c r="G600" s="57"/>
      <c r="H600" s="57"/>
      <c r="I600" s="57"/>
      <c r="J600" s="57"/>
      <c r="K600" s="57"/>
      <c r="L600" s="57"/>
      <c r="M600" s="57"/>
      <c r="N600" s="57"/>
      <c r="O600" s="57"/>
      <c r="P600" s="57"/>
      <c r="Q600" s="57"/>
      <c r="R600" s="57"/>
      <c r="S600" s="57"/>
      <c r="T600" s="2234"/>
      <c r="U600" s="257"/>
    </row>
    <row r="601" spans="3:21">
      <c r="C601" s="257"/>
      <c r="D601" s="57"/>
      <c r="E601" s="57"/>
      <c r="F601" s="57"/>
      <c r="G601" s="57"/>
      <c r="H601" s="57"/>
      <c r="I601" s="57"/>
      <c r="J601" s="57"/>
      <c r="K601" s="57"/>
      <c r="L601" s="57"/>
      <c r="M601" s="57"/>
      <c r="N601" s="57"/>
      <c r="O601" s="57"/>
      <c r="P601" s="57"/>
      <c r="Q601" s="57"/>
      <c r="R601" s="57"/>
      <c r="S601" s="57"/>
      <c r="T601" s="2234"/>
      <c r="U601" s="257"/>
    </row>
    <row r="602" spans="3:21">
      <c r="C602" s="257"/>
      <c r="D602" s="57"/>
      <c r="E602" s="57"/>
      <c r="F602" s="57"/>
      <c r="G602" s="57"/>
      <c r="H602" s="57"/>
      <c r="I602" s="57"/>
      <c r="J602" s="57"/>
      <c r="K602" s="57"/>
      <c r="L602" s="57"/>
      <c r="M602" s="57"/>
      <c r="N602" s="57"/>
      <c r="O602" s="57"/>
      <c r="P602" s="57"/>
      <c r="Q602" s="57"/>
      <c r="R602" s="57"/>
      <c r="S602" s="57"/>
      <c r="T602" s="2234"/>
      <c r="U602" s="257"/>
    </row>
    <row r="603" spans="3:21">
      <c r="C603" s="257"/>
      <c r="D603" s="57"/>
      <c r="E603" s="57"/>
      <c r="F603" s="57"/>
      <c r="G603" s="57"/>
      <c r="H603" s="57"/>
      <c r="I603" s="57"/>
      <c r="J603" s="57"/>
      <c r="K603" s="57"/>
      <c r="L603" s="57"/>
      <c r="M603" s="57"/>
      <c r="N603" s="57"/>
      <c r="O603" s="57"/>
      <c r="P603" s="57"/>
      <c r="Q603" s="57"/>
      <c r="R603" s="57"/>
      <c r="S603" s="57"/>
      <c r="T603" s="2234"/>
      <c r="U603" s="257"/>
    </row>
    <row r="604" spans="3:21">
      <c r="C604" s="257"/>
      <c r="D604" s="57"/>
      <c r="E604" s="57"/>
      <c r="F604" s="57"/>
      <c r="G604" s="57"/>
      <c r="H604" s="57"/>
      <c r="I604" s="57"/>
      <c r="J604" s="57"/>
      <c r="K604" s="57"/>
      <c r="L604" s="57"/>
      <c r="M604" s="57"/>
      <c r="N604" s="57"/>
      <c r="O604" s="57"/>
      <c r="P604" s="57"/>
      <c r="Q604" s="57"/>
      <c r="R604" s="57"/>
      <c r="S604" s="57"/>
      <c r="T604" s="2234"/>
      <c r="U604" s="257"/>
    </row>
    <row r="605" spans="3:21">
      <c r="C605" s="257"/>
      <c r="D605" s="57"/>
      <c r="E605" s="57"/>
      <c r="F605" s="57"/>
      <c r="G605" s="57"/>
      <c r="H605" s="57"/>
      <c r="I605" s="57"/>
      <c r="J605" s="57"/>
      <c r="K605" s="57"/>
      <c r="L605" s="57"/>
      <c r="M605" s="57"/>
      <c r="N605" s="57"/>
      <c r="O605" s="57"/>
      <c r="P605" s="57"/>
      <c r="Q605" s="57"/>
      <c r="R605" s="57"/>
      <c r="S605" s="57"/>
      <c r="T605" s="2234"/>
      <c r="U605" s="257"/>
    </row>
    <row r="606" spans="3:21">
      <c r="C606" s="257"/>
      <c r="D606" s="57"/>
      <c r="E606" s="57"/>
      <c r="F606" s="57"/>
      <c r="G606" s="57"/>
      <c r="H606" s="57"/>
      <c r="I606" s="57"/>
      <c r="J606" s="57"/>
      <c r="K606" s="57"/>
      <c r="L606" s="57"/>
      <c r="M606" s="57"/>
      <c r="N606" s="57"/>
      <c r="O606" s="57"/>
      <c r="P606" s="57"/>
      <c r="Q606" s="57"/>
      <c r="R606" s="57"/>
      <c r="S606" s="57"/>
      <c r="T606" s="2234"/>
      <c r="U606" s="257"/>
    </row>
    <row r="607" spans="3:21">
      <c r="C607" s="257"/>
      <c r="D607" s="57"/>
      <c r="E607" s="57"/>
      <c r="F607" s="57"/>
      <c r="G607" s="57"/>
      <c r="H607" s="57"/>
      <c r="I607" s="57"/>
      <c r="J607" s="57"/>
      <c r="K607" s="57"/>
      <c r="L607" s="57"/>
      <c r="M607" s="57"/>
      <c r="N607" s="57"/>
      <c r="O607" s="57"/>
      <c r="P607" s="57"/>
      <c r="Q607" s="57"/>
      <c r="R607" s="57"/>
      <c r="S607" s="57"/>
      <c r="T607" s="2234"/>
      <c r="U607" s="257"/>
    </row>
    <row r="608" spans="3:21">
      <c r="C608" s="257"/>
      <c r="D608" s="57"/>
      <c r="E608" s="57"/>
      <c r="F608" s="57"/>
      <c r="G608" s="57"/>
      <c r="H608" s="57"/>
      <c r="I608" s="57"/>
      <c r="J608" s="57"/>
      <c r="K608" s="57"/>
      <c r="L608" s="57"/>
      <c r="M608" s="57"/>
      <c r="N608" s="57"/>
      <c r="O608" s="57"/>
      <c r="P608" s="57"/>
      <c r="Q608" s="57"/>
      <c r="R608" s="57"/>
      <c r="S608" s="57"/>
      <c r="T608" s="2234"/>
      <c r="U608" s="257"/>
    </row>
    <row r="609" spans="3:21">
      <c r="C609" s="257"/>
      <c r="D609" s="57"/>
      <c r="E609" s="57"/>
      <c r="F609" s="57"/>
      <c r="G609" s="57"/>
      <c r="H609" s="57"/>
      <c r="I609" s="57"/>
      <c r="J609" s="57"/>
      <c r="K609" s="57"/>
      <c r="L609" s="57"/>
      <c r="M609" s="57"/>
      <c r="N609" s="57"/>
      <c r="O609" s="57"/>
      <c r="P609" s="57"/>
      <c r="Q609" s="57"/>
      <c r="R609" s="57"/>
      <c r="S609" s="57"/>
      <c r="T609" s="2234"/>
      <c r="U609" s="257"/>
    </row>
    <row r="610" spans="3:21">
      <c r="C610" s="257"/>
      <c r="D610" s="57"/>
      <c r="E610" s="57"/>
      <c r="F610" s="57"/>
      <c r="G610" s="57"/>
      <c r="H610" s="57"/>
      <c r="I610" s="57"/>
      <c r="J610" s="57"/>
      <c r="K610" s="57"/>
      <c r="L610" s="57"/>
      <c r="M610" s="57"/>
      <c r="N610" s="57"/>
      <c r="O610" s="57"/>
      <c r="P610" s="57"/>
      <c r="Q610" s="57"/>
      <c r="R610" s="57"/>
      <c r="S610" s="57"/>
      <c r="T610" s="2234"/>
      <c r="U610" s="257"/>
    </row>
    <row r="611" spans="3:21">
      <c r="C611" s="257"/>
      <c r="D611" s="57"/>
      <c r="E611" s="57"/>
      <c r="F611" s="57"/>
      <c r="G611" s="57"/>
      <c r="H611" s="57"/>
      <c r="I611" s="57"/>
      <c r="J611" s="57"/>
      <c r="K611" s="57"/>
      <c r="L611" s="57"/>
      <c r="M611" s="57"/>
      <c r="N611" s="57"/>
      <c r="O611" s="57"/>
      <c r="P611" s="57"/>
      <c r="Q611" s="57"/>
      <c r="R611" s="57"/>
      <c r="S611" s="57"/>
      <c r="T611" s="2234"/>
      <c r="U611" s="257"/>
    </row>
    <row r="612" spans="3:21">
      <c r="C612" s="257"/>
      <c r="D612" s="57"/>
      <c r="E612" s="57"/>
      <c r="F612" s="57"/>
      <c r="G612" s="57"/>
      <c r="H612" s="57"/>
      <c r="I612" s="57"/>
      <c r="J612" s="57"/>
      <c r="K612" s="57"/>
      <c r="L612" s="57"/>
      <c r="M612" s="57"/>
      <c r="N612" s="57"/>
      <c r="O612" s="57"/>
      <c r="P612" s="57"/>
      <c r="Q612" s="57"/>
      <c r="R612" s="57"/>
      <c r="S612" s="57"/>
      <c r="T612" s="2234"/>
      <c r="U612" s="257"/>
    </row>
    <row r="613" spans="3:21">
      <c r="C613" s="257"/>
      <c r="D613" s="57"/>
      <c r="E613" s="57"/>
      <c r="F613" s="57"/>
      <c r="G613" s="57"/>
      <c r="H613" s="57"/>
      <c r="I613" s="57"/>
      <c r="J613" s="57"/>
      <c r="K613" s="57"/>
      <c r="L613" s="57"/>
      <c r="M613" s="57"/>
      <c r="N613" s="57"/>
      <c r="O613" s="57"/>
      <c r="P613" s="57"/>
      <c r="Q613" s="57"/>
      <c r="R613" s="57"/>
      <c r="S613" s="57"/>
      <c r="T613" s="2234"/>
      <c r="U613" s="257"/>
    </row>
    <row r="614" spans="3:21">
      <c r="C614" s="257"/>
      <c r="D614" s="57"/>
      <c r="E614" s="57"/>
      <c r="F614" s="57"/>
      <c r="G614" s="57"/>
      <c r="H614" s="57"/>
      <c r="I614" s="57"/>
      <c r="J614" s="57"/>
      <c r="K614" s="57"/>
      <c r="L614" s="57"/>
      <c r="M614" s="57"/>
      <c r="N614" s="57"/>
      <c r="O614" s="57"/>
      <c r="P614" s="57"/>
      <c r="Q614" s="57"/>
      <c r="R614" s="57"/>
      <c r="S614" s="57"/>
      <c r="T614" s="2234"/>
      <c r="U614" s="257"/>
    </row>
    <row r="615" spans="3:21">
      <c r="C615" s="257"/>
      <c r="D615" s="57"/>
      <c r="E615" s="57"/>
      <c r="F615" s="57"/>
      <c r="G615" s="57"/>
      <c r="H615" s="57"/>
      <c r="I615" s="57"/>
      <c r="J615" s="57"/>
      <c r="K615" s="57"/>
      <c r="L615" s="57"/>
      <c r="M615" s="57"/>
      <c r="N615" s="57"/>
      <c r="O615" s="57"/>
      <c r="P615" s="57"/>
      <c r="Q615" s="57"/>
      <c r="R615" s="57"/>
      <c r="S615" s="57"/>
      <c r="T615" s="2234"/>
      <c r="U615" s="257"/>
    </row>
    <row r="616" spans="3:21">
      <c r="C616" s="257"/>
      <c r="D616" s="57"/>
      <c r="E616" s="57"/>
      <c r="F616" s="57"/>
      <c r="G616" s="57"/>
      <c r="H616" s="57"/>
      <c r="I616" s="57"/>
      <c r="J616" s="57"/>
      <c r="K616" s="57"/>
      <c r="L616" s="57"/>
      <c r="M616" s="57"/>
      <c r="N616" s="57"/>
      <c r="O616" s="57"/>
      <c r="P616" s="57"/>
      <c r="Q616" s="57"/>
      <c r="R616" s="57"/>
      <c r="S616" s="57"/>
      <c r="T616" s="2234"/>
      <c r="U616" s="257"/>
    </row>
    <row r="617" spans="3:21">
      <c r="C617" s="257"/>
      <c r="D617" s="57"/>
      <c r="E617" s="57"/>
      <c r="F617" s="57"/>
      <c r="G617" s="57"/>
      <c r="H617" s="57"/>
      <c r="I617" s="57"/>
      <c r="J617" s="57"/>
      <c r="K617" s="57"/>
      <c r="L617" s="57"/>
      <c r="M617" s="57"/>
      <c r="N617" s="57"/>
      <c r="O617" s="57"/>
      <c r="P617" s="57"/>
      <c r="Q617" s="57"/>
      <c r="R617" s="57"/>
      <c r="S617" s="57"/>
      <c r="T617" s="2234"/>
      <c r="U617" s="257"/>
    </row>
    <row r="618" spans="3:21">
      <c r="C618" s="257"/>
      <c r="D618" s="57"/>
      <c r="E618" s="57"/>
      <c r="F618" s="57"/>
      <c r="G618" s="57"/>
      <c r="H618" s="57"/>
      <c r="I618" s="57"/>
      <c r="J618" s="57"/>
      <c r="K618" s="57"/>
      <c r="L618" s="57"/>
      <c r="M618" s="57"/>
      <c r="N618" s="57"/>
      <c r="O618" s="57"/>
      <c r="P618" s="57"/>
      <c r="Q618" s="57"/>
      <c r="R618" s="57"/>
      <c r="S618" s="57"/>
      <c r="T618" s="2234"/>
      <c r="U618" s="257"/>
    </row>
    <row r="619" spans="3:21">
      <c r="C619" s="257"/>
      <c r="D619" s="57"/>
      <c r="E619" s="57"/>
      <c r="F619" s="57"/>
      <c r="G619" s="57"/>
      <c r="H619" s="57"/>
      <c r="I619" s="57"/>
      <c r="J619" s="57"/>
      <c r="K619" s="57"/>
      <c r="L619" s="57"/>
      <c r="M619" s="57"/>
      <c r="N619" s="57"/>
      <c r="O619" s="57"/>
      <c r="P619" s="57"/>
      <c r="Q619" s="57"/>
      <c r="R619" s="57"/>
      <c r="S619" s="57"/>
      <c r="T619" s="2234"/>
      <c r="U619" s="257"/>
    </row>
    <row r="620" spans="3:21">
      <c r="C620" s="257"/>
      <c r="D620" s="57"/>
      <c r="E620" s="57"/>
      <c r="F620" s="57"/>
      <c r="G620" s="57"/>
      <c r="H620" s="57"/>
      <c r="I620" s="57"/>
      <c r="J620" s="57"/>
      <c r="K620" s="57"/>
      <c r="L620" s="57"/>
      <c r="M620" s="57"/>
      <c r="N620" s="57"/>
      <c r="O620" s="57"/>
      <c r="P620" s="57"/>
      <c r="Q620" s="57"/>
      <c r="R620" s="57"/>
      <c r="S620" s="57"/>
      <c r="T620" s="2234"/>
      <c r="U620" s="257"/>
    </row>
    <row r="621" spans="3:21">
      <c r="C621" s="257"/>
      <c r="D621" s="57"/>
      <c r="E621" s="57"/>
      <c r="F621" s="57"/>
      <c r="G621" s="57"/>
      <c r="H621" s="57"/>
      <c r="I621" s="57"/>
      <c r="J621" s="57"/>
      <c r="K621" s="57"/>
      <c r="L621" s="57"/>
      <c r="M621" s="57"/>
      <c r="N621" s="57"/>
      <c r="O621" s="57"/>
      <c r="P621" s="57"/>
      <c r="Q621" s="57"/>
      <c r="R621" s="57"/>
      <c r="S621" s="57"/>
      <c r="T621" s="2234"/>
      <c r="U621" s="257"/>
    </row>
    <row r="622" spans="3:21">
      <c r="C622" s="257"/>
      <c r="D622" s="57"/>
      <c r="E622" s="57"/>
      <c r="F622" s="57"/>
      <c r="G622" s="57"/>
      <c r="H622" s="57"/>
      <c r="I622" s="57"/>
      <c r="J622" s="57"/>
      <c r="K622" s="57"/>
      <c r="L622" s="57"/>
      <c r="M622" s="57"/>
      <c r="N622" s="57"/>
      <c r="O622" s="57"/>
      <c r="P622" s="57"/>
      <c r="Q622" s="57"/>
      <c r="R622" s="57"/>
      <c r="S622" s="57"/>
      <c r="T622" s="2234"/>
      <c r="U622" s="257"/>
    </row>
    <row r="623" spans="3:21">
      <c r="C623" s="257"/>
      <c r="D623" s="57"/>
      <c r="E623" s="57"/>
      <c r="F623" s="57"/>
      <c r="G623" s="57"/>
      <c r="H623" s="57"/>
      <c r="I623" s="57"/>
      <c r="J623" s="57"/>
      <c r="K623" s="57"/>
      <c r="L623" s="57"/>
      <c r="M623" s="57"/>
      <c r="N623" s="57"/>
      <c r="O623" s="57"/>
      <c r="P623" s="57"/>
      <c r="Q623" s="57"/>
      <c r="R623" s="57"/>
      <c r="S623" s="57"/>
      <c r="T623" s="2234"/>
      <c r="U623" s="257"/>
    </row>
    <row r="624" spans="3:21">
      <c r="C624" s="257"/>
      <c r="D624" s="57"/>
      <c r="E624" s="57"/>
      <c r="F624" s="57"/>
      <c r="G624" s="57"/>
      <c r="H624" s="57"/>
      <c r="I624" s="57"/>
      <c r="J624" s="57"/>
      <c r="K624" s="57"/>
      <c r="L624" s="57"/>
      <c r="M624" s="57"/>
      <c r="N624" s="57"/>
      <c r="O624" s="57"/>
      <c r="P624" s="57"/>
      <c r="Q624" s="57"/>
      <c r="R624" s="57"/>
      <c r="S624" s="57"/>
      <c r="T624" s="2234"/>
      <c r="U624" s="257"/>
    </row>
    <row r="625" spans="3:21">
      <c r="C625" s="257"/>
      <c r="D625" s="57"/>
      <c r="E625" s="57"/>
      <c r="F625" s="57"/>
      <c r="G625" s="57"/>
      <c r="H625" s="57"/>
      <c r="I625" s="57"/>
      <c r="J625" s="57"/>
      <c r="K625" s="57"/>
      <c r="L625" s="57"/>
      <c r="M625" s="57"/>
      <c r="N625" s="57"/>
      <c r="O625" s="57"/>
      <c r="P625" s="57"/>
      <c r="Q625" s="57"/>
      <c r="R625" s="57"/>
      <c r="S625" s="57"/>
      <c r="T625" s="2234"/>
      <c r="U625" s="257"/>
    </row>
    <row r="626" spans="3:21">
      <c r="C626" s="257"/>
      <c r="D626" s="57"/>
      <c r="E626" s="57"/>
      <c r="F626" s="57"/>
      <c r="G626" s="57"/>
      <c r="H626" s="57"/>
      <c r="I626" s="57"/>
      <c r="J626" s="57"/>
      <c r="K626" s="57"/>
      <c r="L626" s="57"/>
      <c r="M626" s="57"/>
      <c r="N626" s="57"/>
      <c r="O626" s="57"/>
      <c r="P626" s="57"/>
      <c r="Q626" s="57"/>
      <c r="R626" s="57"/>
      <c r="S626" s="57"/>
      <c r="T626" s="2234"/>
      <c r="U626" s="257"/>
    </row>
    <row r="627" spans="3:21">
      <c r="C627" s="257"/>
      <c r="D627" s="57"/>
      <c r="E627" s="57"/>
      <c r="F627" s="57"/>
      <c r="G627" s="57"/>
      <c r="H627" s="57"/>
      <c r="I627" s="57"/>
      <c r="J627" s="57"/>
      <c r="K627" s="57"/>
      <c r="L627" s="57"/>
      <c r="M627" s="57"/>
      <c r="N627" s="57"/>
      <c r="O627" s="57"/>
      <c r="P627" s="57"/>
      <c r="Q627" s="57"/>
      <c r="R627" s="57"/>
      <c r="S627" s="57"/>
      <c r="T627" s="2234"/>
      <c r="U627" s="257"/>
    </row>
    <row r="628" spans="3:21">
      <c r="C628" s="257"/>
      <c r="D628" s="57"/>
      <c r="E628" s="57"/>
      <c r="F628" s="57"/>
      <c r="G628" s="57"/>
      <c r="H628" s="57"/>
      <c r="I628" s="57"/>
      <c r="J628" s="57"/>
      <c r="K628" s="57"/>
      <c r="L628" s="57"/>
      <c r="M628" s="57"/>
      <c r="N628" s="57"/>
      <c r="O628" s="57"/>
      <c r="P628" s="57"/>
      <c r="Q628" s="57"/>
      <c r="R628" s="57"/>
      <c r="S628" s="57"/>
      <c r="T628" s="2234"/>
      <c r="U628" s="257"/>
    </row>
    <row r="629" spans="3:21">
      <c r="C629" s="257"/>
      <c r="D629" s="57"/>
      <c r="E629" s="57"/>
      <c r="F629" s="57"/>
      <c r="G629" s="57"/>
      <c r="H629" s="57"/>
      <c r="I629" s="57"/>
      <c r="J629" s="57"/>
      <c r="K629" s="57"/>
      <c r="L629" s="57"/>
      <c r="M629" s="57"/>
      <c r="N629" s="57"/>
      <c r="O629" s="57"/>
      <c r="P629" s="57"/>
      <c r="Q629" s="57"/>
      <c r="R629" s="57"/>
      <c r="S629" s="57"/>
      <c r="T629" s="2234"/>
      <c r="U629" s="257"/>
    </row>
    <row r="630" spans="3:21">
      <c r="C630" s="257"/>
      <c r="D630" s="57"/>
      <c r="E630" s="57"/>
      <c r="F630" s="57"/>
      <c r="G630" s="57"/>
      <c r="H630" s="57"/>
      <c r="I630" s="57"/>
      <c r="J630" s="57"/>
      <c r="K630" s="57"/>
      <c r="L630" s="57"/>
      <c r="M630" s="57"/>
      <c r="N630" s="57"/>
      <c r="O630" s="57"/>
      <c r="P630" s="57"/>
      <c r="Q630" s="57"/>
      <c r="R630" s="57"/>
      <c r="S630" s="57"/>
      <c r="T630" s="2234"/>
      <c r="U630" s="257"/>
    </row>
    <row r="631" spans="3:21">
      <c r="C631" s="257"/>
      <c r="D631" s="57"/>
      <c r="E631" s="57"/>
      <c r="F631" s="57"/>
      <c r="G631" s="57"/>
      <c r="H631" s="57"/>
      <c r="I631" s="57"/>
      <c r="J631" s="57"/>
      <c r="K631" s="57"/>
      <c r="L631" s="57"/>
      <c r="M631" s="57"/>
      <c r="N631" s="57"/>
      <c r="O631" s="57"/>
      <c r="P631" s="57"/>
      <c r="Q631" s="57"/>
      <c r="R631" s="57"/>
      <c r="S631" s="57"/>
      <c r="T631" s="2234"/>
      <c r="U631" s="257"/>
    </row>
    <row r="632" spans="3:21">
      <c r="C632" s="257"/>
      <c r="D632" s="57"/>
      <c r="E632" s="57"/>
      <c r="F632" s="57"/>
      <c r="G632" s="57"/>
      <c r="H632" s="57"/>
      <c r="I632" s="57"/>
      <c r="J632" s="57"/>
      <c r="K632" s="57"/>
      <c r="L632" s="57"/>
      <c r="M632" s="57"/>
      <c r="N632" s="57"/>
      <c r="O632" s="57"/>
      <c r="P632" s="57"/>
      <c r="Q632" s="57"/>
      <c r="R632" s="57"/>
      <c r="S632" s="57"/>
      <c r="T632" s="2234"/>
      <c r="U632" s="257"/>
    </row>
    <row r="633" spans="3:21">
      <c r="C633" s="257"/>
      <c r="D633" s="57"/>
      <c r="E633" s="57"/>
      <c r="F633" s="57"/>
      <c r="G633" s="57"/>
      <c r="H633" s="57"/>
      <c r="I633" s="57"/>
      <c r="J633" s="57"/>
      <c r="K633" s="57"/>
      <c r="L633" s="57"/>
      <c r="M633" s="57"/>
      <c r="N633" s="57"/>
      <c r="O633" s="57"/>
      <c r="P633" s="57"/>
      <c r="Q633" s="57"/>
      <c r="R633" s="57"/>
      <c r="S633" s="57"/>
      <c r="T633" s="2234"/>
      <c r="U633" s="257"/>
    </row>
    <row r="634" spans="3:21">
      <c r="C634" s="257"/>
      <c r="D634" s="57"/>
      <c r="E634" s="57"/>
      <c r="F634" s="57"/>
      <c r="G634" s="57"/>
      <c r="H634" s="57"/>
      <c r="I634" s="57"/>
      <c r="J634" s="57"/>
      <c r="K634" s="57"/>
      <c r="L634" s="57"/>
      <c r="M634" s="57"/>
      <c r="N634" s="57"/>
      <c r="O634" s="57"/>
      <c r="P634" s="57"/>
      <c r="Q634" s="57"/>
      <c r="R634" s="57"/>
      <c r="S634" s="57"/>
      <c r="T634" s="2234"/>
      <c r="U634" s="257"/>
    </row>
    <row r="635" spans="3:21">
      <c r="C635" s="257"/>
      <c r="D635" s="57"/>
      <c r="E635" s="57"/>
      <c r="F635" s="57"/>
      <c r="G635" s="57"/>
      <c r="H635" s="57"/>
      <c r="I635" s="57"/>
      <c r="J635" s="57"/>
      <c r="K635" s="57"/>
      <c r="L635" s="57"/>
      <c r="M635" s="57"/>
      <c r="N635" s="57"/>
      <c r="O635" s="57"/>
      <c r="P635" s="57"/>
      <c r="Q635" s="57"/>
      <c r="R635" s="57"/>
      <c r="S635" s="57"/>
      <c r="T635" s="2234"/>
      <c r="U635" s="257"/>
    </row>
    <row r="636" spans="3:21">
      <c r="C636" s="257"/>
      <c r="D636" s="57"/>
      <c r="E636" s="57"/>
      <c r="F636" s="57"/>
      <c r="G636" s="57"/>
      <c r="H636" s="57"/>
      <c r="I636" s="57"/>
      <c r="J636" s="57"/>
      <c r="K636" s="57"/>
      <c r="L636" s="57"/>
      <c r="M636" s="57"/>
      <c r="N636" s="57"/>
      <c r="O636" s="57"/>
      <c r="P636" s="57"/>
      <c r="Q636" s="57"/>
      <c r="R636" s="57"/>
      <c r="S636" s="57"/>
      <c r="T636" s="2234"/>
      <c r="U636" s="257"/>
    </row>
    <row r="637" spans="3:21">
      <c r="C637" s="257"/>
      <c r="D637" s="57"/>
      <c r="E637" s="57"/>
      <c r="F637" s="57"/>
      <c r="G637" s="57"/>
      <c r="H637" s="57"/>
      <c r="I637" s="57"/>
      <c r="J637" s="57"/>
      <c r="K637" s="57"/>
      <c r="L637" s="57"/>
      <c r="M637" s="57"/>
      <c r="N637" s="57"/>
      <c r="O637" s="57"/>
      <c r="P637" s="57"/>
      <c r="Q637" s="57"/>
      <c r="R637" s="57"/>
      <c r="S637" s="57"/>
      <c r="T637" s="2234"/>
      <c r="U637" s="257"/>
    </row>
    <row r="638" spans="3:21">
      <c r="C638" s="257"/>
      <c r="D638" s="57"/>
      <c r="E638" s="57"/>
      <c r="F638" s="57"/>
      <c r="G638" s="57"/>
      <c r="H638" s="57"/>
      <c r="I638" s="57"/>
      <c r="J638" s="57"/>
      <c r="K638" s="57"/>
      <c r="L638" s="57"/>
      <c r="M638" s="57"/>
      <c r="N638" s="57"/>
      <c r="O638" s="57"/>
      <c r="P638" s="57"/>
      <c r="Q638" s="57"/>
      <c r="R638" s="57"/>
      <c r="S638" s="57"/>
      <c r="T638" s="2234"/>
      <c r="U638" s="257"/>
    </row>
    <row r="639" spans="3:21">
      <c r="C639" s="257"/>
      <c r="D639" s="57"/>
      <c r="E639" s="57"/>
      <c r="F639" s="57"/>
      <c r="G639" s="57"/>
      <c r="H639" s="57"/>
      <c r="I639" s="57"/>
      <c r="J639" s="57"/>
      <c r="K639" s="57"/>
      <c r="L639" s="57"/>
      <c r="M639" s="57"/>
      <c r="N639" s="57"/>
      <c r="O639" s="57"/>
      <c r="P639" s="57"/>
      <c r="Q639" s="57"/>
      <c r="R639" s="57"/>
      <c r="S639" s="57"/>
      <c r="T639" s="2234"/>
      <c r="U639" s="257"/>
    </row>
    <row r="640" spans="3:21">
      <c r="C640" s="257"/>
      <c r="D640" s="57"/>
      <c r="E640" s="57"/>
      <c r="F640" s="57"/>
      <c r="G640" s="57"/>
      <c r="H640" s="57"/>
      <c r="I640" s="57"/>
      <c r="J640" s="57"/>
      <c r="K640" s="57"/>
      <c r="L640" s="57"/>
      <c r="M640" s="57"/>
      <c r="N640" s="57"/>
      <c r="O640" s="57"/>
      <c r="P640" s="57"/>
      <c r="Q640" s="57"/>
      <c r="R640" s="57"/>
      <c r="S640" s="57"/>
      <c r="T640" s="2234"/>
      <c r="U640" s="257"/>
    </row>
    <row r="641" spans="3:21">
      <c r="C641" s="257"/>
      <c r="D641" s="57"/>
      <c r="E641" s="57"/>
      <c r="F641" s="57"/>
      <c r="G641" s="57"/>
      <c r="H641" s="57"/>
      <c r="I641" s="57"/>
      <c r="J641" s="57"/>
      <c r="K641" s="57"/>
      <c r="L641" s="57"/>
      <c r="M641" s="57"/>
      <c r="N641" s="57"/>
      <c r="O641" s="57"/>
      <c r="P641" s="57"/>
      <c r="Q641" s="57"/>
      <c r="R641" s="57"/>
      <c r="S641" s="57"/>
      <c r="T641" s="2234"/>
      <c r="U641" s="257"/>
    </row>
    <row r="642" spans="3:21">
      <c r="C642" s="257"/>
      <c r="D642" s="57"/>
      <c r="E642" s="57"/>
      <c r="F642" s="57"/>
      <c r="G642" s="57"/>
      <c r="H642" s="57"/>
      <c r="I642" s="57"/>
      <c r="J642" s="57"/>
      <c r="K642" s="57"/>
      <c r="L642" s="57"/>
      <c r="M642" s="57"/>
      <c r="N642" s="57"/>
      <c r="O642" s="57"/>
      <c r="P642" s="57"/>
      <c r="Q642" s="57"/>
      <c r="R642" s="57"/>
      <c r="S642" s="57"/>
      <c r="T642" s="2234"/>
      <c r="U642" s="257"/>
    </row>
    <row r="643" spans="3:21">
      <c r="C643" s="257"/>
      <c r="D643" s="57"/>
      <c r="E643" s="57"/>
      <c r="F643" s="57"/>
      <c r="G643" s="57"/>
      <c r="H643" s="57"/>
      <c r="I643" s="57"/>
      <c r="J643" s="57"/>
      <c r="K643" s="57"/>
      <c r="L643" s="57"/>
      <c r="M643" s="57"/>
      <c r="N643" s="57"/>
      <c r="O643" s="57"/>
      <c r="P643" s="57"/>
      <c r="Q643" s="57"/>
      <c r="R643" s="57"/>
      <c r="S643" s="57"/>
      <c r="T643" s="2234"/>
      <c r="U643" s="257"/>
    </row>
    <row r="644" spans="3:21">
      <c r="C644" s="257"/>
      <c r="D644" s="57"/>
      <c r="E644" s="57"/>
      <c r="F644" s="57"/>
      <c r="G644" s="57"/>
      <c r="H644" s="57"/>
      <c r="I644" s="57"/>
      <c r="J644" s="57"/>
      <c r="K644" s="57"/>
      <c r="L644" s="57"/>
      <c r="M644" s="57"/>
      <c r="N644" s="57"/>
      <c r="O644" s="57"/>
      <c r="P644" s="57"/>
      <c r="Q644" s="57"/>
      <c r="R644" s="57"/>
      <c r="S644" s="57"/>
      <c r="T644" s="2234"/>
      <c r="U644" s="257"/>
    </row>
    <row r="645" spans="3:21">
      <c r="C645" s="257"/>
      <c r="D645" s="57"/>
      <c r="E645" s="57"/>
      <c r="F645" s="57"/>
      <c r="G645" s="57"/>
      <c r="H645" s="57"/>
      <c r="I645" s="57"/>
      <c r="J645" s="57"/>
      <c r="K645" s="57"/>
      <c r="L645" s="57"/>
      <c r="M645" s="57"/>
      <c r="N645" s="57"/>
      <c r="O645" s="57"/>
      <c r="P645" s="57"/>
      <c r="Q645" s="57"/>
      <c r="R645" s="57"/>
      <c r="S645" s="57"/>
      <c r="T645" s="2234"/>
      <c r="U645" s="257"/>
    </row>
    <row r="646" spans="3:21">
      <c r="C646" s="257"/>
      <c r="D646" s="57"/>
      <c r="E646" s="57"/>
      <c r="F646" s="57"/>
      <c r="G646" s="57"/>
      <c r="H646" s="57"/>
      <c r="I646" s="57"/>
      <c r="J646" s="57"/>
      <c r="K646" s="57"/>
      <c r="L646" s="57"/>
      <c r="M646" s="57"/>
      <c r="N646" s="57"/>
      <c r="O646" s="57"/>
      <c r="P646" s="57"/>
      <c r="Q646" s="57"/>
      <c r="R646" s="57"/>
      <c r="S646" s="57"/>
      <c r="T646" s="2234"/>
      <c r="U646" s="257"/>
    </row>
    <row r="647" spans="3:21">
      <c r="C647" s="257"/>
      <c r="D647" s="57"/>
      <c r="E647" s="57"/>
      <c r="F647" s="57"/>
      <c r="G647" s="57"/>
      <c r="H647" s="57"/>
      <c r="I647" s="57"/>
      <c r="J647" s="57"/>
      <c r="K647" s="57"/>
      <c r="L647" s="57"/>
      <c r="M647" s="57"/>
      <c r="N647" s="57"/>
      <c r="O647" s="57"/>
      <c r="P647" s="57"/>
      <c r="Q647" s="57"/>
      <c r="R647" s="57"/>
      <c r="S647" s="57"/>
      <c r="T647" s="2234"/>
      <c r="U647" s="257"/>
    </row>
    <row r="648" spans="3:21">
      <c r="C648" s="257"/>
      <c r="D648" s="57"/>
      <c r="E648" s="57"/>
      <c r="F648" s="57"/>
      <c r="G648" s="57"/>
      <c r="H648" s="57"/>
      <c r="I648" s="57"/>
      <c r="J648" s="57"/>
      <c r="K648" s="57"/>
      <c r="L648" s="57"/>
      <c r="M648" s="57"/>
      <c r="N648" s="57"/>
      <c r="O648" s="57"/>
      <c r="P648" s="57"/>
      <c r="Q648" s="57"/>
      <c r="R648" s="57"/>
      <c r="S648" s="57"/>
      <c r="T648" s="2234"/>
      <c r="U648" s="257"/>
    </row>
    <row r="649" spans="3:21">
      <c r="C649" s="257"/>
      <c r="D649" s="57"/>
      <c r="E649" s="57"/>
      <c r="F649" s="57"/>
      <c r="G649" s="57"/>
      <c r="H649" s="57"/>
      <c r="I649" s="57"/>
      <c r="J649" s="57"/>
      <c r="K649" s="57"/>
      <c r="L649" s="57"/>
      <c r="M649" s="57"/>
      <c r="N649" s="57"/>
      <c r="O649" s="57"/>
      <c r="P649" s="57"/>
      <c r="Q649" s="57"/>
      <c r="R649" s="57"/>
      <c r="S649" s="57"/>
      <c r="T649" s="2234"/>
      <c r="U649" s="257"/>
    </row>
    <row r="650" spans="3:21">
      <c r="C650" s="257"/>
      <c r="D650" s="57"/>
      <c r="E650" s="57"/>
      <c r="F650" s="57"/>
      <c r="G650" s="57"/>
      <c r="H650" s="57"/>
      <c r="I650" s="57"/>
      <c r="J650" s="57"/>
      <c r="K650" s="57"/>
      <c r="L650" s="57"/>
      <c r="M650" s="57"/>
      <c r="N650" s="57"/>
      <c r="O650" s="57"/>
      <c r="P650" s="57"/>
      <c r="Q650" s="57"/>
      <c r="R650" s="57"/>
      <c r="S650" s="57"/>
      <c r="T650" s="2234"/>
      <c r="U650" s="257"/>
    </row>
    <row r="651" spans="3:21">
      <c r="C651" s="257"/>
      <c r="D651" s="57"/>
      <c r="E651" s="57"/>
      <c r="F651" s="57"/>
      <c r="G651" s="57"/>
      <c r="H651" s="57"/>
      <c r="I651" s="57"/>
      <c r="J651" s="57"/>
      <c r="K651" s="57"/>
      <c r="L651" s="57"/>
      <c r="M651" s="57"/>
      <c r="N651" s="57"/>
      <c r="O651" s="57"/>
      <c r="P651" s="57"/>
      <c r="Q651" s="57"/>
      <c r="R651" s="57"/>
      <c r="S651" s="57"/>
      <c r="T651" s="2234"/>
      <c r="U651" s="257"/>
    </row>
    <row r="652" spans="3:21">
      <c r="C652" s="257"/>
      <c r="D652" s="57"/>
      <c r="E652" s="57"/>
      <c r="F652" s="57"/>
      <c r="G652" s="57"/>
      <c r="H652" s="57"/>
      <c r="I652" s="57"/>
      <c r="J652" s="57"/>
      <c r="K652" s="57"/>
      <c r="L652" s="57"/>
      <c r="M652" s="57"/>
      <c r="N652" s="57"/>
      <c r="O652" s="57"/>
      <c r="P652" s="57"/>
      <c r="Q652" s="57"/>
      <c r="R652" s="57"/>
      <c r="S652" s="57"/>
      <c r="T652" s="2234"/>
      <c r="U652" s="257"/>
    </row>
    <row r="653" spans="3:21">
      <c r="C653" s="257"/>
      <c r="D653" s="57"/>
      <c r="E653" s="57"/>
      <c r="F653" s="57"/>
      <c r="G653" s="57"/>
      <c r="H653" s="57"/>
      <c r="I653" s="57"/>
      <c r="J653" s="57"/>
      <c r="K653" s="57"/>
      <c r="L653" s="57"/>
      <c r="M653" s="57"/>
      <c r="N653" s="57"/>
      <c r="O653" s="57"/>
      <c r="P653" s="57"/>
      <c r="Q653" s="57"/>
      <c r="R653" s="57"/>
      <c r="S653" s="57"/>
      <c r="T653" s="2234"/>
      <c r="U653" s="257"/>
    </row>
    <row r="654" spans="3:21">
      <c r="C654" s="257"/>
      <c r="D654" s="57"/>
      <c r="E654" s="57"/>
      <c r="F654" s="57"/>
      <c r="G654" s="57"/>
      <c r="H654" s="57"/>
      <c r="I654" s="57"/>
      <c r="J654" s="57"/>
      <c r="K654" s="57"/>
      <c r="L654" s="57"/>
      <c r="M654" s="57"/>
      <c r="N654" s="57"/>
      <c r="O654" s="57"/>
      <c r="P654" s="57"/>
      <c r="Q654" s="57"/>
      <c r="R654" s="57"/>
      <c r="S654" s="57"/>
      <c r="T654" s="2234"/>
      <c r="U654" s="257"/>
    </row>
    <row r="655" spans="3:21">
      <c r="C655" s="257"/>
      <c r="D655" s="57"/>
      <c r="E655" s="57"/>
      <c r="F655" s="57"/>
      <c r="G655" s="57"/>
      <c r="H655" s="57"/>
      <c r="I655" s="57"/>
      <c r="J655" s="57"/>
      <c r="K655" s="57"/>
      <c r="L655" s="57"/>
      <c r="M655" s="57"/>
      <c r="N655" s="57"/>
      <c r="O655" s="57"/>
      <c r="P655" s="57"/>
      <c r="Q655" s="57"/>
      <c r="R655" s="57"/>
      <c r="S655" s="57"/>
      <c r="T655" s="2234"/>
      <c r="U655" s="257"/>
    </row>
    <row r="656" spans="3:21">
      <c r="C656" s="257"/>
      <c r="D656" s="57"/>
      <c r="E656" s="57"/>
      <c r="F656" s="57"/>
      <c r="G656" s="57"/>
      <c r="H656" s="57"/>
      <c r="I656" s="57"/>
      <c r="J656" s="57"/>
      <c r="K656" s="57"/>
      <c r="L656" s="57"/>
      <c r="M656" s="57"/>
      <c r="N656" s="57"/>
      <c r="O656" s="57"/>
      <c r="P656" s="57"/>
      <c r="Q656" s="57"/>
      <c r="R656" s="57"/>
      <c r="S656" s="57"/>
      <c r="T656" s="2234"/>
      <c r="U656" s="257"/>
    </row>
    <row r="657" spans="3:21">
      <c r="C657" s="257"/>
      <c r="D657" s="57"/>
      <c r="E657" s="57"/>
      <c r="F657" s="57"/>
      <c r="G657" s="57"/>
      <c r="H657" s="57"/>
      <c r="I657" s="57"/>
      <c r="J657" s="57"/>
      <c r="K657" s="57"/>
      <c r="L657" s="57"/>
      <c r="M657" s="57"/>
      <c r="N657" s="57"/>
      <c r="O657" s="57"/>
      <c r="P657" s="57"/>
      <c r="Q657" s="57"/>
      <c r="R657" s="57"/>
      <c r="S657" s="57"/>
      <c r="T657" s="2234"/>
      <c r="U657" s="257"/>
    </row>
    <row r="658" spans="3:21">
      <c r="C658" s="257"/>
      <c r="D658" s="57"/>
      <c r="E658" s="57"/>
      <c r="F658" s="57"/>
      <c r="G658" s="57"/>
      <c r="H658" s="57"/>
      <c r="I658" s="57"/>
      <c r="J658" s="57"/>
      <c r="K658" s="57"/>
      <c r="L658" s="57"/>
      <c r="M658" s="57"/>
      <c r="N658" s="57"/>
      <c r="O658" s="57"/>
      <c r="P658" s="57"/>
      <c r="Q658" s="57"/>
      <c r="R658" s="57"/>
      <c r="S658" s="57"/>
      <c r="T658" s="2234"/>
      <c r="U658" s="257"/>
    </row>
    <row r="659" spans="3:21">
      <c r="C659" s="257"/>
      <c r="D659" s="57"/>
      <c r="E659" s="57"/>
      <c r="F659" s="57"/>
      <c r="G659" s="57"/>
      <c r="H659" s="57"/>
      <c r="I659" s="57"/>
      <c r="J659" s="57"/>
      <c r="K659" s="57"/>
      <c r="L659" s="57"/>
      <c r="M659" s="57"/>
      <c r="N659" s="57"/>
      <c r="O659" s="57"/>
      <c r="P659" s="57"/>
      <c r="Q659" s="57"/>
      <c r="R659" s="57"/>
      <c r="S659" s="57"/>
      <c r="T659" s="2234"/>
      <c r="U659" s="257"/>
    </row>
    <row r="660" spans="3:21">
      <c r="C660" s="257"/>
      <c r="D660" s="57"/>
      <c r="E660" s="57"/>
      <c r="F660" s="57"/>
      <c r="G660" s="57"/>
      <c r="H660" s="57"/>
      <c r="I660" s="57"/>
      <c r="J660" s="57"/>
      <c r="K660" s="57"/>
      <c r="L660" s="57"/>
      <c r="M660" s="57"/>
      <c r="N660" s="57"/>
      <c r="O660" s="57"/>
      <c r="P660" s="57"/>
      <c r="Q660" s="57"/>
      <c r="R660" s="57"/>
      <c r="S660" s="57"/>
      <c r="T660" s="2234"/>
      <c r="U660" s="257"/>
    </row>
    <row r="661" spans="3:21">
      <c r="C661" s="257"/>
      <c r="D661" s="57"/>
      <c r="E661" s="57"/>
      <c r="F661" s="57"/>
      <c r="G661" s="57"/>
      <c r="H661" s="57"/>
      <c r="I661" s="57"/>
      <c r="J661" s="57"/>
      <c r="K661" s="57"/>
      <c r="L661" s="57"/>
      <c r="M661" s="57"/>
      <c r="N661" s="57"/>
      <c r="O661" s="57"/>
      <c r="P661" s="57"/>
      <c r="Q661" s="57"/>
      <c r="R661" s="57"/>
      <c r="S661" s="57"/>
      <c r="T661" s="2234"/>
      <c r="U661" s="257"/>
    </row>
    <row r="662" spans="3:21">
      <c r="C662" s="257"/>
      <c r="D662" s="57"/>
      <c r="E662" s="57"/>
      <c r="F662" s="57"/>
      <c r="G662" s="57"/>
      <c r="H662" s="57"/>
      <c r="I662" s="57"/>
      <c r="J662" s="57"/>
      <c r="K662" s="57"/>
      <c r="L662" s="57"/>
      <c r="M662" s="57"/>
      <c r="N662" s="57"/>
      <c r="O662" s="57"/>
      <c r="P662" s="57"/>
      <c r="Q662" s="57"/>
      <c r="R662" s="57"/>
      <c r="S662" s="57"/>
      <c r="T662" s="2234"/>
      <c r="U662" s="257"/>
    </row>
    <row r="663" spans="3:21">
      <c r="C663" s="257"/>
      <c r="D663" s="57"/>
      <c r="E663" s="57"/>
      <c r="F663" s="57"/>
      <c r="G663" s="57"/>
      <c r="H663" s="57"/>
      <c r="I663" s="57"/>
      <c r="J663" s="57"/>
      <c r="K663" s="57"/>
      <c r="L663" s="57"/>
      <c r="M663" s="57"/>
      <c r="N663" s="57"/>
      <c r="O663" s="57"/>
      <c r="P663" s="57"/>
      <c r="Q663" s="57"/>
      <c r="R663" s="57"/>
      <c r="S663" s="57"/>
      <c r="T663" s="2234"/>
      <c r="U663" s="257"/>
    </row>
    <row r="664" spans="3:21">
      <c r="C664" s="257"/>
      <c r="D664" s="57"/>
      <c r="E664" s="57"/>
      <c r="F664" s="57"/>
      <c r="G664" s="57"/>
      <c r="H664" s="57"/>
      <c r="I664" s="57"/>
      <c r="J664" s="57"/>
      <c r="K664" s="57"/>
      <c r="L664" s="57"/>
      <c r="M664" s="57"/>
      <c r="N664" s="57"/>
      <c r="O664" s="57"/>
      <c r="P664" s="57"/>
      <c r="Q664" s="57"/>
      <c r="R664" s="57"/>
      <c r="S664" s="57"/>
      <c r="T664" s="2234"/>
      <c r="U664" s="257"/>
    </row>
    <row r="665" spans="3:21">
      <c r="C665" s="257"/>
      <c r="D665" s="57"/>
      <c r="E665" s="57"/>
      <c r="F665" s="57"/>
      <c r="G665" s="57"/>
      <c r="H665" s="57"/>
      <c r="I665" s="57"/>
      <c r="J665" s="57"/>
      <c r="K665" s="57"/>
      <c r="L665" s="57"/>
      <c r="M665" s="57"/>
      <c r="N665" s="57"/>
      <c r="O665" s="57"/>
      <c r="P665" s="57"/>
      <c r="Q665" s="57"/>
      <c r="R665" s="57"/>
      <c r="S665" s="57"/>
      <c r="T665" s="2234"/>
      <c r="U665" s="257"/>
    </row>
    <row r="666" spans="3:21">
      <c r="C666" s="257"/>
      <c r="D666" s="57"/>
      <c r="E666" s="57"/>
      <c r="F666" s="57"/>
      <c r="G666" s="57"/>
      <c r="H666" s="57"/>
      <c r="I666" s="57"/>
      <c r="J666" s="57"/>
      <c r="K666" s="57"/>
      <c r="L666" s="57"/>
      <c r="M666" s="57"/>
      <c r="N666" s="57"/>
      <c r="O666" s="57"/>
      <c r="P666" s="57"/>
      <c r="Q666" s="57"/>
      <c r="R666" s="57"/>
      <c r="S666" s="57"/>
      <c r="T666" s="2234"/>
      <c r="U666" s="257"/>
    </row>
    <row r="667" spans="3:21">
      <c r="C667" s="257"/>
      <c r="D667" s="57"/>
      <c r="E667" s="57"/>
      <c r="F667" s="57"/>
      <c r="G667" s="57"/>
      <c r="H667" s="57"/>
      <c r="I667" s="57"/>
      <c r="J667" s="57"/>
      <c r="K667" s="57"/>
      <c r="L667" s="57"/>
      <c r="M667" s="57"/>
      <c r="N667" s="57"/>
      <c r="O667" s="57"/>
      <c r="P667" s="57"/>
      <c r="Q667" s="57"/>
      <c r="R667" s="57"/>
      <c r="S667" s="57"/>
      <c r="T667" s="2234"/>
      <c r="U667" s="257"/>
    </row>
    <row r="668" spans="3:21">
      <c r="C668" s="257"/>
      <c r="D668" s="57"/>
      <c r="E668" s="57"/>
      <c r="F668" s="57"/>
      <c r="G668" s="57"/>
      <c r="H668" s="57"/>
      <c r="I668" s="57"/>
      <c r="J668" s="57"/>
      <c r="K668" s="57"/>
      <c r="L668" s="57"/>
      <c r="M668" s="57"/>
      <c r="N668" s="57"/>
      <c r="O668" s="57"/>
      <c r="P668" s="57"/>
      <c r="Q668" s="57"/>
      <c r="R668" s="57"/>
      <c r="S668" s="57"/>
      <c r="T668" s="2234"/>
      <c r="U668" s="257"/>
    </row>
    <row r="669" spans="3:21">
      <c r="C669" s="257"/>
      <c r="D669" s="57"/>
      <c r="E669" s="57"/>
      <c r="F669" s="57"/>
      <c r="G669" s="57"/>
      <c r="H669" s="57"/>
      <c r="I669" s="57"/>
      <c r="J669" s="57"/>
      <c r="K669" s="57"/>
      <c r="L669" s="57"/>
      <c r="M669" s="57"/>
      <c r="N669" s="57"/>
      <c r="O669" s="57"/>
      <c r="P669" s="57"/>
      <c r="Q669" s="57"/>
      <c r="R669" s="57"/>
      <c r="S669" s="57"/>
      <c r="T669" s="2234"/>
      <c r="U669" s="257"/>
    </row>
    <row r="670" spans="3:21">
      <c r="C670" s="257"/>
      <c r="D670" s="57"/>
      <c r="E670" s="57"/>
      <c r="F670" s="57"/>
      <c r="G670" s="57"/>
      <c r="H670" s="57"/>
      <c r="I670" s="57"/>
      <c r="J670" s="57"/>
      <c r="K670" s="57"/>
      <c r="L670" s="57"/>
      <c r="M670" s="57"/>
      <c r="N670" s="57"/>
      <c r="O670" s="57"/>
      <c r="P670" s="57"/>
      <c r="Q670" s="57"/>
      <c r="R670" s="57"/>
      <c r="S670" s="57"/>
      <c r="T670" s="2234"/>
      <c r="U670" s="257"/>
    </row>
    <row r="671" spans="3:21">
      <c r="C671" s="257"/>
      <c r="D671" s="57"/>
      <c r="E671" s="57"/>
      <c r="F671" s="57"/>
      <c r="G671" s="57"/>
      <c r="H671" s="57"/>
      <c r="I671" s="57"/>
      <c r="J671" s="57"/>
      <c r="K671" s="57"/>
      <c r="L671" s="57"/>
      <c r="M671" s="57"/>
      <c r="N671" s="57"/>
      <c r="O671" s="57"/>
      <c r="P671" s="57"/>
      <c r="Q671" s="57"/>
      <c r="R671" s="57"/>
      <c r="S671" s="57"/>
      <c r="T671" s="2234"/>
      <c r="U671" s="257"/>
    </row>
    <row r="672" spans="3:21">
      <c r="C672" s="257"/>
      <c r="D672" s="57"/>
      <c r="E672" s="57"/>
      <c r="F672" s="57"/>
      <c r="G672" s="57"/>
      <c r="H672" s="57"/>
      <c r="I672" s="57"/>
      <c r="J672" s="57"/>
      <c r="K672" s="57"/>
      <c r="L672" s="57"/>
      <c r="M672" s="57"/>
      <c r="N672" s="57"/>
      <c r="O672" s="57"/>
      <c r="P672" s="57"/>
      <c r="Q672" s="57"/>
      <c r="R672" s="57"/>
      <c r="S672" s="57"/>
      <c r="T672" s="2234"/>
      <c r="U672" s="257"/>
    </row>
    <row r="673" spans="3:21">
      <c r="C673" s="257"/>
      <c r="D673" s="57"/>
      <c r="E673" s="57"/>
      <c r="F673" s="57"/>
      <c r="G673" s="57"/>
      <c r="H673" s="57"/>
      <c r="I673" s="57"/>
      <c r="J673" s="57"/>
      <c r="K673" s="57"/>
      <c r="L673" s="57"/>
      <c r="M673" s="57"/>
      <c r="N673" s="57"/>
      <c r="O673" s="57"/>
      <c r="P673" s="57"/>
      <c r="Q673" s="57"/>
      <c r="R673" s="57"/>
      <c r="S673" s="57"/>
      <c r="T673" s="2234"/>
      <c r="U673" s="257"/>
    </row>
    <row r="674" spans="3:21">
      <c r="C674" s="257"/>
      <c r="D674" s="57"/>
      <c r="E674" s="57"/>
      <c r="F674" s="57"/>
      <c r="G674" s="57"/>
      <c r="H674" s="57"/>
      <c r="I674" s="57"/>
      <c r="J674" s="57"/>
      <c r="K674" s="57"/>
      <c r="L674" s="57"/>
      <c r="M674" s="57"/>
      <c r="N674" s="57"/>
      <c r="O674" s="57"/>
      <c r="P674" s="57"/>
      <c r="Q674" s="57"/>
      <c r="R674" s="57"/>
      <c r="S674" s="57"/>
      <c r="T674" s="2234"/>
      <c r="U674" s="257"/>
    </row>
    <row r="675" spans="3:21">
      <c r="C675" s="257"/>
      <c r="D675" s="57"/>
      <c r="E675" s="57"/>
      <c r="F675" s="57"/>
      <c r="G675" s="57"/>
      <c r="H675" s="57"/>
      <c r="I675" s="57"/>
      <c r="J675" s="57"/>
      <c r="K675" s="57"/>
      <c r="L675" s="57"/>
      <c r="M675" s="57"/>
      <c r="N675" s="57"/>
      <c r="O675" s="57"/>
      <c r="P675" s="57"/>
      <c r="Q675" s="57"/>
      <c r="R675" s="57"/>
      <c r="S675" s="57"/>
      <c r="T675" s="2234"/>
      <c r="U675" s="257"/>
    </row>
    <row r="676" spans="3:21">
      <c r="C676" s="257"/>
      <c r="D676" s="57"/>
      <c r="E676" s="57"/>
      <c r="F676" s="57"/>
      <c r="G676" s="57"/>
      <c r="H676" s="57"/>
      <c r="I676" s="57"/>
      <c r="J676" s="57"/>
      <c r="K676" s="57"/>
      <c r="L676" s="57"/>
      <c r="M676" s="57"/>
      <c r="N676" s="57"/>
      <c r="O676" s="57"/>
      <c r="P676" s="57"/>
      <c r="Q676" s="57"/>
      <c r="R676" s="57"/>
      <c r="S676" s="57"/>
      <c r="T676" s="2234"/>
      <c r="U676" s="257"/>
    </row>
    <row r="677" spans="3:21">
      <c r="C677" s="257"/>
      <c r="D677" s="57"/>
      <c r="E677" s="57"/>
      <c r="F677" s="57"/>
      <c r="G677" s="57"/>
      <c r="H677" s="57"/>
      <c r="I677" s="57"/>
      <c r="J677" s="57"/>
      <c r="K677" s="57"/>
      <c r="L677" s="57"/>
      <c r="M677" s="57"/>
      <c r="N677" s="57"/>
      <c r="O677" s="57"/>
      <c r="P677" s="57"/>
      <c r="Q677" s="57"/>
      <c r="R677" s="57"/>
      <c r="S677" s="57"/>
      <c r="T677" s="2234"/>
      <c r="U677" s="257"/>
    </row>
    <row r="678" spans="3:21">
      <c r="C678" s="257"/>
      <c r="D678" s="57"/>
      <c r="E678" s="57"/>
      <c r="F678" s="57"/>
      <c r="G678" s="57"/>
      <c r="H678" s="57"/>
      <c r="I678" s="57"/>
      <c r="J678" s="57"/>
      <c r="K678" s="57"/>
      <c r="L678" s="57"/>
      <c r="M678" s="57"/>
      <c r="N678" s="57"/>
      <c r="O678" s="57"/>
      <c r="P678" s="57"/>
      <c r="Q678" s="57"/>
      <c r="R678" s="57"/>
      <c r="S678" s="57"/>
      <c r="T678" s="2234"/>
      <c r="U678" s="257"/>
    </row>
    <row r="679" spans="3:21">
      <c r="C679" s="257"/>
      <c r="D679" s="57"/>
      <c r="E679" s="57"/>
      <c r="F679" s="57"/>
      <c r="G679" s="57"/>
      <c r="H679" s="57"/>
      <c r="I679" s="57"/>
      <c r="J679" s="57"/>
      <c r="K679" s="57"/>
      <c r="L679" s="57"/>
      <c r="M679" s="57"/>
      <c r="N679" s="57"/>
      <c r="O679" s="57"/>
      <c r="P679" s="57"/>
      <c r="Q679" s="57"/>
      <c r="R679" s="57"/>
      <c r="S679" s="57"/>
      <c r="T679" s="2234"/>
      <c r="U679" s="257"/>
    </row>
    <row r="680" spans="3:21">
      <c r="C680" s="257"/>
      <c r="D680" s="57"/>
      <c r="E680" s="57"/>
      <c r="F680" s="57"/>
      <c r="G680" s="57"/>
      <c r="H680" s="57"/>
      <c r="I680" s="57"/>
      <c r="J680" s="57"/>
      <c r="K680" s="57"/>
      <c r="L680" s="57"/>
      <c r="M680" s="57"/>
      <c r="N680" s="57"/>
      <c r="O680" s="57"/>
      <c r="P680" s="57"/>
      <c r="Q680" s="57"/>
      <c r="R680" s="57"/>
      <c r="S680" s="57"/>
      <c r="T680" s="2234"/>
      <c r="U680" s="257"/>
    </row>
    <row r="681" spans="3:21">
      <c r="C681" s="257"/>
      <c r="D681" s="57"/>
      <c r="E681" s="57"/>
      <c r="F681" s="57"/>
      <c r="G681" s="57"/>
      <c r="H681" s="57"/>
      <c r="I681" s="57"/>
      <c r="J681" s="57"/>
      <c r="K681" s="57"/>
      <c r="L681" s="57"/>
      <c r="M681" s="57"/>
      <c r="N681" s="57"/>
      <c r="O681" s="57"/>
      <c r="P681" s="57"/>
      <c r="Q681" s="57"/>
      <c r="R681" s="57"/>
      <c r="S681" s="57"/>
      <c r="T681" s="2234"/>
      <c r="U681" s="257"/>
    </row>
    <row r="682" spans="3:21">
      <c r="C682" s="257"/>
      <c r="D682" s="57"/>
      <c r="E682" s="57"/>
      <c r="F682" s="57"/>
      <c r="G682" s="57"/>
      <c r="H682" s="57"/>
      <c r="I682" s="57"/>
      <c r="J682" s="57"/>
      <c r="K682" s="57"/>
      <c r="L682" s="57"/>
      <c r="M682" s="57"/>
      <c r="N682" s="57"/>
      <c r="O682" s="57"/>
      <c r="P682" s="57"/>
      <c r="Q682" s="57"/>
      <c r="R682" s="57"/>
      <c r="S682" s="57"/>
      <c r="T682" s="2234"/>
      <c r="U682" s="257"/>
    </row>
  </sheetData>
  <sheetProtection formatCells="0" formatColumns="0" formatRows="0"/>
  <mergeCells count="2">
    <mergeCell ref="E22:S22"/>
    <mergeCell ref="E1:U1"/>
  </mergeCells>
  <phoneticPr fontId="21" type="noConversion"/>
  <dataValidations disablePrompts="1" count="7">
    <dataValidation type="list" allowBlank="1" showInputMessage="1" showErrorMessage="1" sqref="F24:F524">
      <formula1>一修多修正项2</formula1>
    </dataValidation>
    <dataValidation type="list" allowBlank="1" showInputMessage="1" showErrorMessage="1" sqref="H24:H524">
      <formula1>一修多修正项3</formula1>
    </dataValidation>
    <dataValidation type="list" allowBlank="1" showInputMessage="1" showErrorMessage="1" sqref="J24:J524">
      <formula1>一修多修正项4</formula1>
    </dataValidation>
    <dataValidation type="list" allowBlank="1" showInputMessage="1" showErrorMessage="1" sqref="L24:L524">
      <formula1>一修多修正项5</formula1>
    </dataValidation>
    <dataValidation type="list" allowBlank="1" showInputMessage="1" showErrorMessage="1" sqref="N24:N524">
      <formula1>一修多修正项6</formula1>
    </dataValidation>
    <dataValidation type="list" allowBlank="1" showInputMessage="1" showErrorMessage="1" sqref="P24:P524">
      <formula1>一修多修正项7</formula1>
    </dataValidation>
    <dataValidation type="list" allowBlank="1" showInputMessage="1" showErrorMessage="1" sqref="R24:R524">
      <formula1>一修多修正项8</formula1>
    </dataValidation>
  </dataValidations>
  <pageMargins left="0.7" right="0.7" top="0.75" bottom="0.75" header="0.3" footer="0.3"/>
  <pageSetup paperSize="9" scale="10"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2798</v>
      </c>
      <c r="C1" s="3041">
        <f>项目基本情况!D3</f>
        <v>42997</v>
      </c>
      <c r="H1" s="2975">
        <f>IF(C1&gt;C13,0,MATCH(C1,C$13:C$100,-1))+IF(SUMIF(C13:C100,C1,D13:D100)=0,13,12)</f>
        <v>13</v>
      </c>
      <c r="I1" s="2975">
        <f ca="1">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2829</v>
      </c>
      <c r="C2" s="3042">
        <f>'数据-取费表'!B22</f>
        <v>3</v>
      </c>
      <c r="D2" s="3037" t="s">
        <v>2799</v>
      </c>
      <c r="E2" s="3040">
        <f ca="1">INDIRECT("I"&amp;$I$1)/100</f>
        <v>4.7500000000000001E-2</v>
      </c>
      <c r="G2" s="2977"/>
      <c r="H2" s="2977"/>
      <c r="I2" s="2977" t="s">
        <v>2800</v>
      </c>
      <c r="K2" s="2977"/>
      <c r="L2" s="2977"/>
      <c r="M2" s="2977"/>
      <c r="N2" s="2977" t="s">
        <v>2801</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2831</v>
      </c>
      <c r="C3" s="3039">
        <f>'数据-取费表'!B19</f>
        <v>0</v>
      </c>
      <c r="D3" s="3037" t="s">
        <v>2799</v>
      </c>
      <c r="E3" s="3040">
        <f ca="1">INDIRECT("J"&amp;$J$1)/100</f>
        <v>0</v>
      </c>
      <c r="G3" s="2979" t="s">
        <v>2802</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2830</v>
      </c>
      <c r="C4" s="3040">
        <f ca="1">N4/100</f>
        <v>1.4999999999999999E-2</v>
      </c>
      <c r="G4" s="2985" t="s">
        <v>2803</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2804</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2805</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2806</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2807</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2808</v>
      </c>
      <c r="C10" s="3004"/>
      <c r="D10" s="3004"/>
      <c r="E10" s="3004"/>
      <c r="F10" s="3004"/>
      <c r="G10" s="3004"/>
      <c r="H10" s="3004"/>
      <c r="I10" s="2978"/>
      <c r="J10" s="2978"/>
      <c r="K10" s="3004"/>
      <c r="L10" s="3005" t="s">
        <v>2809</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2810</v>
      </c>
      <c r="C11" s="3009" t="s">
        <v>2811</v>
      </c>
      <c r="D11" s="3010" t="s">
        <v>2812</v>
      </c>
      <c r="E11" s="3011"/>
      <c r="F11" s="3010" t="s">
        <v>2813</v>
      </c>
      <c r="G11" s="3012"/>
      <c r="H11" s="3011"/>
      <c r="I11" s="3010" t="s">
        <v>2814</v>
      </c>
      <c r="J11" s="3011"/>
      <c r="K11" s="3007"/>
      <c r="L11" s="3008" t="s">
        <v>2810</v>
      </c>
      <c r="M11" s="3009" t="s">
        <v>2811</v>
      </c>
      <c r="N11" s="3008" t="s">
        <v>2815</v>
      </c>
      <c r="O11" s="3010" t="s">
        <v>2816</v>
      </c>
      <c r="P11" s="3012"/>
      <c r="Q11" s="3012"/>
      <c r="R11" s="3012"/>
      <c r="S11" s="3012"/>
      <c r="T11" s="3011"/>
      <c r="U11" s="3010" t="s">
        <v>2817</v>
      </c>
      <c r="V11" s="3012"/>
      <c r="W11" s="3011"/>
      <c r="X11" s="3008" t="s">
        <v>2818</v>
      </c>
      <c r="Y11" s="3008" t="s">
        <v>2819</v>
      </c>
      <c r="Z11" s="3008" t="s">
        <v>2820</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2821</v>
      </c>
      <c r="E12" s="3017" t="s">
        <v>2822</v>
      </c>
      <c r="F12" s="3017" t="s">
        <v>2823</v>
      </c>
      <c r="G12" s="3017" t="s">
        <v>2824</v>
      </c>
      <c r="H12" s="3017" t="s">
        <v>2806</v>
      </c>
      <c r="I12" s="3018" t="s">
        <v>2825</v>
      </c>
      <c r="J12" s="3018" t="s">
        <v>2825</v>
      </c>
      <c r="K12" s="3014"/>
      <c r="L12" s="3015"/>
      <c r="M12" s="3016"/>
      <c r="N12" s="3015"/>
      <c r="O12" s="3018" t="s">
        <v>2826</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2827</v>
      </c>
      <c r="C13" s="3022">
        <v>42301</v>
      </c>
      <c r="D13" s="3023">
        <v>4.3499999999999996</v>
      </c>
      <c r="E13" s="3023">
        <v>4.3499999999999996</v>
      </c>
      <c r="F13" s="3023">
        <v>4.75</v>
      </c>
      <c r="G13" s="3023">
        <v>4.75</v>
      </c>
      <c r="H13" s="3023">
        <v>4.9000000000000004</v>
      </c>
      <c r="I13" s="3023">
        <v>2.75</v>
      </c>
      <c r="J13" s="3023">
        <v>3.25</v>
      </c>
      <c r="K13" s="3020"/>
      <c r="L13" s="3021" t="s">
        <v>2827</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2828</v>
      </c>
      <c r="Y42" s="3027" t="s">
        <v>2828</v>
      </c>
      <c r="Z42" s="3027" t="s">
        <v>2828</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2828</v>
      </c>
      <c r="Y43" s="3027" t="s">
        <v>2828</v>
      </c>
      <c r="Z43" s="3027" t="s">
        <v>2828</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2828</v>
      </c>
      <c r="Y44" s="3027" t="s">
        <v>2828</v>
      </c>
      <c r="Z44" s="3027" t="s">
        <v>2828</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2828</v>
      </c>
      <c r="Y45" s="3027" t="s">
        <v>2828</v>
      </c>
      <c r="Z45" s="3027" t="s">
        <v>2828</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2828</v>
      </c>
      <c r="Y46" s="3027" t="s">
        <v>2828</v>
      </c>
      <c r="Z46" s="3027" t="s">
        <v>2828</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2828</v>
      </c>
      <c r="Y47" s="3027" t="s">
        <v>2828</v>
      </c>
      <c r="Z47" s="3027" t="s">
        <v>2828</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2828</v>
      </c>
      <c r="Y48" s="3027" t="s">
        <v>2828</v>
      </c>
      <c r="Z48" s="3027" t="s">
        <v>2828</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2828</v>
      </c>
      <c r="Y49" s="3027" t="s">
        <v>2828</v>
      </c>
      <c r="Z49" s="3027" t="s">
        <v>2828</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2828</v>
      </c>
      <c r="Y50" s="3027" t="s">
        <v>2828</v>
      </c>
      <c r="Z50" s="3027" t="s">
        <v>2828</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2828</v>
      </c>
      <c r="V51" s="3027" t="s">
        <v>2828</v>
      </c>
      <c r="W51" s="3027" t="s">
        <v>2828</v>
      </c>
      <c r="X51" s="3027" t="s">
        <v>2828</v>
      </c>
      <c r="Y51" s="3027" t="s">
        <v>2828</v>
      </c>
      <c r="Z51" s="3027" t="s">
        <v>2828</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2828</v>
      </c>
      <c r="J55" s="3027" t="s">
        <v>2828</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5:G29"/>
  <sheetViews>
    <sheetView topLeftCell="I1" workbookViewId="0">
      <selection activeCell="K36" sqref="K1:S36"/>
    </sheetView>
  </sheetViews>
  <sheetFormatPr defaultRowHeight="13.5"/>
  <sheetData>
    <row r="5" spans="3:3">
      <c r="C5">
        <f>21294+56700+39507</f>
        <v>117501</v>
      </c>
    </row>
    <row r="6" spans="3:3">
      <c r="C6">
        <f>117826+40858</f>
        <v>158684</v>
      </c>
    </row>
    <row r="7" spans="3:3">
      <c r="C7">
        <f>84029+54253.1+39095.9</f>
        <v>177378</v>
      </c>
    </row>
    <row r="8" spans="3:3">
      <c r="C8">
        <f>85895.5+844.5</f>
        <v>86740</v>
      </c>
    </row>
    <row r="20" spans="4:7" ht="14.25">
      <c r="D20">
        <v>15</v>
      </c>
      <c r="E20" s="3160">
        <f>21294+56700+39507</f>
        <v>117501</v>
      </c>
      <c r="F20">
        <v>2.2000000000000002</v>
      </c>
      <c r="G20">
        <f>E20*F20</f>
        <v>258502.2</v>
      </c>
    </row>
    <row r="21" spans="4:7" ht="14.25">
      <c r="D21">
        <v>18</v>
      </c>
      <c r="E21" s="3160">
        <f>117826+40858</f>
        <v>158684</v>
      </c>
      <c r="F21">
        <v>2.1</v>
      </c>
      <c r="G21">
        <f t="shared" ref="G21:G26" si="0">E21*F21</f>
        <v>333236.40000000002</v>
      </c>
    </row>
    <row r="22" spans="4:7" ht="14.25">
      <c r="D22">
        <v>19</v>
      </c>
      <c r="E22" s="3160">
        <f>84029+54253.1+39095.9</f>
        <v>177378</v>
      </c>
      <c r="F22">
        <v>2.5</v>
      </c>
      <c r="G22">
        <f t="shared" si="0"/>
        <v>443445</v>
      </c>
    </row>
    <row r="23" spans="4:7" ht="14.25">
      <c r="D23">
        <v>20</v>
      </c>
      <c r="E23" s="3160">
        <f>85895.5+844.5</f>
        <v>86740</v>
      </c>
      <c r="F23">
        <v>2.5</v>
      </c>
      <c r="G23">
        <f t="shared" si="0"/>
        <v>216850</v>
      </c>
    </row>
    <row r="24" spans="4:7" ht="14.25">
      <c r="D24">
        <v>21</v>
      </c>
      <c r="E24" s="3160">
        <v>76655</v>
      </c>
      <c r="F24">
        <v>2.5</v>
      </c>
      <c r="G24">
        <f t="shared" si="0"/>
        <v>191637.5</v>
      </c>
    </row>
    <row r="25" spans="4:7" ht="14.25">
      <c r="D25">
        <v>23</v>
      </c>
      <c r="E25" s="3160">
        <v>163026</v>
      </c>
      <c r="F25">
        <v>2.5</v>
      </c>
      <c r="G25">
        <f t="shared" si="0"/>
        <v>407565</v>
      </c>
    </row>
    <row r="26" spans="4:7" ht="14.25">
      <c r="D26">
        <v>24</v>
      </c>
      <c r="E26" s="3160">
        <v>102374</v>
      </c>
      <c r="F26">
        <v>2.5</v>
      </c>
      <c r="G26">
        <f t="shared" si="0"/>
        <v>255935</v>
      </c>
    </row>
    <row r="27" spans="4:7" ht="14.25">
      <c r="E27" s="3163">
        <f>SUM(E20:E26)</f>
        <v>882358</v>
      </c>
      <c r="G27">
        <f>SUM(G20:G26)</f>
        <v>2107171.1</v>
      </c>
    </row>
    <row r="28" spans="4:7">
      <c r="G28">
        <f>'比较法-住宅、综合（楼面高）'!C50</f>
        <v>1416</v>
      </c>
    </row>
    <row r="29" spans="4:7">
      <c r="G29" s="3175">
        <f>ROUND(G28*G27/10000,0)</f>
        <v>298375</v>
      </c>
    </row>
  </sheetData>
  <phoneticPr fontId="233" type="noConversion"/>
  <pageMargins left="0.7" right="0.7" top="0.75" bottom="0.75" header="0.3" footer="0.3"/>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2042</v>
      </c>
      <c r="B1" s="3191"/>
      <c r="C1" s="3191"/>
      <c r="D1" s="3191"/>
      <c r="E1" s="3191"/>
      <c r="F1" s="3191"/>
      <c r="G1" s="3191"/>
      <c r="H1" s="3191"/>
      <c r="I1" s="3191"/>
      <c r="J1" s="3191"/>
      <c r="K1" s="3191"/>
      <c r="L1" s="3191"/>
      <c r="M1" s="3191"/>
      <c r="N1" s="3191"/>
      <c r="O1" s="3191"/>
      <c r="P1" s="3191"/>
      <c r="Q1" s="3191"/>
      <c r="R1" s="3191"/>
    </row>
    <row r="2" spans="1:18">
      <c r="A2" s="1811" t="s">
        <v>2044</v>
      </c>
      <c r="B2" s="1811"/>
      <c r="C2" s="1811"/>
      <c r="D2" s="1811"/>
      <c r="E2" s="1811"/>
      <c r="F2" s="1811"/>
      <c r="G2" s="1811"/>
      <c r="H2" s="1811"/>
      <c r="I2" s="1812"/>
      <c r="J2" s="1812"/>
      <c r="K2" s="1813" t="str">
        <f>"估价期日："&amp;TEXT(项目基本情况!D3,"yyyy年m月d日;;")</f>
        <v>估价期日：2017年9月19日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2" t="s">
        <v>2033</v>
      </c>
      <c r="B3" s="3192" t="s">
        <v>2741</v>
      </c>
      <c r="C3" s="3193" t="s">
        <v>2034</v>
      </c>
      <c r="D3" s="3192" t="s">
        <v>2745</v>
      </c>
      <c r="E3" s="3195" t="s">
        <v>2035</v>
      </c>
      <c r="F3" s="3195"/>
      <c r="G3" s="3195"/>
      <c r="H3" s="3195" t="s">
        <v>2036</v>
      </c>
      <c r="I3" s="3195"/>
      <c r="J3" s="3195"/>
      <c r="K3" s="3193" t="s">
        <v>2037</v>
      </c>
      <c r="L3" s="3193" t="s">
        <v>2038</v>
      </c>
      <c r="M3" s="3192" t="s">
        <v>2742</v>
      </c>
      <c r="N3" s="3194" t="str">
        <f>"（分摊）"&amp;项目基本情况!B16&amp;"国有建设用地使用权面积/㎡"</f>
        <v>（分摊）出让国有建设用地使用权面积/㎡</v>
      </c>
      <c r="O3" s="3192" t="s">
        <v>2067</v>
      </c>
      <c r="P3" s="3193" t="s">
        <v>2047</v>
      </c>
      <c r="Q3" s="3193" t="s">
        <v>2068</v>
      </c>
      <c r="R3" s="3193" t="s">
        <v>2039</v>
      </c>
    </row>
    <row r="4" spans="1:18" ht="36.75" customHeight="1">
      <c r="A4" s="3192"/>
      <c r="B4" s="3192"/>
      <c r="C4" s="3193"/>
      <c r="D4" s="3192"/>
      <c r="E4" s="2683" t="s">
        <v>2046</v>
      </c>
      <c r="F4" s="2683" t="s">
        <v>2754</v>
      </c>
      <c r="G4" s="2683" t="s">
        <v>2040</v>
      </c>
      <c r="H4" s="2683" t="s">
        <v>2041</v>
      </c>
      <c r="I4" s="2683" t="s">
        <v>2755</v>
      </c>
      <c r="J4" s="2683" t="s">
        <v>2040</v>
      </c>
      <c r="K4" s="3193"/>
      <c r="L4" s="3193"/>
      <c r="M4" s="3192"/>
      <c r="N4" s="3194"/>
      <c r="O4" s="3192"/>
      <c r="P4" s="3193"/>
      <c r="Q4" s="3193"/>
      <c r="R4" s="3193"/>
    </row>
    <row r="5" spans="1:18" ht="135" customHeight="1">
      <c r="A5" s="1947" t="s">
        <v>2665</v>
      </c>
      <c r="B5" s="2904" t="s">
        <v>2663</v>
      </c>
      <c r="C5" s="2682">
        <v>22</v>
      </c>
      <c r="D5" s="2681" t="s">
        <v>2664</v>
      </c>
      <c r="E5" s="1814" t="str">
        <f>项目基本情况!B12</f>
        <v>城镇住宅用地</v>
      </c>
      <c r="F5" s="2681">
        <v>258</v>
      </c>
      <c r="G5" s="1814" t="str">
        <f>项目基本情况!B13</f>
        <v>住宅</v>
      </c>
      <c r="H5" s="2681">
        <v>1.5</v>
      </c>
      <c r="I5" s="2681">
        <v>1.5</v>
      </c>
      <c r="J5" s="2681">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f>IF(项目基本情况!B16="出让",项目基本情况!D20,"——")</f>
        <v>0</v>
      </c>
      <c r="N5" s="1814">
        <f>项目基本情况!C22</f>
        <v>117501</v>
      </c>
      <c r="O5" s="1814">
        <f>项目基本情况!C21</f>
        <v>258502.2</v>
      </c>
      <c r="P5" s="1814">
        <f ca="1">结果表!E42</f>
        <v>3997</v>
      </c>
      <c r="Q5" s="1814">
        <f ca="1">结果表!D42</f>
        <v>1817</v>
      </c>
      <c r="R5" s="1815">
        <f ca="1">结果表!C42</f>
        <v>46970</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6">
        <f ca="1">结果表!O39</f>
        <v>46970</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6"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0" t="s">
        <v>2069</v>
      </c>
      <c r="B1" s="3200"/>
      <c r="C1" s="3200"/>
      <c r="D1" s="3200"/>
    </row>
    <row r="2" spans="1:4" ht="47.25" customHeight="1">
      <c r="A2" s="3201" t="str">
        <f>"1.权利限制："&amp;项目基本情况!L24&amp;"未设定租赁等其他他项权利。"</f>
        <v>1.权利限制：根据估价对象《不动产权证书》复印件、，截至估价期日，估价对象抵押权未见登记。未设定租赁等其他他项权利。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0"/>
      <c r="C3" s="3200"/>
      <c r="D3" s="3200"/>
    </row>
    <row r="4" spans="1:4" ht="36.75" customHeight="1">
      <c r="A4" s="3200" t="str">
        <f>"3.估价规划限制条件：详见"&amp;项目基本情况!E21&amp;"。"</f>
        <v>3.估价规划限制条件：详见《出让合同》[]。</v>
      </c>
      <c r="B4" s="3200"/>
      <c r="C4" s="3200"/>
      <c r="D4" s="3200"/>
    </row>
    <row r="5" spans="1:4">
      <c r="A5" s="3199" t="s">
        <v>2070</v>
      </c>
      <c r="B5" s="3199"/>
      <c r="C5" s="3199"/>
      <c r="D5" s="3199"/>
    </row>
    <row r="6" spans="1:4">
      <c r="A6" s="3200" t="s">
        <v>2048</v>
      </c>
      <c r="B6" s="3200"/>
      <c r="C6" s="3200"/>
      <c r="D6" s="3200"/>
    </row>
    <row r="7" spans="1:4" ht="33" customHeight="1">
      <c r="A7" s="3200" t="s">
        <v>2582</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（1）根据估价对象《不动产权证书》复印件、，截至估价期日，估价对象抵押权未见登记。</v>
      </c>
      <c r="B11" s="3202"/>
      <c r="C11" s="3202"/>
      <c r="D11" s="3202"/>
    </row>
    <row r="12" spans="1:4" ht="168" customHeight="1">
      <c r="A12" s="3199" t="s">
        <v>2072</v>
      </c>
      <c r="B12" s="3199"/>
      <c r="C12" s="3199"/>
      <c r="D12" s="3199"/>
    </row>
    <row r="13" spans="1:4">
      <c r="A13" s="3203" t="s">
        <v>2756</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2712</v>
      </c>
      <c r="B17" s="3200"/>
      <c r="C17" s="3200"/>
      <c r="D17" s="3200"/>
    </row>
    <row r="18" spans="1:4">
      <c r="A18" s="3200" t="s">
        <v>2704</v>
      </c>
      <c r="B18" s="3200"/>
      <c r="C18" s="3200"/>
      <c r="D18" s="3200"/>
    </row>
    <row r="19" spans="1:4">
      <c r="A19" s="2905" t="s">
        <v>2705</v>
      </c>
      <c r="B19" s="2905" t="s">
        <v>2706</v>
      </c>
      <c r="C19" s="2905" t="s">
        <v>2707</v>
      </c>
      <c r="D19" s="2905" t="s">
        <v>2708</v>
      </c>
    </row>
    <row r="20" spans="1:4">
      <c r="A20" s="2905" t="str">
        <f>项目基本情况!B4</f>
        <v>梁津</v>
      </c>
      <c r="B20" s="2905">
        <f ca="1">项目基本情况!C4</f>
        <v>96010014</v>
      </c>
      <c r="C20" s="2907"/>
      <c r="D20" s="1804" t="s">
        <v>2713</v>
      </c>
    </row>
    <row r="21" spans="1:4">
      <c r="A21" s="2905" t="str">
        <f>项目基本情况!D4</f>
        <v>欧红伟</v>
      </c>
      <c r="B21" s="2905">
        <f ca="1">项目基本情况!E4</f>
        <v>2000110082</v>
      </c>
      <c r="C21" s="2907"/>
      <c r="D21" s="1804" t="s">
        <v>2714</v>
      </c>
    </row>
    <row r="23" spans="1:4">
      <c r="A23" s="3200" t="s">
        <v>2709</v>
      </c>
      <c r="B23" s="3200"/>
      <c r="C23" s="3200"/>
      <c r="D23" s="3200"/>
    </row>
    <row r="24" spans="1:4">
      <c r="A24" s="2905" t="s">
        <v>2705</v>
      </c>
      <c r="B24" s="2905" t="s">
        <v>2710</v>
      </c>
      <c r="C24" s="2905" t="s">
        <v>2707</v>
      </c>
      <c r="D24" s="2905" t="s">
        <v>2708</v>
      </c>
    </row>
    <row r="25" spans="1:4">
      <c r="A25" s="2908" t="s">
        <v>2711</v>
      </c>
      <c r="B25" s="2905" t="s">
        <v>955</v>
      </c>
      <c r="C25" s="2907"/>
      <c r="D25" s="1804" t="s">
        <v>2714</v>
      </c>
    </row>
    <row r="29" spans="1:4">
      <c r="D29" s="2906" t="s">
        <v>2043</v>
      </c>
    </row>
    <row r="30" spans="1:4">
      <c r="D30" s="29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211" t="s">
        <v>53</v>
      </c>
      <c r="B15" s="3212" t="s">
        <v>849</v>
      </c>
      <c r="C15" s="3208"/>
    </row>
    <row r="16" spans="1:7" ht="14.25">
      <c r="A16" s="3211"/>
      <c r="B16" s="3209" t="s">
        <v>54</v>
      </c>
      <c r="C16" s="1174" t="s">
        <v>53</v>
      </c>
    </row>
    <row r="17" spans="1:3" ht="14.25">
      <c r="A17" s="3211"/>
      <c r="B17" s="3209"/>
      <c r="C17" s="1174" t="s">
        <v>55</v>
      </c>
    </row>
    <row r="18" spans="1:3" ht="14.25">
      <c r="A18" s="3211"/>
      <c r="B18" s="3209"/>
      <c r="C18" s="1174" t="s">
        <v>56</v>
      </c>
    </row>
    <row r="19" spans="1:3" ht="14.25">
      <c r="A19" s="3211"/>
      <c r="B19" s="3207" t="s">
        <v>57</v>
      </c>
      <c r="C19" s="3208"/>
    </row>
    <row r="20" spans="1:3" ht="14.25">
      <c r="A20" s="1175" t="s">
        <v>58</v>
      </c>
      <c r="B20" s="1176"/>
      <c r="C20" s="1177"/>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8" t="s">
        <v>840</v>
      </c>
    </row>
    <row r="25" spans="1:3" ht="14.25">
      <c r="A25" s="3210"/>
      <c r="B25" s="3214"/>
      <c r="C25" s="1178" t="s">
        <v>841</v>
      </c>
    </row>
    <row r="26" spans="1:3" ht="14.25">
      <c r="A26" s="3210"/>
      <c r="B26" s="3214"/>
      <c r="C26" s="1178" t="s">
        <v>842</v>
      </c>
    </row>
    <row r="27" spans="1:3" ht="14.25">
      <c r="A27" s="3210"/>
      <c r="B27" s="3214"/>
      <c r="C27" s="1178" t="s">
        <v>843</v>
      </c>
    </row>
    <row r="28" spans="1:3" ht="14.25">
      <c r="A28" s="3210"/>
      <c r="B28" s="3214"/>
      <c r="C28" s="1178" t="s">
        <v>844</v>
      </c>
    </row>
    <row r="29" spans="1:3" ht="14.25">
      <c r="A29" s="3210"/>
      <c r="B29" s="3214"/>
      <c r="C29" s="1178" t="s">
        <v>845</v>
      </c>
    </row>
    <row r="30" spans="1:3" ht="14.25">
      <c r="A30" s="3210"/>
      <c r="B30" s="3214"/>
      <c r="C30" s="1178" t="s">
        <v>846</v>
      </c>
    </row>
    <row r="31" spans="1:3" ht="14.25">
      <c r="A31" s="3210"/>
      <c r="B31" s="3214"/>
      <c r="C31" s="1178" t="s">
        <v>847</v>
      </c>
    </row>
    <row r="32" spans="1:3" ht="14.25">
      <c r="A32" s="3210"/>
      <c r="B32" s="3214"/>
      <c r="C32" s="1178" t="s">
        <v>1650</v>
      </c>
    </row>
    <row r="33" spans="1:3" ht="14.25">
      <c r="A33" s="3210"/>
      <c r="B33" s="3204" t="s">
        <v>1656</v>
      </c>
      <c r="C33" s="1178" t="s">
        <v>1651</v>
      </c>
    </row>
    <row r="34" spans="1:3" ht="14.25">
      <c r="A34" s="3210"/>
      <c r="B34" s="3205"/>
      <c r="C34" s="1183" t="s">
        <v>1652</v>
      </c>
    </row>
    <row r="35" spans="1:3" ht="14.25">
      <c r="A35" s="3210"/>
      <c r="B35" s="3205"/>
      <c r="C35" s="1184" t="s">
        <v>1653</v>
      </c>
    </row>
    <row r="36" spans="1:3" ht="14.25">
      <c r="A36" s="3210"/>
      <c r="B36" s="3205"/>
      <c r="C36" s="1184" t="s">
        <v>1654</v>
      </c>
    </row>
    <row r="37" spans="1:3" ht="14.25">
      <c r="A37" s="3210"/>
      <c r="B37" s="3206"/>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0">
        <f ca="1">TODAY()</f>
        <v>43007</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3">
        <v>43849</v>
      </c>
      <c r="D4" s="2351" t="s">
        <v>1919</v>
      </c>
      <c r="E4" s="2351">
        <f ca="1">IF(F4&lt;B2,"已过期",96010014)</f>
        <v>96010014</v>
      </c>
      <c r="F4" s="3044">
        <v>47118</v>
      </c>
    </row>
    <row r="5" spans="1:6" ht="20.25" customHeight="1">
      <c r="A5" s="2351" t="s">
        <v>1920</v>
      </c>
      <c r="B5" s="2351">
        <f ca="1">IF(C5&lt;B2,"已过期",1119970074)</f>
        <v>1119970074</v>
      </c>
      <c r="C5" s="3043">
        <v>43849</v>
      </c>
      <c r="D5" s="2351" t="s">
        <v>1920</v>
      </c>
      <c r="E5" s="2351">
        <f ca="1">IF(F5&lt;B2,"已过期",2002110027)</f>
        <v>2002110027</v>
      </c>
      <c r="F5" s="3044">
        <v>46752</v>
      </c>
    </row>
    <row r="6" spans="1:6" ht="20.25" customHeight="1">
      <c r="A6" s="2351" t="s">
        <v>1921</v>
      </c>
      <c r="B6" s="2351">
        <f ca="1">IF(C6&lt;B2,"已过期",1119970111)</f>
        <v>1119970111</v>
      </c>
      <c r="C6" s="3043">
        <v>43849</v>
      </c>
      <c r="D6" s="2351" t="s">
        <v>1921</v>
      </c>
      <c r="E6" s="2351">
        <f ca="1">IF(F6&lt;B2,"已过期",94010078)</f>
        <v>94010078</v>
      </c>
      <c r="F6" s="3044">
        <v>46387</v>
      </c>
    </row>
    <row r="7" spans="1:6" ht="20.25" customHeight="1">
      <c r="A7" s="2351" t="s">
        <v>1922</v>
      </c>
      <c r="B7" s="2351">
        <f ca="1">IF(C7&lt;B2,"已过期",1120050019)</f>
        <v>1120050019</v>
      </c>
      <c r="C7" s="3043">
        <v>43359</v>
      </c>
      <c r="D7" s="2351" t="s">
        <v>1922</v>
      </c>
      <c r="E7" s="2351">
        <f ca="1">IF(F7&lt;B2,"已过期",2002110030)</f>
        <v>2002110030</v>
      </c>
      <c r="F7" s="3044">
        <v>46387</v>
      </c>
    </row>
    <row r="8" spans="1:6" ht="20.25" customHeight="1">
      <c r="A8" s="2351" t="s">
        <v>1923</v>
      </c>
      <c r="B8" s="2351">
        <f ca="1">IF(C8&lt;B2,"已过期",1120000080)</f>
        <v>1120000080</v>
      </c>
      <c r="C8" s="3043">
        <v>43849</v>
      </c>
      <c r="D8" s="2351" t="s">
        <v>1923</v>
      </c>
      <c r="E8" s="2351">
        <f ca="1">IF(F8&lt;B2,"已过期",2000110082)</f>
        <v>2000110082</v>
      </c>
      <c r="F8" s="3044">
        <v>46387</v>
      </c>
    </row>
    <row r="9" spans="1:6" ht="20.25" customHeight="1">
      <c r="A9" s="2351" t="s">
        <v>1924</v>
      </c>
      <c r="B9" s="2351">
        <f ca="1">IF(C9&lt;B2,"已过期",1419970001)</f>
        <v>1419970001</v>
      </c>
      <c r="C9" s="3043">
        <v>43867</v>
      </c>
      <c r="D9" s="2351" t="s">
        <v>1924</v>
      </c>
      <c r="E9" s="2351">
        <f ca="1">IF(F9&lt;B2,"已过期",2002110125)</f>
        <v>2002110125</v>
      </c>
      <c r="F9" s="3044">
        <v>47118</v>
      </c>
    </row>
    <row r="10" spans="1:6" ht="20.25" customHeight="1">
      <c r="A10" s="2351" t="s">
        <v>1925</v>
      </c>
      <c r="B10" s="2351">
        <f ca="1">IF(C10&lt;B2,"已过期",1120060040)</f>
        <v>1120060040</v>
      </c>
      <c r="C10" s="3043">
        <v>43483</v>
      </c>
      <c r="D10" s="2351" t="s">
        <v>1925</v>
      </c>
      <c r="E10" s="2351">
        <f ca="1">IF(F10&lt;B2,"已过期",2004110096)</f>
        <v>2004110096</v>
      </c>
      <c r="F10" s="3044">
        <v>47118</v>
      </c>
    </row>
    <row r="11" spans="1:6" ht="20.25" customHeight="1">
      <c r="A11" s="2351" t="s">
        <v>1926</v>
      </c>
      <c r="B11" s="2351">
        <f ca="1">IF(C11&lt;B2,"已过期",1120100036)</f>
        <v>1120100036</v>
      </c>
      <c r="C11" s="3043">
        <v>43622</v>
      </c>
      <c r="D11" s="2351" t="s">
        <v>1926</v>
      </c>
      <c r="E11" s="2351">
        <f ca="1">IF(F11&lt;B2,"已过期",2010110070)</f>
        <v>2010110070</v>
      </c>
      <c r="F11" s="3044">
        <v>47907</v>
      </c>
    </row>
    <row r="12" spans="1:6" ht="20.25" customHeight="1">
      <c r="A12" s="2351"/>
      <c r="B12" s="2351"/>
      <c r="C12" s="3043"/>
      <c r="D12" s="2351"/>
      <c r="E12" s="2351"/>
      <c r="F12" s="2351"/>
    </row>
    <row r="13" spans="1:6" ht="20.25" customHeight="1">
      <c r="A13" s="2351" t="s">
        <v>1927</v>
      </c>
      <c r="B13" s="2351">
        <f ca="1">IF(C13&lt;B2,"已过期",1120070131)</f>
        <v>1120070131</v>
      </c>
      <c r="C13" s="3043">
        <v>43814</v>
      </c>
      <c r="D13" s="2351" t="s">
        <v>1927</v>
      </c>
      <c r="E13" s="2351">
        <v>2014110011</v>
      </c>
      <c r="F13" s="3044">
        <v>49302</v>
      </c>
    </row>
    <row r="14" spans="1:6" ht="20.25" customHeight="1">
      <c r="A14" s="2351" t="s">
        <v>1928</v>
      </c>
      <c r="B14" s="2351">
        <f ca="1">IF(C14&lt;B2,"已过期",1120130020)</f>
        <v>1120130020</v>
      </c>
      <c r="C14" s="3043">
        <v>43622</v>
      </c>
      <c r="D14" s="2351"/>
      <c r="E14" s="2351"/>
      <c r="F14" s="2351"/>
    </row>
    <row r="15" spans="1:6" ht="20.25" customHeight="1">
      <c r="A15" s="2351" t="s">
        <v>2581</v>
      </c>
      <c r="B15" s="2351">
        <v>1120070085</v>
      </c>
      <c r="C15" s="3043">
        <v>43814</v>
      </c>
      <c r="D15" s="2351" t="s">
        <v>2581</v>
      </c>
      <c r="E15" s="2351">
        <v>2004110128</v>
      </c>
      <c r="F15" s="3044">
        <v>47118</v>
      </c>
    </row>
    <row r="16" spans="1:6" ht="20.25" customHeight="1">
      <c r="A16" s="2351" t="s">
        <v>1929</v>
      </c>
      <c r="B16" s="2351">
        <f ca="1">IF(C16&lt;B2,"已过期",1120140022)</f>
        <v>1120140022</v>
      </c>
      <c r="C16" s="3043">
        <v>44029</v>
      </c>
      <c r="D16" s="2351" t="s">
        <v>1929</v>
      </c>
      <c r="E16" s="2351">
        <f ca="1">IF(F16&lt;B2,"已过期",2008110059)</f>
        <v>2008110059</v>
      </c>
      <c r="F16" s="3044">
        <v>47177</v>
      </c>
    </row>
    <row r="17" spans="1:7" ht="20.25" customHeight="1">
      <c r="A17" s="2351"/>
      <c r="B17" s="2351"/>
      <c r="C17" s="3043"/>
      <c r="D17" s="2351"/>
      <c r="E17" s="2351"/>
      <c r="F17" s="3044"/>
    </row>
    <row r="18" spans="1:7" ht="20.25" customHeight="1">
      <c r="A18" s="2351"/>
      <c r="B18" s="2351"/>
      <c r="C18" s="3043"/>
      <c r="D18" s="2351"/>
      <c r="E18" s="2351"/>
      <c r="F18" s="3044"/>
    </row>
    <row r="19" spans="1:7" ht="20.25" customHeight="1">
      <c r="A19" s="2351"/>
      <c r="B19" s="2351"/>
      <c r="C19" s="3043"/>
      <c r="D19" s="2351"/>
      <c r="E19" s="2351"/>
      <c r="F19" s="2351"/>
    </row>
    <row r="20" spans="1:7" ht="20.25" customHeight="1">
      <c r="A20" s="2351"/>
      <c r="B20" s="2351"/>
      <c r="C20" s="3043"/>
      <c r="D20" s="2351"/>
      <c r="E20" s="2351"/>
      <c r="F20" s="2351"/>
    </row>
    <row r="21" spans="1:7" ht="20.25" customHeight="1">
      <c r="A21" s="2351"/>
      <c r="B21" s="2351"/>
      <c r="C21" s="3043"/>
      <c r="D21" s="2351" t="s">
        <v>1930</v>
      </c>
      <c r="E21" s="2351">
        <f ca="1">IF(F21&lt;B2,"已过期",2011110090)</f>
        <v>2011110090</v>
      </c>
      <c r="F21" s="3044">
        <v>48302</v>
      </c>
    </row>
    <row r="22" spans="1:7" ht="20.25" customHeight="1">
      <c r="A22" s="2351" t="s">
        <v>1931</v>
      </c>
      <c r="B22" s="2351">
        <f ca="1">IF(C22&lt;B2,"已过期",1120020033)</f>
        <v>1120020033</v>
      </c>
      <c r="C22" s="3043">
        <v>43304</v>
      </c>
      <c r="D22" s="2351" t="s">
        <v>1931</v>
      </c>
      <c r="E22" s="2351">
        <f ca="1">IF(F22&lt;B2,"已过期",2000110137)</f>
        <v>2000110137</v>
      </c>
      <c r="F22" s="3044">
        <v>46387</v>
      </c>
    </row>
    <row r="23" spans="1:7" ht="20.25" customHeight="1">
      <c r="A23" s="2351" t="s">
        <v>1932</v>
      </c>
      <c r="B23" s="2351">
        <f ca="1">IF(C23&lt;B2,"已过期",1120130048)</f>
        <v>1120130048</v>
      </c>
      <c r="C23" s="3043">
        <v>43686</v>
      </c>
      <c r="D23" s="2351"/>
      <c r="E23" s="2351"/>
      <c r="F23" s="2351"/>
    </row>
    <row r="24" spans="1:7" s="2355" customFormat="1" ht="20.25" customHeight="1">
      <c r="A24" s="2353" t="s">
        <v>2057</v>
      </c>
      <c r="B24" s="2353" t="s">
        <v>2057</v>
      </c>
      <c r="C24" s="3043"/>
      <c r="D24" s="3045" t="s">
        <v>2057</v>
      </c>
      <c r="E24" s="2353" t="s">
        <v>2057</v>
      </c>
      <c r="F24" s="2354"/>
    </row>
    <row r="25" spans="1:7" ht="20.25" customHeight="1">
      <c r="A25" s="3215" t="s">
        <v>1933</v>
      </c>
      <c r="B25" s="3215"/>
      <c r="C25" s="3215"/>
      <c r="D25" s="3215"/>
      <c r="E25" s="3215"/>
      <c r="F25" s="3215"/>
      <c r="G25" s="3215"/>
    </row>
    <row r="26" spans="1:7" ht="20.25" customHeight="1">
      <c r="A26" s="3216" t="s">
        <v>1934</v>
      </c>
      <c r="B26" s="3216"/>
      <c r="C26" s="3216"/>
      <c r="D26" s="3216" t="s">
        <v>1935</v>
      </c>
      <c r="E26" s="3216"/>
      <c r="F26" s="3216"/>
    </row>
    <row r="27" spans="1:7" s="2359" customFormat="1" ht="20.25" customHeight="1">
      <c r="A27" s="2356" t="s">
        <v>1936</v>
      </c>
      <c r="B27" s="2357" t="s">
        <v>1937</v>
      </c>
      <c r="C27" s="2357" t="s">
        <v>1938</v>
      </c>
      <c r="D27" s="2358" t="s">
        <v>1936</v>
      </c>
      <c r="E27" s="2357" t="s">
        <v>1937</v>
      </c>
      <c r="F27" s="2357" t="s">
        <v>1938</v>
      </c>
    </row>
    <row r="28" spans="1:7" s="2359" customFormat="1" ht="20.25" customHeight="1">
      <c r="A28" s="2360" t="s">
        <v>1939</v>
      </c>
      <c r="B28" s="2360" t="s">
        <v>1940</v>
      </c>
      <c r="C28" s="2361">
        <v>43725</v>
      </c>
      <c r="D28" s="2360" t="s">
        <v>1941</v>
      </c>
      <c r="E28" s="2360" t="s">
        <v>1942</v>
      </c>
      <c r="F28" s="2362">
        <v>44377</v>
      </c>
    </row>
    <row r="29" spans="1:7" s="2359" customFormat="1" ht="20.25" customHeight="1">
      <c r="A29" s="2360"/>
      <c r="B29" s="2360"/>
      <c r="C29" s="2363"/>
      <c r="D29" s="2360" t="s">
        <v>1943</v>
      </c>
      <c r="E29" s="2364" t="s">
        <v>2946</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2552</v>
      </c>
      <c r="R1" s="2615" t="s">
        <v>2546</v>
      </c>
      <c r="S1" s="6" t="s">
        <v>146</v>
      </c>
      <c r="T1" s="7" t="s">
        <v>147</v>
      </c>
      <c r="U1" s="6" t="s">
        <v>148</v>
      </c>
      <c r="V1" s="6" t="s">
        <v>149</v>
      </c>
      <c r="W1" s="1006"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2547</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879</v>
      </c>
    </row>
    <row r="4" spans="1:23">
      <c r="A4" s="8" t="s">
        <v>87</v>
      </c>
      <c r="B4" s="8" t="s">
        <v>152</v>
      </c>
      <c r="C4" s="1554" t="s">
        <v>1715</v>
      </c>
      <c r="D4" s="9" t="s">
        <v>1999</v>
      </c>
      <c r="E4" s="9" t="s">
        <v>88</v>
      </c>
      <c r="F4" s="9" t="s">
        <v>89</v>
      </c>
      <c r="G4" s="9">
        <v>70</v>
      </c>
      <c r="H4" s="9" t="s">
        <v>90</v>
      </c>
      <c r="I4" s="9" t="s">
        <v>91</v>
      </c>
      <c r="K4" s="9" t="s">
        <v>92</v>
      </c>
      <c r="L4" s="9" t="s">
        <v>92</v>
      </c>
      <c r="M4" s="9" t="s">
        <v>92</v>
      </c>
      <c r="N4" s="9" t="s">
        <v>92</v>
      </c>
      <c r="O4" s="9" t="s">
        <v>92</v>
      </c>
      <c r="P4" s="1008" t="s">
        <v>763</v>
      </c>
      <c r="Q4" s="9" t="s">
        <v>92</v>
      </c>
      <c r="R4" s="1008" t="s">
        <v>2549</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881</v>
      </c>
    </row>
    <row r="6" spans="1:23">
      <c r="A6" s="8" t="s">
        <v>99</v>
      </c>
      <c r="B6" s="1151" t="s">
        <v>1644</v>
      </c>
      <c r="C6" s="1556" t="s">
        <v>1717</v>
      </c>
      <c r="F6" s="9" t="s">
        <v>71</v>
      </c>
      <c r="H6" s="9" t="s">
        <v>72</v>
      </c>
      <c r="I6" s="9" t="s">
        <v>100</v>
      </c>
      <c r="K6" s="9" t="s">
        <v>101</v>
      </c>
      <c r="L6" s="9" t="s">
        <v>101</v>
      </c>
      <c r="M6" s="9" t="s">
        <v>101</v>
      </c>
      <c r="N6" s="9" t="s">
        <v>101</v>
      </c>
      <c r="O6" s="9" t="s">
        <v>101</v>
      </c>
      <c r="P6" s="1008" t="s">
        <v>884</v>
      </c>
      <c r="Q6" s="9" t="s">
        <v>101</v>
      </c>
      <c r="R6" s="1008" t="s">
        <v>2551</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50" t="s">
        <v>2959</v>
      </c>
      <c r="C18" s="1557"/>
    </row>
    <row r="19" spans="1:3">
      <c r="A19" s="8" t="s">
        <v>120</v>
      </c>
      <c r="B19" s="8" t="s">
        <v>3063</v>
      </c>
      <c r="C19" s="1557"/>
    </row>
    <row r="20" spans="1:3">
      <c r="A20" s="8" t="s">
        <v>121</v>
      </c>
      <c r="B20" s="8" t="s">
        <v>3064</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恒大凯源旅游开发有限公司拟使用贵州省花溪区贵筑社区尖山村贵阳恒大凯源旅游开发有限公司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1991</v>
      </c>
      <c r="B52" s="1772" t="s">
        <v>1992</v>
      </c>
      <c r="C52" s="1770" t="s">
        <v>1993</v>
      </c>
      <c r="D52" s="1770" t="s">
        <v>1994</v>
      </c>
      <c r="E52" s="1771"/>
    </row>
    <row r="53" spans="1:5">
      <c r="A53" s="3217" t="s">
        <v>1995</v>
      </c>
      <c r="B53" s="1770" t="s">
        <v>2001</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c r="D53" s="1771"/>
      <c r="E53" s="1771"/>
    </row>
    <row r="54" spans="1:5">
      <c r="A54" s="3217"/>
      <c r="B54" s="1770" t="s">
        <v>2002</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7"/>
      <c r="B55" s="1770" t="s">
        <v>1996</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7"/>
      <c r="B56" s="1770" t="s">
        <v>1997</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7"/>
      <c r="B57" s="1770" t="s">
        <v>1998</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136</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比较法-住宅、综合（楼面高）</vt:lpstr>
      <vt:lpstr>比较法-住宅、综合 (楼面低)</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(楼面低)'!套工交易情况</vt:lpstr>
      <vt:lpstr>套工交易情况</vt:lpstr>
      <vt:lpstr>套工土地级别</vt:lpstr>
      <vt:lpstr>套工用途</vt:lpstr>
      <vt:lpstr>'比较法-住宅、综合 (楼面低)'!套综道路等级</vt:lpstr>
      <vt:lpstr>套综道路等级</vt:lpstr>
      <vt:lpstr>'比较法-住宅、综合 (楼面低)'!套综工程地质条件</vt:lpstr>
      <vt:lpstr>套综工程地质条件</vt:lpstr>
      <vt:lpstr>'比较法-住宅、综合 (楼面低)'!套综交易情况</vt:lpstr>
      <vt:lpstr>套综交易情况</vt:lpstr>
      <vt:lpstr>'比较法-住宅、综合 (楼面低)'!套综临街宽度及深度</vt:lpstr>
      <vt:lpstr>套综临街宽度及深度</vt:lpstr>
      <vt:lpstr>'比较法-住宅、综合 (楼面低)'!套综土地级别</vt:lpstr>
      <vt:lpstr>套综土地级别</vt:lpstr>
      <vt:lpstr>'比较法-住宅、综合 (楼面低)'!套综用途</vt:lpstr>
      <vt:lpstr>套综用途</vt:lpstr>
      <vt:lpstr>'比较法-住宅、综合 (楼面低)'!套综宗地内开发程度</vt:lpstr>
      <vt:lpstr>套综宗地内开发程度</vt:lpstr>
      <vt:lpstr>'比较法-住宅、综合 (楼面低)'!套综宗地形状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2017-09-29T02:57:33Z</cp:lastPrinted>
  <dcterms:created xsi:type="dcterms:W3CDTF">2015-07-13T07:17:23Z</dcterms:created>
  <dcterms:modified xsi:type="dcterms:W3CDTF">2017-09-29T06:18:18Z</dcterms:modified>
</cp:coreProperties>
</file>